
<file path=[Content_Types].xml><?xml version="1.0" encoding="utf-8"?>
<Types xmlns="http://schemas.openxmlformats.org/package/2006/content-type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Override PartName="/xl/drawings/drawing5.xml" ContentType="application/vnd.openxmlformats-officedocument.drawing+xml"/>
  <Override PartName="/xl/persons/person1.xml" ContentType="application/vnd.ms-excel.person+xml"/>
  <Override PartName="/xl/persons/person2.xml" ContentType="application/vnd.ms-excel.person+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persons/person0.xml" ContentType="application/vnd.ms-excel.perso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ThisWorkbook" defaultThemeVersion="124226"/>
  <bookViews>
    <workbookView xWindow="-105" yWindow="-105" windowWidth="20730" windowHeight="11760" tabRatio="962"/>
  </bookViews>
  <sheets>
    <sheet name="Cov" sheetId="85" r:id="rId1"/>
    <sheet name="check slip" sheetId="86" r:id="rId2"/>
    <sheet name="REPORT " sheetId="87" r:id="rId3"/>
    <sheet name="Gen abs" sheetId="20" r:id="rId4"/>
    <sheet name="SC Detailed" sheetId="72" r:id="rId5"/>
    <sheet name="DATA FULL" sheetId="91" r:id="rId6"/>
    <sheet name="Lead " sheetId="81" r:id="rId7"/>
    <sheet name="seinorage" sheetId="82" r:id="rId8"/>
    <sheet name="Scor Depth" sheetId="88" r:id="rId9"/>
    <sheet name="Abutment Design" sheetId="74" r:id="rId10"/>
    <sheet name="DWG" sheetId="84" r:id="rId11"/>
    <sheet name="Morth Spec" sheetId="9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_______HDR1" localSheetId="2">#REF!</definedName>
    <definedName name="_________HDR1">#REF!</definedName>
    <definedName name="_________hdr2">#REF!</definedName>
    <definedName name="________HDR1">#REF!</definedName>
    <definedName name="________hdr2">#REF!</definedName>
    <definedName name="_______HDR1">#REF!</definedName>
    <definedName name="_______hdr2">#REF!</definedName>
    <definedName name="______HDR1">#REF!</definedName>
    <definedName name="______hdr2">#REF!</definedName>
    <definedName name="_____HDR1">#REF!</definedName>
    <definedName name="_____hdr2">#REF!</definedName>
    <definedName name="____HDR1">#REF!</definedName>
    <definedName name="____hdr2">#REF!</definedName>
    <definedName name="___HDR1">#REF!</definedName>
    <definedName name="___hdr2">#REF!</definedName>
    <definedName name="__HDR1">#REF!</definedName>
    <definedName name="__hdr2">#REF!</definedName>
    <definedName name="_bmx1" localSheetId="2">'[1]footing for SP'!$F$97</definedName>
    <definedName name="_bmx1">'[2]footing for SP'!$F$97</definedName>
    <definedName name="_del1" localSheetId="2">'[1]footing for SP'!#REF!</definedName>
    <definedName name="_del1">'[2]footing for SP'!#REF!</definedName>
    <definedName name="_HDR1">#REF!</definedName>
    <definedName name="_hdr2">#REF!</definedName>
    <definedName name="a" localSheetId="0">'[3]Road Detail Est.'!#REF!</definedName>
    <definedName name="a" localSheetId="2">[4]Data!#REF!</definedName>
    <definedName name="a">[5]Data!#REF!</definedName>
    <definedName name="a1base" localSheetId="2">'[1]footing for SP'!$F$225</definedName>
    <definedName name="a1base">'[2]footing for SP'!$F$225</definedName>
    <definedName name="a2base" localSheetId="2">'[1]footing for SP'!$F$226</definedName>
    <definedName name="a2base">'[2]footing for SP'!$F$226</definedName>
    <definedName name="aaa">#REF!</definedName>
    <definedName name="abcd">#REF!</definedName>
    <definedName name="acontact" localSheetId="2">'[1]footing for SP'!#REF!</definedName>
    <definedName name="acontact">'[2]footing for SP'!#REF!</definedName>
    <definedName name="actbs" localSheetId="2">'[1]footing for SP'!$F$229</definedName>
    <definedName name="actbs">'[2]footing for SP'!$F$229</definedName>
    <definedName name="ada">#REF!</definedName>
    <definedName name="Ag">[6]Design!#REF!</definedName>
    <definedName name="ai" localSheetId="2">#REF!</definedName>
    <definedName name="ai">#REF!</definedName>
    <definedName name="allowbs" localSheetId="2">'[1]footing for SP'!$F$230</definedName>
    <definedName name="allowbs">'[2]footing for SP'!$F$230</definedName>
    <definedName name="allowstress" localSheetId="2">'[1]footing for SP'!$F$221</definedName>
    <definedName name="allowstress">'[2]footing for SP'!$F$221</definedName>
    <definedName name="ALPHA">#REF!</definedName>
    <definedName name="area" localSheetId="2">'[1]footing for SP'!$F$73</definedName>
    <definedName name="area">'[2]footing for SP'!$F$73</definedName>
    <definedName name="area1ps" localSheetId="2">'[1]footing for SP'!$F$209</definedName>
    <definedName name="area1ps">'[2]footing for SP'!$F$209</definedName>
    <definedName name="area2ps" localSheetId="2">'[1]footing for SP'!$F$210</definedName>
    <definedName name="area2ps">'[2]footing for SP'!$F$210</definedName>
    <definedName name="areacon" localSheetId="2">'[1]footing for SP'!$F$211</definedName>
    <definedName name="areacon">'[2]footing for SP'!$F$211</definedName>
    <definedName name="arps" localSheetId="2">'[1]footing for SP'!$F$218</definedName>
    <definedName name="arps">'[2]footing for SP'!$F$218</definedName>
    <definedName name="astpro" localSheetId="2">'[1]footing for SP'!$F$120</definedName>
    <definedName name="astpro">'[2]footing for SP'!$F$120</definedName>
    <definedName name="astprotopx" localSheetId="2">'[1]footing for SP'!$F$162</definedName>
    <definedName name="astprotopx">'[2]footing for SP'!$F$162</definedName>
    <definedName name="astprotopz" localSheetId="2">'[1]footing for SP'!$F$172</definedName>
    <definedName name="astprotopz">'[2]footing for SP'!$F$172</definedName>
    <definedName name="astproz" localSheetId="2">'[1]footing for SP'!$F$148</definedName>
    <definedName name="astproz">'[2]footing for SP'!$F$148</definedName>
    <definedName name="astreq" localSheetId="2">'[1]footing for SP'!$F$117</definedName>
    <definedName name="astreq">'[2]footing for SP'!$F$117</definedName>
    <definedName name="astreqnegx" localSheetId="2">'[1]footing for SP'!$F$160</definedName>
    <definedName name="astreqnegx">'[2]footing for SP'!$F$160</definedName>
    <definedName name="astreqnegz" localSheetId="2">'[1]footing for SP'!$F$170</definedName>
    <definedName name="astreqnegz">'[2]footing for SP'!$F$170</definedName>
    <definedName name="astreqz" localSheetId="2">'[1]footing for SP'!$F$145</definedName>
    <definedName name="astreqz">'[2]footing for SP'!$F$145</definedName>
    <definedName name="avgd" localSheetId="2">'[1]footing for SP'!$F$217</definedName>
    <definedName name="avgd">'[2]footing for SP'!$F$217</definedName>
    <definedName name="b">#REF!</definedName>
    <definedName name="bc">#REF!</definedName>
    <definedName name="bdfbsdf">#REF!</definedName>
    <definedName name="bf">#REF!</definedName>
    <definedName name="breadth" localSheetId="2">'[1]footing for SP'!$D$65</definedName>
    <definedName name="breadth">'[2]footing for SP'!$D$65</definedName>
    <definedName name="bs">#REF!</definedName>
    <definedName name="bsi">#REF!</definedName>
    <definedName name="bso">#REF!</definedName>
    <definedName name="BW">#REF!</definedName>
    <definedName name="category" localSheetId="2">'[1]footing for SP'!$F$12</definedName>
    <definedName name="category">'[2]footing for SP'!$F$12</definedName>
    <definedName name="cca">#REF!</definedName>
    <definedName name="cdepth" localSheetId="2">'[1]footing for SP'!$F$21</definedName>
    <definedName name="cdepth">'[2]footing for SP'!$F$21</definedName>
    <definedName name="checked">#REF!</definedName>
    <definedName name="colx" localSheetId="2">'[1]footing for SP'!$B$66</definedName>
    <definedName name="colx">'[2]footing for SP'!$B$66</definedName>
    <definedName name="colz" localSheetId="2">'[1]footing for SP'!$D$66</definedName>
    <definedName name="colz">'[2]footing for SP'!$D$66</definedName>
    <definedName name="COMPSTRESS">#REF!</definedName>
    <definedName name="conden" localSheetId="2">'[1]footing for SP'!$F$29</definedName>
    <definedName name="conden">'[2]footing for SP'!$F$29</definedName>
    <definedName name="contact" localSheetId="2">'[1]footing for SP'!$F$13</definedName>
    <definedName name="contact">'[2]footing for SP'!$F$13</definedName>
    <definedName name="contactarea" localSheetId="2">'[1]footing for SP'!#REF!</definedName>
    <definedName name="contactarea">'[2]footing for SP'!#REF!</definedName>
    <definedName name="coordinates" localSheetId="2">'[1]footing for SP'!$B$51</definedName>
    <definedName name="coordinates">'[2]footing for SP'!$B$51</definedName>
    <definedName name="cover" localSheetId="2">'[1]footing for SP'!$F$30</definedName>
    <definedName name="cover">'[2]footing for SP'!$F$30</definedName>
    <definedName name="cvalue">#REF!</definedName>
    <definedName name="cwidth" localSheetId="2">'[1]footing for SP'!$F$20</definedName>
    <definedName name="cwidth">'[2]footing for SP'!$F$20</definedName>
    <definedName name="D" localSheetId="2">'[1]Design Pad - 1'!$F$11</definedName>
    <definedName name="D">'[2]Design Pad - 1'!$F$11</definedName>
    <definedName name="data">#REF!</definedName>
    <definedName name="dc">#REF!</definedName>
    <definedName name="designed">#REF!</definedName>
    <definedName name="df">#REF!</definedName>
    <definedName name="dg">#REF!</definedName>
    <definedName name="dgdgd">#REF!</definedName>
    <definedName name="District" localSheetId="2">[7]Sheet2!$G$2:$G$22</definedName>
    <definedName name="District">[8]Sheet2!$G$2:$G$22</definedName>
    <definedName name="dk" localSheetId="2">#REF!</definedName>
    <definedName name="dk">#REF!</definedName>
    <definedName name="docu" localSheetId="2">#REF!</definedName>
    <definedName name="docu">#REF!</definedName>
    <definedName name="dq" localSheetId="2">#REF!</definedName>
    <definedName name="dq">#REF!</definedName>
    <definedName name="dx" localSheetId="2">'[1]footing for SP'!$F$213</definedName>
    <definedName name="dx">'[2]footing for SP'!$F$213</definedName>
    <definedName name="dxp" localSheetId="2">'[1]footing for SP'!$F$214</definedName>
    <definedName name="dxp">'[2]footing for SP'!$F$214</definedName>
    <definedName name="dz" localSheetId="2">'[1]footing for SP'!$F$215</definedName>
    <definedName name="dz">'[2]footing for SP'!$F$215</definedName>
    <definedName name="dzp" localSheetId="2">'[1]footing for SP'!$F$216</definedName>
    <definedName name="dzp">'[2]footing for SP'!$F$216</definedName>
    <definedName name="E_W_SIDE">#N/A</definedName>
    <definedName name="eccx" localSheetId="2">'[1]footing for SP'!$F$77</definedName>
    <definedName name="eccx">'[2]footing for SP'!$F$77</definedName>
    <definedName name="eccz" localSheetId="2">'[1]footing for SP'!$F$79</definedName>
    <definedName name="eccz">'[2]footing for SP'!$F$79</definedName>
    <definedName name="effdepth" localSheetId="2">'[1]footing for SP'!$F$69</definedName>
    <definedName name="effdepth">'[2]footing for SP'!$F$69</definedName>
    <definedName name="effdepthx" localSheetId="2">'[1]footing for SP'!$F$69</definedName>
    <definedName name="effdepthx">'[2]footing for SP'!$F$69</definedName>
    <definedName name="effdepthz" localSheetId="2">'[1]footing for SP'!$F$70</definedName>
    <definedName name="effdepthz">'[2]footing for SP'!$F$70</definedName>
    <definedName name="effwidth" localSheetId="2">'[1]footing for SP'!$F$114</definedName>
    <definedName name="effwidth">'[2]footing for SP'!$F$114</definedName>
    <definedName name="effwidthz" localSheetId="2">'[1]footing for SP'!$F$142</definedName>
    <definedName name="effwidthz">'[2]footing for SP'!$F$142</definedName>
    <definedName name="eightline" localSheetId="2">'[1]footing for SP'!#REF!</definedName>
    <definedName name="eightline">'[2]footing for SP'!#REF!</definedName>
    <definedName name="EWSTM">[9]ewst!$E$13:$R$172</definedName>
    <definedName name="ewstmt">#REF!</definedName>
    <definedName name="ex" localSheetId="2">'[1]footing for SP'!$F$22</definedName>
    <definedName name="ex">'[2]footing for SP'!$F$22</definedName>
    <definedName name="EXIT">#REF!</definedName>
    <definedName name="ez" localSheetId="2">'[1]footing for SP'!$F$23</definedName>
    <definedName name="ez">'[2]footing for SP'!$F$23</definedName>
    <definedName name="F.B">#REF!</definedName>
    <definedName name="facal" localSheetId="2">'[1]footing for SP'!$F$228</definedName>
    <definedName name="facal">'[2]footing for SP'!$F$228</definedName>
    <definedName name="FB">#REF!</definedName>
    <definedName name="fck" localSheetId="2">'[1]footing for SP'!$F$24</definedName>
    <definedName name="fck">'[2]footing for SP'!$F$24</definedName>
    <definedName name="fdepth" localSheetId="2">'[1]footing for SP'!$F$27</definedName>
    <definedName name="fdepth">'[2]footing for SP'!$F$27</definedName>
    <definedName name="FF">#REF!</definedName>
    <definedName name="fgh">#REF!</definedName>
    <definedName name="fhjfghf">#REF!</definedName>
    <definedName name="fillden" localSheetId="2">'[1]footing for SP'!$F$28</definedName>
    <definedName name="fillden">'[2]footing for SP'!$F$28</definedName>
    <definedName name="firline" localSheetId="2">'[1]footing for SP'!#REF!</definedName>
    <definedName name="firline">'[2]footing for SP'!#REF!</definedName>
    <definedName name="fiveline" localSheetId="2">'[1]footing for SP'!#REF!</definedName>
    <definedName name="fiveline">'[2]footing for SP'!#REF!</definedName>
    <definedName name="footdepth" localSheetId="2">'[1]footing for SP'!$F$42</definedName>
    <definedName name="footdepth">'[2]footing for SP'!$F$42</definedName>
    <definedName name="footdepthedge" localSheetId="2">'[1]footing for SP'!$F$43</definedName>
    <definedName name="footdepthedge">'[2]footing for SP'!$F$43</definedName>
    <definedName name="fourline" localSheetId="2">'[1]footing for SP'!#REF!</definedName>
    <definedName name="fourline">'[2]footing for SP'!#REF!</definedName>
    <definedName name="FSD">#REF!</definedName>
    <definedName name="fswt" localSheetId="2">'[1]footing for SP'!$F$44</definedName>
    <definedName name="fswt">'[2]footing for SP'!$F$44</definedName>
    <definedName name="FTL">#REF!</definedName>
    <definedName name="fx" localSheetId="2">'[1]footing for SP'!$F$40</definedName>
    <definedName name="fx">'[2]footing for SP'!$F$40</definedName>
    <definedName name="fy" localSheetId="2">'[1]footing for SP'!$F$25</definedName>
    <definedName name="fy">'[2]footing for SP'!$F$25</definedName>
    <definedName name="fz" localSheetId="2">'[1]footing for SP'!$F$41</definedName>
    <definedName name="fz">'[2]footing for SP'!$F$41</definedName>
    <definedName name="g">#REF!</definedName>
    <definedName name="grossarea" localSheetId="2">'[1]footing for SP'!$F$118</definedName>
    <definedName name="grossarea">'[2]footing for SP'!$F$118</definedName>
    <definedName name="grossareaz" localSheetId="2">'[1]footing for SP'!$F$146</definedName>
    <definedName name="grossareaz">'[2]footing for SP'!$F$146</definedName>
    <definedName name="grossneg" localSheetId="2">'[1]footing for SP'!$F$159</definedName>
    <definedName name="grossneg">'[2]footing for SP'!$F$159</definedName>
    <definedName name="grossnegz" localSheetId="2">'[1]footing for SP'!$F$169</definedName>
    <definedName name="grossnegz">'[2]footing for SP'!$F$169</definedName>
    <definedName name="gs">#REF!</definedName>
    <definedName name="harnath">#REF!</definedName>
    <definedName name="hf">#REF!</definedName>
    <definedName name="hr">#REF!</definedName>
    <definedName name="hyd">#REF!</definedName>
    <definedName name="IOP">#REF!</definedName>
    <definedName name="ip">#REF!</definedName>
    <definedName name="ix" localSheetId="2">'[1]footing for SP'!$F$74</definedName>
    <definedName name="ix">'[2]footing for SP'!$F$74</definedName>
    <definedName name="iz" localSheetId="2">'[1]footing for SP'!$F$75</definedName>
    <definedName name="iz">'[2]footing for SP'!$F$75</definedName>
    <definedName name="k1_table">#REF!</definedName>
    <definedName name="k1x">[6]Design!#REF!</definedName>
    <definedName name="k1y">[6]Design!#REF!</definedName>
    <definedName name="k2_table" localSheetId="2">#REF!</definedName>
    <definedName name="k2_table">#REF!</definedName>
    <definedName name="k2x">[6]Design!#REF!</definedName>
    <definedName name="k2y">[6]Design!#REF!</definedName>
    <definedName name="kk" localSheetId="2">#REF!</definedName>
    <definedName name="kk">#REF!</definedName>
    <definedName name="klsregjklr" localSheetId="2">#REF!</definedName>
    <definedName name="klsregjklr">#REF!</definedName>
    <definedName name="kun">'[3]Road Detail Est.'!#REF!</definedName>
    <definedName name="kval" localSheetId="2">'[1]footing for SP'!#REF!</definedName>
    <definedName name="kval">'[2]footing for SP'!#REF!</definedName>
    <definedName name="LA" localSheetId="2">[4]Data!#REF!</definedName>
    <definedName name="LA">[5]Data!#REF!</definedName>
    <definedName name="Leads" localSheetId="2">'[10]SSR 04-05'!$B$7:$H$319</definedName>
    <definedName name="Leads">'[11]SSR 04-05'!$B$7:$H$319</definedName>
    <definedName name="length" localSheetId="2">'[1]footing for SP'!$B$65</definedName>
    <definedName name="length">'[2]footing for SP'!$B$65</definedName>
    <definedName name="lfac" localSheetId="2">'[1]footing for SP'!$F$16</definedName>
    <definedName name="lfac">'[2]footing for SP'!$F$16</definedName>
    <definedName name="linenine" localSheetId="2">'[1]footing for SP'!#REF!</definedName>
    <definedName name="linenine">'[2]footing for SP'!#REF!</definedName>
    <definedName name="load" localSheetId="2">'[1]footing for SP'!$F$17</definedName>
    <definedName name="load">'[2]footing for SP'!$F$17</definedName>
    <definedName name="ls">#REF!</definedName>
    <definedName name="M1x">[6]Design!#REF!</definedName>
    <definedName name="M1y">[6]Design!#REF!</definedName>
    <definedName name="M2x">[6]Design!#REF!</definedName>
    <definedName name="M2y">[6]Design!#REF!</definedName>
    <definedName name="maxgross" localSheetId="2">'[1]footing for SP'!$B$80</definedName>
    <definedName name="maxgross">'[2]footing for SP'!$B$80</definedName>
    <definedName name="maxshearx" localSheetId="2">'[1]footing for SP'!$F$185</definedName>
    <definedName name="maxshearx">'[2]footing for SP'!$F$185</definedName>
    <definedName name="maxshearz" localSheetId="2">'[1]footing for SP'!$F$200</definedName>
    <definedName name="maxshearz">'[2]footing for SP'!$F$200</definedName>
    <definedName name="maxxmom" localSheetId="2">'[1]footing for SP'!$F$110</definedName>
    <definedName name="maxxmom">'[2]footing for SP'!$F$110</definedName>
    <definedName name="maxzmom" localSheetId="2">'[1]footing for SP'!$F$138</definedName>
    <definedName name="maxzmom">'[2]footing for SP'!$F$138</definedName>
    <definedName name="membid" localSheetId="2">'[1]footing for SP'!$F$10</definedName>
    <definedName name="membid">'[2]footing for SP'!$F$10</definedName>
    <definedName name="method" localSheetId="2">'[1]footing for SP'!$F$15</definedName>
    <definedName name="method">'[2]footing for SP'!$F$15</definedName>
    <definedName name="mingross" localSheetId="2">'[1]footing for SP'!$B$81</definedName>
    <definedName name="mingross">'[2]footing for SP'!$B$81</definedName>
    <definedName name="minpttopx" localSheetId="2">'[1]footing for SP'!$F$161</definedName>
    <definedName name="minpttopx">'[2]footing for SP'!$F$161</definedName>
    <definedName name="minst" localSheetId="2">'[1]footing for SP'!$F$119</definedName>
    <definedName name="minst">'[2]footing for SP'!$F$119</definedName>
    <definedName name="minst_xbotCl" localSheetId="2">'[1]footing for SP'!$B$119</definedName>
    <definedName name="minst_xbotCl">'[2]footing for SP'!$B$119</definedName>
    <definedName name="minst_xtopCl" localSheetId="2">'[1]footing for SP'!$B$161</definedName>
    <definedName name="minst_xtopCl">'[2]footing for SP'!$B$161</definedName>
    <definedName name="minst_zbotCl" localSheetId="2">'[1]footing for SP'!$B$147</definedName>
    <definedName name="minst_zbotCl">'[2]footing for SP'!$B$147</definedName>
    <definedName name="minst_ztopCl" localSheetId="2">'[1]footing for SP'!$B$171</definedName>
    <definedName name="minst_ztopCl">'[2]footing for SP'!$B$171</definedName>
    <definedName name="minstx" localSheetId="2">'[1]footing for SP'!$F$119</definedName>
    <definedName name="minstx">'[2]footing for SP'!$F$119</definedName>
    <definedName name="minstz" localSheetId="2">'[1]footing for SP'!$F$147</definedName>
    <definedName name="minstz">'[2]footing for SP'!$F$147</definedName>
    <definedName name="most">#REF!</definedName>
    <definedName name="mselfx" localSheetId="2">'[1]footing for SP'!$F$100</definedName>
    <definedName name="mselfx">'[2]footing for SP'!$F$100</definedName>
    <definedName name="msoilx" localSheetId="2">'[1]footing for SP'!$F$98</definedName>
    <definedName name="msoilx">'[2]footing for SP'!$F$98</definedName>
    <definedName name="msurx" localSheetId="2">'[1]footing for SP'!$F$99</definedName>
    <definedName name="msurx">'[2]footing for SP'!$F$99</definedName>
    <definedName name="mux" localSheetId="2">'[1]footing for SP'!$F$113</definedName>
    <definedName name="mux">'[2]footing for SP'!$F$113</definedName>
    <definedName name="muxbybd" localSheetId="2">'[1]footing for SP'!$F$115</definedName>
    <definedName name="muxbybd">'[2]footing for SP'!$F$115</definedName>
    <definedName name="muxbybdz" localSheetId="2">'[1]footing for SP'!$F$143</definedName>
    <definedName name="muxbybdz">'[2]footing for SP'!$F$143</definedName>
    <definedName name="muz" localSheetId="2">'[1]footing for SP'!$F$141</definedName>
    <definedName name="muz">'[2]footing for SP'!$F$141</definedName>
    <definedName name="MWL">#REF!</definedName>
    <definedName name="mx" localSheetId="2">'[1]footing for SP'!$F$18</definedName>
    <definedName name="mx">'[2]footing for SP'!$F$18</definedName>
    <definedName name="mxneg" localSheetId="2">'[1]footing for SP'!$F$157</definedName>
    <definedName name="mxneg">'[2]footing for SP'!$F$157</definedName>
    <definedName name="mxnegbybd" localSheetId="2">'[1]footing for SP'!$F$158</definedName>
    <definedName name="mxnegbybd">'[2]footing for SP'!$F$158</definedName>
    <definedName name="mz" localSheetId="2">'[1]footing for SP'!$F$19</definedName>
    <definedName name="mz">'[2]footing for SP'!$F$19</definedName>
    <definedName name="mzneg" localSheetId="2">'[1]footing for SP'!$F$167</definedName>
    <definedName name="mzneg">'[2]footing for SP'!$F$167</definedName>
    <definedName name="mznegbybd" localSheetId="2">'[1]footing for SP'!$F$168</definedName>
    <definedName name="mznegbybd">'[2]footing for SP'!$F$168</definedName>
    <definedName name="nacontact" localSheetId="2">'[1]footing for SP'!$F$154</definedName>
    <definedName name="nacontact">'[2]footing for SP'!$F$154</definedName>
    <definedName name="nbmx1" localSheetId="2">'[1]footing for SP'!$F$97</definedName>
    <definedName name="nbmx1">'[2]footing for SP'!$F$97</definedName>
    <definedName name="nbmz1" localSheetId="2">'[1]footing for SP'!$F$125</definedName>
    <definedName name="nbmz1">'[2]footing for SP'!$F$125</definedName>
    <definedName name="netbmx1" localSheetId="2">'[1]footing for SP'!$F$101</definedName>
    <definedName name="netbmx1">'[2]footing for SP'!$F$101</definedName>
    <definedName name="netpbmx1" localSheetId="2">'[1]footing for SP'!$F$108</definedName>
    <definedName name="netpbmx1">'[2]footing for SP'!$F$108</definedName>
    <definedName name="netpbmz1" localSheetId="2">'[1]footing for SP'!$F$136</definedName>
    <definedName name="netpbmz1">'[2]footing for SP'!$F$136</definedName>
    <definedName name="netpres" localSheetId="2">'[1]footing for SP'!$F$83</definedName>
    <definedName name="netpres">'[2]footing for SP'!$F$83</definedName>
    <definedName name="nineline" localSheetId="2">'[1]footing for SP'!#REF!</definedName>
    <definedName name="nineline">'[2]footing for SP'!#REF!</definedName>
    <definedName name="nmselfx" localSheetId="2">'[1]footing for SP'!$F$128</definedName>
    <definedName name="nmselfx">'[2]footing for SP'!$F$128</definedName>
    <definedName name="nmsoilz" localSheetId="2">'[1]footing for SP'!$F$126</definedName>
    <definedName name="nmsoilz">'[2]footing for SP'!$F$126</definedName>
    <definedName name="nmsurx" localSheetId="2">'[1]footing for SP'!$F$127</definedName>
    <definedName name="nmsurx">'[2]footing for SP'!$F$127</definedName>
    <definedName name="nnetbmz" localSheetId="2">'[1]footing for SP'!$F$129</definedName>
    <definedName name="nnetbmz">'[2]footing for SP'!$F$129</definedName>
    <definedName name="nsbc" localSheetId="2">'[1]footing for SP'!$F$26</definedName>
    <definedName name="nsbc">'[2]footing for SP'!$F$26</definedName>
    <definedName name="nstext" localSheetId="2">'[1]footing for SP'!$B$180</definedName>
    <definedName name="nstext">'[2]footing for SP'!$B$180</definedName>
    <definedName name="nstext1" localSheetId="2">'[1]footing for SP'!$B$183</definedName>
    <definedName name="nstext1">'[2]footing for SP'!$B$183</definedName>
    <definedName name="nstext2" localSheetId="2">'[1]footing for SP'!$B$195</definedName>
    <definedName name="nstext2">'[2]footing for SP'!$B$195</definedName>
    <definedName name="nstext3" localSheetId="2">'[1]footing for SP'!$B$198</definedName>
    <definedName name="nstext3">'[2]footing for SP'!$B$198</definedName>
    <definedName name="offset" localSheetId="2">'[1]footing for SP'!$F$37</definedName>
    <definedName name="offset">'[2]footing for SP'!$F$37</definedName>
    <definedName name="old">#REF!</definedName>
    <definedName name="p">#REF!</definedName>
    <definedName name="Page" localSheetId="2">[12]Design!$G$8</definedName>
    <definedName name="Page">[13]Design!$G$8</definedName>
    <definedName name="pbmx1" localSheetId="2">'[1]footing for SP'!$F$104</definedName>
    <definedName name="pbmx1">'[2]footing for SP'!$F$104</definedName>
    <definedName name="pbmz2" localSheetId="2">'[1]footing for SP'!$F$132</definedName>
    <definedName name="pbmz2">'[2]footing for SP'!$F$132</definedName>
    <definedName name="Pbx">[6]Design!#REF!</definedName>
    <definedName name="Pby">[6]Design!#REF!</definedName>
    <definedName name="persteel" localSheetId="2">'[1]footing for SP'!$F$116</definedName>
    <definedName name="persteel">'[2]footing for SP'!$F$116</definedName>
    <definedName name="persteelneg" localSheetId="2">'[1]footing for SP'!$F$163</definedName>
    <definedName name="persteelneg">'[2]footing for SP'!$F$163</definedName>
    <definedName name="persteelnegz" localSheetId="2">'[1]footing for SP'!$F$173</definedName>
    <definedName name="persteelnegz">'[2]footing for SP'!$F$173</definedName>
    <definedName name="persteelz" localSheetId="2">'[1]footing for SP'!$F$144</definedName>
    <definedName name="persteelz">'[2]footing for SP'!$F$144</definedName>
    <definedName name="pgross" localSheetId="2">'[1]footing for SP'!$F$80</definedName>
    <definedName name="pgross">'[2]footing for SP'!$F$80</definedName>
    <definedName name="Pipes" localSheetId="2">'[10]SSR 04-05'!$K$3:$AE$319</definedName>
    <definedName name="Pipes">'[11]SSR 04-05'!$K$3:$AE$319</definedName>
    <definedName name="pmin" localSheetId="2">'[1]footing for SP'!$F$81</definedName>
    <definedName name="pmin">'[2]footing for SP'!$F$81</definedName>
    <definedName name="pmselfx" localSheetId="2">'[1]footing for SP'!$F$107</definedName>
    <definedName name="pmselfx">'[2]footing for SP'!$F$107</definedName>
    <definedName name="pmselfz" localSheetId="2">'[1]footing for SP'!$F$135</definedName>
    <definedName name="pmselfz">'[2]footing for SP'!$F$135</definedName>
    <definedName name="pmsoilx" localSheetId="2">'[1]footing for SP'!$F$105</definedName>
    <definedName name="pmsoilx">'[2]footing for SP'!$F$105</definedName>
    <definedName name="pmsoilz" localSheetId="2">'[1]footing for SP'!$F$133</definedName>
    <definedName name="pmsoilz">'[2]footing for SP'!$F$133</definedName>
    <definedName name="pmsurx" localSheetId="2">'[1]footing for SP'!$F$106</definedName>
    <definedName name="pmsurx">'[2]footing for SP'!$F$106</definedName>
    <definedName name="pmsurz" localSheetId="2">'[1]footing for SP'!$F$134</definedName>
    <definedName name="pmsurz">'[2]footing for SP'!$F$134</definedName>
    <definedName name="pres1" localSheetId="2">'[1]footing for SP'!$B$87</definedName>
    <definedName name="pres1">'[2]footing for SP'!$B$87</definedName>
    <definedName name="pres10" localSheetId="2">'[1]footing for SP'!$C$91</definedName>
    <definedName name="pres10">'[2]footing for SP'!$C$91</definedName>
    <definedName name="pres11" localSheetId="2">'[1]footing for SP'!$D$87</definedName>
    <definedName name="pres11">'[2]footing for SP'!$D$87</definedName>
    <definedName name="pres12" localSheetId="2">'[1]footing for SP'!$D$88</definedName>
    <definedName name="pres12">'[2]footing for SP'!$D$88</definedName>
    <definedName name="pres13" localSheetId="2">'[1]footing for SP'!$D$89</definedName>
    <definedName name="pres13">'[2]footing for SP'!$D$89</definedName>
    <definedName name="pres14" localSheetId="2">'[1]footing for SP'!$D$90</definedName>
    <definedName name="pres14">'[2]footing for SP'!$D$90</definedName>
    <definedName name="pres15" localSheetId="2">'[1]footing for SP'!$D$91</definedName>
    <definedName name="pres15">'[2]footing for SP'!$D$91</definedName>
    <definedName name="pres16" localSheetId="2">'[1]footing for SP'!$E$87</definedName>
    <definedName name="pres16">'[2]footing for SP'!$E$87</definedName>
    <definedName name="pres17" localSheetId="2">'[1]footing for SP'!$E$88</definedName>
    <definedName name="pres17">'[2]footing for SP'!$E$88</definedName>
    <definedName name="pres18" localSheetId="2">'[1]footing for SP'!$E$89</definedName>
    <definedName name="pres18">'[2]footing for SP'!$E$89</definedName>
    <definedName name="pres19" localSheetId="2">'[1]footing for SP'!$E$90</definedName>
    <definedName name="pres19">'[2]footing for SP'!$E$90</definedName>
    <definedName name="pres2" localSheetId="2">'[1]footing for SP'!$B$88</definedName>
    <definedName name="pres2">'[2]footing for SP'!$B$88</definedName>
    <definedName name="pres20" localSheetId="2">'[1]footing for SP'!$E$91</definedName>
    <definedName name="pres20">'[2]footing for SP'!$E$91</definedName>
    <definedName name="pres21" localSheetId="2">'[1]footing for SP'!$F$87</definedName>
    <definedName name="pres21">'[2]footing for SP'!$F$87</definedName>
    <definedName name="pres22" localSheetId="2">'[1]footing for SP'!$F$88</definedName>
    <definedName name="pres22">'[2]footing for SP'!$F$88</definedName>
    <definedName name="pres23" localSheetId="2">'[1]footing for SP'!$F$89</definedName>
    <definedName name="pres23">'[2]footing for SP'!$F$89</definedName>
    <definedName name="pres24" localSheetId="2">'[1]footing for SP'!$F$90</definedName>
    <definedName name="pres24">'[2]footing for SP'!$F$90</definedName>
    <definedName name="pres3" localSheetId="2">'[1]footing for SP'!$B$89</definedName>
    <definedName name="pres3">'[2]footing for SP'!$B$89</definedName>
    <definedName name="pres4" localSheetId="2">'[1]footing for SP'!$B$90</definedName>
    <definedName name="pres4">'[2]footing for SP'!$B$90</definedName>
    <definedName name="pres5" localSheetId="2">'[1]footing for SP'!$B$91</definedName>
    <definedName name="pres5">'[2]footing for SP'!$B$91</definedName>
    <definedName name="pres6" localSheetId="2">'[1]footing for SP'!$C$87</definedName>
    <definedName name="pres6">'[2]footing for SP'!$C$87</definedName>
    <definedName name="pres7" localSheetId="2">'[1]footing for SP'!$C$88</definedName>
    <definedName name="pres7">'[2]footing for SP'!$C$88</definedName>
    <definedName name="pres8" localSheetId="2">'[1]footing for SP'!$C$89</definedName>
    <definedName name="pres8">'[2]footing for SP'!$C$89</definedName>
    <definedName name="pres9" localSheetId="2">'[1]footing for SP'!$C$90</definedName>
    <definedName name="pres9">'[2]footing for SP'!$C$90</definedName>
    <definedName name="pressure" localSheetId="2">'[1]footing for SP'!$F$46</definedName>
    <definedName name="pressure">'[2]footing for SP'!$F$46</definedName>
    <definedName name="_xlnm.Print_Area" localSheetId="9">'Abutment Design'!$A$1:$M$123</definedName>
    <definedName name="_xlnm.Print_Area" localSheetId="1">'check slip'!$A$1:$D$23</definedName>
    <definedName name="_xlnm.Print_Area" localSheetId="0">Cov!$A$1:$J$51</definedName>
    <definedName name="_xlnm.Print_Area" localSheetId="5">'DATA FULL'!$A$1:$G$645</definedName>
    <definedName name="_xlnm.Print_Area" localSheetId="10">DWG!$A$1:$K$40</definedName>
    <definedName name="_xlnm.Print_Area" localSheetId="3">'Gen abs'!$A$1:$G$22</definedName>
    <definedName name="_xlnm.Print_Area" localSheetId="6">'Lead '!$A$1:$N$21</definedName>
    <definedName name="_xlnm.Print_Area" localSheetId="11">'Morth Spec'!$A$1:$M$132</definedName>
    <definedName name="_xlnm.Print_Area" localSheetId="2">'REPORT '!$A$1:$D$36</definedName>
    <definedName name="_xlnm.Print_Area" localSheetId="4">'SC Detailed'!$A$1:$K$85</definedName>
    <definedName name="_xlnm.Print_Area" localSheetId="8">'Scor Depth'!$A$1:$J$24</definedName>
    <definedName name="_xlnm.Print_Area" localSheetId="7">seinorage!$A$1:$I$24</definedName>
    <definedName name="_xlnm.Print_Titles" localSheetId="3">'Gen abs'!$3:$4</definedName>
    <definedName name="_xlnm.Print_Titles" localSheetId="4">'SC Detailed'!$3:$4</definedName>
    <definedName name="project" localSheetId="2">#REF!</definedName>
    <definedName name="project">#REF!</definedName>
    <definedName name="provideuplift" localSheetId="2">'[1]footing for SP'!$B$165</definedName>
    <definedName name="provideuplift">'[2]footing for SP'!$B$165</definedName>
    <definedName name="provideupliftz" localSheetId="2">'[1]footing for SP'!$B$175</definedName>
    <definedName name="provideupliftz">'[2]footing for SP'!$B$175</definedName>
    <definedName name="providex" localSheetId="2">'[1]footing for SP'!$B$121</definedName>
    <definedName name="providex">'[2]footing for SP'!$B$121</definedName>
    <definedName name="providex1" localSheetId="2">'[1]footing for SP'!$B$122</definedName>
    <definedName name="providex1">'[2]footing for SP'!$B$122</definedName>
    <definedName name="providez" localSheetId="2">'[1]footing for SP'!$B$150</definedName>
    <definedName name="providez">'[2]footing for SP'!$B$150</definedName>
    <definedName name="pswt" localSheetId="2">'[1]footing for SP'!$F$31</definedName>
    <definedName name="pswt">'[2]footing for SP'!$F$31</definedName>
    <definedName name="punshear" localSheetId="2">'[1]footing for SP'!$F$212</definedName>
    <definedName name="punshear">'[2]footing for SP'!$F$212</definedName>
    <definedName name="Puz">[6]Design!#REF!</definedName>
    <definedName name="pz" localSheetId="2">'[1]footing for SP'!$F$203</definedName>
    <definedName name="pz">'[2]footing for SP'!$F$203</definedName>
    <definedName name="Q">'[14]head loss calc'!$F$8</definedName>
    <definedName name="qqqq" localSheetId="2">#REF!</definedName>
    <definedName name="qqqq">#REF!</definedName>
    <definedName name="qwesd" localSheetId="2">#REF!</definedName>
    <definedName name="qwesd">#REF!</definedName>
    <definedName name="qwing" localSheetId="2">#REF!</definedName>
    <definedName name="qwing">#REF!</definedName>
    <definedName name="qwqe_09">#REF!</definedName>
    <definedName name="raju">#REF!</definedName>
    <definedName name="rect_4_415">#REF!</definedName>
    <definedName name="REDDY" localSheetId="9">#REF!</definedName>
    <definedName name="REDDY" localSheetId="2">#REF!</definedName>
    <definedName name="REDDY" localSheetId="4">#REF!</definedName>
    <definedName name="REDDY">#REF!</definedName>
    <definedName name="remain1" localSheetId="2">'[1]footing for SP'!$185:$191</definedName>
    <definedName name="remain1">'[2]footing for SP'!$185:$191</definedName>
    <definedName name="remain2" localSheetId="2">'[1]footing for SP'!$200:$205</definedName>
    <definedName name="remain2">'[2]footing for SP'!$200:$205</definedName>
    <definedName name="REVETMENT" localSheetId="0">'[3]Road Detail Est.'!#REF!</definedName>
    <definedName name="REVETMENT">'[3]Road Detail Est.'!#REF!</definedName>
    <definedName name="rs">#REF!</definedName>
    <definedName name="s">#REF!</definedName>
    <definedName name="SD">#REF!</definedName>
    <definedName name="se" localSheetId="2">[4]Data!#REF!</definedName>
    <definedName name="se">[5]Data!#REF!</definedName>
    <definedName name="secline" localSheetId="2">'[1]footing for SP'!#REF!</definedName>
    <definedName name="secline">'[2]footing for SP'!#REF!</definedName>
    <definedName name="sevenline" localSheetId="2">'[1]footing for SP'!#REF!</definedName>
    <definedName name="sevenline">'[2]footing for SP'!#REF!</definedName>
    <definedName name="sfs">#REF!</definedName>
    <definedName name="sfwtabove" localSheetId="2">'[1]footing for SP'!$F$155</definedName>
    <definedName name="sfwtabove">'[2]footing for SP'!$F$155</definedName>
    <definedName name="shape" localSheetId="2">'[1]footing for SP'!$F$11</definedName>
    <definedName name="shape">'[2]footing for SP'!$F$11</definedName>
    <definedName name="sheararea" localSheetId="2">'[1]footing for SP'!$F$186</definedName>
    <definedName name="sheararea">'[2]footing for SP'!$F$186</definedName>
    <definedName name="shearareaz" localSheetId="2">'[1]footing for SP'!$F$201</definedName>
    <definedName name="shearareaz">'[2]footing for SP'!$F$201</definedName>
    <definedName name="shearnegx1" localSheetId="2">'[1]footing for SP'!$F$179</definedName>
    <definedName name="shearnegx1">'[2]footing for SP'!$F$179</definedName>
    <definedName name="shearnegz1" localSheetId="2">'[1]footing for SP'!$F$194</definedName>
    <definedName name="shearnegz1">'[2]footing for SP'!$F$194</definedName>
    <definedName name="shearnot" localSheetId="2">'[1]footing for SP'!$B$179:$G$180</definedName>
    <definedName name="shearnot">'[2]footing for SP'!$B$179:$G$180</definedName>
    <definedName name="shearnot1" localSheetId="2">'[1]footing for SP'!$B$182:$G$183</definedName>
    <definedName name="shearnot1">'[2]footing for SP'!$B$182:$G$183</definedName>
    <definedName name="shearnot2" localSheetId="2">'[1]footing for SP'!$B$194:$G$195</definedName>
    <definedName name="shearnot2">'[2]footing for SP'!$B$194:$G$195</definedName>
    <definedName name="shearnot3" localSheetId="2">'[1]footing for SP'!$B$197:$G$198</definedName>
    <definedName name="shearnot3">'[2]footing for SP'!$B$197:$G$198</definedName>
    <definedName name="shearposx1" localSheetId="2">'[1]footing for SP'!$F$182</definedName>
    <definedName name="shearposx1">'[2]footing for SP'!$F$182</definedName>
    <definedName name="shearposz1" localSheetId="2">'[1]footing for SP'!$F$197</definedName>
    <definedName name="shearposz1">'[2]footing for SP'!$F$197</definedName>
    <definedName name="shearvalue">#REF!</definedName>
    <definedName name="shutarea" localSheetId="2">'[1]footing for SP'!$F$236</definedName>
    <definedName name="shutarea">'[2]footing for SP'!$F$236</definedName>
    <definedName name="sixline" localSheetId="2">'[1]footing for SP'!#REF!</definedName>
    <definedName name="sixline">'[2]footing for SP'!#REF!</definedName>
    <definedName name="sla">'[15]Pile cap'!#REF!</definedName>
    <definedName name="Soil_Dens_Wet" localSheetId="9">'[16]5.4'!$R$61</definedName>
    <definedName name="Soil_Dens_Wet" localSheetId="2">'[17]5.4'!$R$61</definedName>
    <definedName name="Soil_Dens_Wet" localSheetId="4">'[16]5.4'!$R$61</definedName>
    <definedName name="Soil_Dens_Wet">'[18]5.4'!$R$61</definedName>
    <definedName name="SPREADING_65MM" localSheetId="0">'[3]Road data'!#REF!</definedName>
    <definedName name="SPREADING_65MM">'[3]Road data'!#REF!</definedName>
    <definedName name="sqrtrat" localSheetId="2">'[1]footing for SP'!$F$227</definedName>
    <definedName name="sqrtrat">'[2]footing for SP'!$F$227</definedName>
    <definedName name="SS">#REF!</definedName>
    <definedName name="SSR" localSheetId="9">'[19]scour depth'!#REF!</definedName>
    <definedName name="SSR" localSheetId="2">'[19]scour depth'!#REF!</definedName>
    <definedName name="SSR" localSheetId="4">'[19]scour depth'!#REF!</definedName>
    <definedName name="SSR">'[19]scour depth'!#REF!</definedName>
    <definedName name="sswt" localSheetId="2">'[1]footing for SP'!$F$45</definedName>
    <definedName name="sswt">'[2]footing for SP'!$F$45</definedName>
    <definedName name="Status" localSheetId="2">[7]Sheet2!$F$2:$F$6</definedName>
    <definedName name="Status">[8]Sheet2!$F$2:$F$6</definedName>
    <definedName name="steelcon" localSheetId="2">'[1]footing for SP'!$F$237</definedName>
    <definedName name="steelcon">'[2]footing for SP'!$F$237</definedName>
    <definedName name="steelz" localSheetId="2">'[1]footing for SP'!$F$171</definedName>
    <definedName name="steelz">'[2]footing for SP'!$F$171</definedName>
    <definedName name="structure">#REF!</definedName>
    <definedName name="surcharge" localSheetId="2">'[1]footing for SP'!$F$32</definedName>
    <definedName name="surcharge">'[2]footing for SP'!$F$32</definedName>
    <definedName name="Table">#REF!</definedName>
    <definedName name="table\">#REF!</definedName>
    <definedName name="table_2">#REF!</definedName>
    <definedName name="table_22">#REF!</definedName>
    <definedName name="table1">#REF!</definedName>
    <definedName name="TABLE2">#REF!</definedName>
    <definedName name="table22">#REF!</definedName>
    <definedName name="table3">#REF!</definedName>
    <definedName name="table4">#REF!</definedName>
    <definedName name="tauc" localSheetId="2">'[1]footing for SP'!$F$189</definedName>
    <definedName name="tauc">'[2]footing for SP'!$F$189</definedName>
    <definedName name="taucz" localSheetId="2">'[1]footing for SP'!$F$204</definedName>
    <definedName name="taucz">'[2]footing for SP'!$F$204</definedName>
    <definedName name="taup" localSheetId="2">'[1]footing for SP'!$F$220</definedName>
    <definedName name="taup">'[2]footing for SP'!$F$220</definedName>
    <definedName name="tauvx" localSheetId="2">'[1]footing for SP'!$F$187</definedName>
    <definedName name="tauvx">'[2]footing for SP'!$F$187</definedName>
    <definedName name="tauvz" localSheetId="2">'[1]footing for SP'!$F$202</definedName>
    <definedName name="tauvz">'[2]footing for SP'!$F$202</definedName>
    <definedName name="TBL">#REF!</definedName>
    <definedName name="TenderApprovingAuthority" localSheetId="2">[7]Sheet2!$E$2:$E$5</definedName>
    <definedName name="TenderApprovingAuthority">[8]Sheet2!$E$2:$E$5</definedName>
    <definedName name="thirdline" localSheetId="2">'[1]footing for SP'!#REF!</definedName>
    <definedName name="thirdline">'[2]footing for SP'!#REF!</definedName>
    <definedName name="tqcon" localSheetId="2">'[1]footing for SP'!$F$235</definedName>
    <definedName name="tqcon">'[2]footing for SP'!$F$235</definedName>
    <definedName name="tqsteel" localSheetId="2">'[1]footing for SP'!$F$234</definedName>
    <definedName name="tqsteel">'[2]footing for SP'!$F$234</definedName>
    <definedName name="tvalue">#REF!</definedName>
    <definedName name="TW">#REF!</definedName>
    <definedName name="txdf">#REF!</definedName>
    <definedName name="type" localSheetId="2">'[1]footing for SP'!$F$14</definedName>
    <definedName name="type">'[2]footing for SP'!$F$14</definedName>
    <definedName name="uplift1" localSheetId="2">'[1]footing for SP'!$B$152</definedName>
    <definedName name="uplift1">'[2]footing for SP'!$B$152</definedName>
    <definedName name="uplift2" localSheetId="2">'[1]footing for SP'!$B$154</definedName>
    <definedName name="uplift2">'[2]footing for SP'!$B$154</definedName>
    <definedName name="uplift3" localSheetId="2">'[1]footing for SP'!$B$155</definedName>
    <definedName name="uplift3">'[2]footing for SP'!$B$155</definedName>
    <definedName name="uplift4" localSheetId="2">'[1]footing for SP'!$B$157</definedName>
    <definedName name="uplift4">'[2]footing for SP'!$B$157</definedName>
    <definedName name="uplift5" localSheetId="2">'[1]footing for SP'!$B$158</definedName>
    <definedName name="uplift5">'[2]footing for SP'!$B$158</definedName>
    <definedName name="uplift6" localSheetId="2">'[1]footing for SP'!$B$161</definedName>
    <definedName name="uplift6">'[2]footing for SP'!$B$161</definedName>
    <definedName name="uplift7" localSheetId="2">'[1]footing for SP'!$B$162</definedName>
    <definedName name="uplift7">'[2]footing for SP'!$B$162</definedName>
    <definedName name="upliftoutput" localSheetId="2">'[1]footing for SP'!$152:$176</definedName>
    <definedName name="upliftoutput">'[2]footing for SP'!$152:$176</definedName>
    <definedName name="vnegx1" localSheetId="2">'[1]footing for SP'!$F$180</definedName>
    <definedName name="vnegx1">'[2]footing for SP'!$F$180</definedName>
    <definedName name="vnegz1" localSheetId="2">'[1]footing for SP'!$F$195</definedName>
    <definedName name="vnegz1">'[2]footing for SP'!$F$195</definedName>
    <definedName name="vposx1" localSheetId="2">'[1]footing for SP'!$F$183</definedName>
    <definedName name="vposx1">'[2]footing for SP'!$F$183</definedName>
    <definedName name="vposz1" localSheetId="2">'[1]footing for SP'!$F$198</definedName>
    <definedName name="vposz1">'[2]footing for SP'!$F$198</definedName>
    <definedName name="vpu" localSheetId="2">'[1]footing for SP'!$F$219</definedName>
    <definedName name="vpu">'[2]footing for SP'!$F$219</definedName>
    <definedName name="Water_Dens" localSheetId="9">'[16]5.4'!$R$62</definedName>
    <definedName name="Water_Dens" localSheetId="2">'[17]5.4'!$R$62</definedName>
    <definedName name="Water_Dens" localSheetId="4">'[16]5.4'!$R$62</definedName>
    <definedName name="Water_Dens">'[18]5.4'!$R$62</definedName>
    <definedName name="WEIGHT">'[20]bar bending'!#REF!</definedName>
    <definedName name="width" localSheetId="2">'[1]footing for SP'!$F$20</definedName>
    <definedName name="width">'[2]footing for SP'!$F$20</definedName>
    <definedName name="WT">'[20]bar bending'!#REF!</definedName>
    <definedName name="wtdel1" localSheetId="2">'[1]footing for SP'!#REF!</definedName>
    <definedName name="wtdel1">'[2]footing for SP'!#REF!</definedName>
    <definedName name="wtdelnot3" localSheetId="2">'[1]footing for SP'!$A$200:$G$205</definedName>
    <definedName name="wtdelnot3">'[2]footing for SP'!$A$200:$G$205</definedName>
    <definedName name="wtnotdel1" localSheetId="2">'[1]footing for SP'!$73:$75</definedName>
    <definedName name="wtnotdel1">'[2]footing for SP'!$73:$75</definedName>
    <definedName name="wtnotdel2" localSheetId="2">'[1]footing for SP'!$98:$101</definedName>
    <definedName name="wtnotdel2">'[2]footing for SP'!$98:$101</definedName>
    <definedName name="wtnotdel3" localSheetId="2">'[1]footing for SP'!$105:$108</definedName>
    <definedName name="wtnotdel3">'[2]footing for SP'!$105:$108</definedName>
    <definedName name="wtnotdel4" localSheetId="2">'[1]footing for SP'!$126:$129</definedName>
    <definedName name="wtnotdel4">'[2]footing for SP'!$126:$129</definedName>
    <definedName name="wtnotdel5" localSheetId="2">'[1]footing for SP'!$133:$136</definedName>
    <definedName name="wtnotdel5">'[2]footing for SP'!$133:$136</definedName>
    <definedName name="wtnotdel6" localSheetId="2">'[1]footing for SP'!$180:$180</definedName>
    <definedName name="wtnotdel6">'[2]footing for SP'!$180:$180</definedName>
    <definedName name="wtnotdel7" localSheetId="2">'[1]footing for SP'!$183:$183</definedName>
    <definedName name="wtnotdel7">'[2]footing for SP'!$183:$183</definedName>
    <definedName name="wtnotdel8" localSheetId="2">'[1]footing for SP'!$195:$195</definedName>
    <definedName name="wtnotdel8">'[2]footing for SP'!$195:$195</definedName>
    <definedName name="wtnotdel9" localSheetId="2">'[1]footing for SP'!$198:$198</definedName>
    <definedName name="wtnotdel9">'[2]footing for SP'!$198:$198</definedName>
    <definedName name="xbdia" localSheetId="2">'[1]footing for SP'!$F$33</definedName>
    <definedName name="xbdia">'[2]footing for SP'!$F$33</definedName>
    <definedName name="xfx">#REF!</definedName>
    <definedName name="xlval" localSheetId="2">'[1]footing for SP'!#REF!</definedName>
    <definedName name="xlval">'[2]footing for SP'!#REF!</definedName>
    <definedName name="xtdia" localSheetId="2">'[1]footing for SP'!$F$34</definedName>
    <definedName name="xtdia">'[2]footing for SP'!$F$34</definedName>
    <definedName name="xval1" localSheetId="2">'[1]footing for SP'!$B$67</definedName>
    <definedName name="xval1">'[2]footing for SP'!$B$67</definedName>
    <definedName name="xval2" localSheetId="2">'[1]footing for SP'!$D$67</definedName>
    <definedName name="xval2">'[2]footing for SP'!$D$67</definedName>
    <definedName name="ybval" localSheetId="2">'[1]footing for SP'!#REF!</definedName>
    <definedName name="ybval">'[2]footing for SP'!#REF!</definedName>
    <definedName name="yy">#REF!</definedName>
    <definedName name="zbdia" localSheetId="2">'[1]footing for SP'!$F$35</definedName>
    <definedName name="zbdia">'[2]footing for SP'!$F$35</definedName>
    <definedName name="zonedel" localSheetId="2">'[1]footing for SP'!#REF!</definedName>
    <definedName name="zonedel">'[2]footing for SP'!#REF!</definedName>
    <definedName name="ztdia" localSheetId="2">'[1]footing for SP'!$F$36</definedName>
    <definedName name="ztdia">'[2]footing for SP'!$F$36</definedName>
    <definedName name="zval1" localSheetId="2">'[1]footing for SP'!$B$68</definedName>
    <definedName name="zval1">'[2]footing for SP'!$B$68</definedName>
    <definedName name="zval2" localSheetId="2">'[1]footing for SP'!$D$68</definedName>
    <definedName name="zval2">'[2]footing for SP'!$D$68</definedName>
  </definedNames>
  <calcPr calcId="124519"/>
</workbook>
</file>

<file path=xl/calcChain.xml><?xml version="1.0" encoding="utf-8"?>
<calcChain xmlns="http://schemas.openxmlformats.org/spreadsheetml/2006/main">
  <c r="S7" i="81"/>
  <c r="S8"/>
  <c r="K8"/>
  <c r="I8"/>
  <c r="H8"/>
  <c r="L7"/>
  <c r="M6" s="1"/>
  <c r="J7"/>
  <c r="M7" s="1"/>
  <c r="L6"/>
  <c r="J6"/>
  <c r="O6" l="1"/>
  <c r="N7"/>
  <c r="O7"/>
  <c r="N6"/>
  <c r="A1" i="74"/>
  <c r="A2" i="81"/>
  <c r="F9" i="20"/>
  <c r="F5"/>
  <c r="E637" i="91"/>
  <c r="B637"/>
  <c r="F635"/>
  <c r="F583"/>
  <c r="E585"/>
  <c r="B585"/>
  <c r="F531"/>
  <c r="F453"/>
  <c r="F325"/>
  <c r="F238"/>
  <c r="F85"/>
  <c r="E87"/>
  <c r="P6" i="81" l="1"/>
  <c r="P7"/>
  <c r="B2" i="84"/>
  <c r="C2" i="72"/>
  <c r="C2" i="20"/>
  <c r="A1" i="82"/>
  <c r="B1"/>
  <c r="E9" i="20"/>
  <c r="T114" i="90"/>
  <c r="T112"/>
  <c r="R105"/>
  <c r="S108" s="1"/>
  <c r="S112" s="1"/>
  <c r="S107"/>
  <c r="S106"/>
  <c r="P102"/>
  <c r="G16" i="88"/>
  <c r="G6"/>
  <c r="G11" s="1"/>
  <c r="G13" s="1"/>
  <c r="G15" s="1"/>
  <c r="I16" s="1"/>
  <c r="G17" l="1"/>
  <c r="I6" i="72" l="1"/>
  <c r="J73"/>
  <c r="J72"/>
  <c r="J71"/>
  <c r="D5" i="86"/>
  <c r="J78" i="72" l="1"/>
  <c r="J79"/>
  <c r="J77"/>
  <c r="J70"/>
  <c r="J69"/>
  <c r="J74" s="1"/>
  <c r="J75" s="1"/>
  <c r="E12" i="20" s="1"/>
  <c r="C12" i="82" s="1"/>
  <c r="I67" i="72"/>
  <c r="G35"/>
  <c r="H6"/>
  <c r="H14" s="1"/>
  <c r="G6"/>
  <c r="G14" s="1"/>
  <c r="D83"/>
  <c r="J83" s="1"/>
  <c r="C83"/>
  <c r="B83"/>
  <c r="J80" l="1"/>
  <c r="J81" s="1"/>
  <c r="E13" i="20" s="1"/>
  <c r="N57" i="72"/>
  <c r="D82" l="1"/>
  <c r="B82"/>
  <c r="C82"/>
  <c r="B13" i="20"/>
  <c r="J82" i="72" l="1"/>
  <c r="D9" l="1"/>
  <c r="J9" s="1"/>
  <c r="D53" l="1"/>
  <c r="J53" s="1"/>
  <c r="H38"/>
  <c r="D38"/>
  <c r="H24"/>
  <c r="D24"/>
  <c r="H17"/>
  <c r="D17"/>
  <c r="I10"/>
  <c r="H10"/>
  <c r="D10"/>
  <c r="I49"/>
  <c r="B20"/>
  <c r="C20"/>
  <c r="J30"/>
  <c r="J29"/>
  <c r="J28"/>
  <c r="J27"/>
  <c r="J26"/>
  <c r="I23"/>
  <c r="H23"/>
  <c r="G23"/>
  <c r="F23"/>
  <c r="C23"/>
  <c r="I22"/>
  <c r="I24" s="1"/>
  <c r="H22"/>
  <c r="G22"/>
  <c r="F22"/>
  <c r="C22"/>
  <c r="I8"/>
  <c r="H8"/>
  <c r="H37" s="1"/>
  <c r="H7"/>
  <c r="H15" s="1"/>
  <c r="D6"/>
  <c r="L60"/>
  <c r="I37"/>
  <c r="I36"/>
  <c r="I38" s="1"/>
  <c r="F57"/>
  <c r="L52"/>
  <c r="M52" s="1"/>
  <c r="F52"/>
  <c r="H51"/>
  <c r="G51"/>
  <c r="I50"/>
  <c r="F50"/>
  <c r="F51" s="1"/>
  <c r="G49"/>
  <c r="G50" s="1"/>
  <c r="F48"/>
  <c r="C36"/>
  <c r="F36"/>
  <c r="C37"/>
  <c r="F37"/>
  <c r="G37"/>
  <c r="F35"/>
  <c r="C35"/>
  <c r="F15"/>
  <c r="F16"/>
  <c r="G16"/>
  <c r="F14"/>
  <c r="C15"/>
  <c r="C16"/>
  <c r="C14"/>
  <c r="D67" l="1"/>
  <c r="J24"/>
  <c r="J38"/>
  <c r="J10"/>
  <c r="J17"/>
  <c r="G7"/>
  <c r="G15" s="1"/>
  <c r="D21"/>
  <c r="D22"/>
  <c r="J22" s="1"/>
  <c r="I7"/>
  <c r="D23"/>
  <c r="J23" s="1"/>
  <c r="D50"/>
  <c r="J50" s="1"/>
  <c r="D35"/>
  <c r="D7"/>
  <c r="J6"/>
  <c r="D16"/>
  <c r="D49"/>
  <c r="D14"/>
  <c r="D48"/>
  <c r="J48" s="1"/>
  <c r="D8"/>
  <c r="J8" s="1"/>
  <c r="D36"/>
  <c r="D52"/>
  <c r="D57"/>
  <c r="D15"/>
  <c r="D37"/>
  <c r="J37" s="1"/>
  <c r="D51"/>
  <c r="G67"/>
  <c r="G52"/>
  <c r="H21"/>
  <c r="H16"/>
  <c r="F67"/>
  <c r="I52"/>
  <c r="I51"/>
  <c r="H36"/>
  <c r="G21"/>
  <c r="J16" l="1"/>
  <c r="J65"/>
  <c r="J7"/>
  <c r="J11" s="1"/>
  <c r="G36"/>
  <c r="J36" s="1"/>
  <c r="J21"/>
  <c r="J49"/>
  <c r="J52"/>
  <c r="J51"/>
  <c r="J67"/>
  <c r="J68" s="1"/>
  <c r="E11" i="20" s="1"/>
  <c r="C10" i="82" s="1"/>
  <c r="J35" i="72"/>
  <c r="J15"/>
  <c r="J14"/>
  <c r="J72" i="74"/>
  <c r="F47"/>
  <c r="J35"/>
  <c r="Q18"/>
  <c r="P18"/>
  <c r="H14"/>
  <c r="M13"/>
  <c r="M15" s="1"/>
  <c r="L13"/>
  <c r="K13"/>
  <c r="J13"/>
  <c r="I13"/>
  <c r="F5"/>
  <c r="K4"/>
  <c r="J58" i="72"/>
  <c r="J44"/>
  <c r="J43"/>
  <c r="J42"/>
  <c r="J41"/>
  <c r="J40"/>
  <c r="J18" l="1"/>
  <c r="J39"/>
  <c r="J54"/>
  <c r="J55" s="1"/>
  <c r="E8" i="20" s="1"/>
  <c r="C9" i="82" s="1"/>
  <c r="J25" i="72"/>
  <c r="J31" s="1"/>
  <c r="J32" s="1"/>
  <c r="J70" i="74"/>
  <c r="N13"/>
  <c r="J16"/>
  <c r="K49"/>
  <c r="D34"/>
  <c r="H58"/>
  <c r="I70"/>
  <c r="I34"/>
  <c r="J66"/>
  <c r="J68"/>
  <c r="J69"/>
  <c r="H9"/>
  <c r="I31" s="1"/>
  <c r="J31"/>
  <c r="J32"/>
  <c r="J33"/>
  <c r="J34"/>
  <c r="F53"/>
  <c r="H53"/>
  <c r="F58"/>
  <c r="J67"/>
  <c r="G12" i="82" l="1"/>
  <c r="E10"/>
  <c r="I10"/>
  <c r="D69" i="74"/>
  <c r="I69"/>
  <c r="K69" s="1"/>
  <c r="I32"/>
  <c r="K32" s="1"/>
  <c r="I33"/>
  <c r="D33"/>
  <c r="I67"/>
  <c r="K67" s="1"/>
  <c r="I68"/>
  <c r="K68" s="1"/>
  <c r="K70"/>
  <c r="D32"/>
  <c r="J19" i="72"/>
  <c r="E6" i="20" s="1"/>
  <c r="C7" i="82" s="1"/>
  <c r="J66" i="72"/>
  <c r="E10" i="20" s="1"/>
  <c r="C11" i="82" s="1"/>
  <c r="J45" i="72"/>
  <c r="K33" i="74"/>
  <c r="J73"/>
  <c r="I36"/>
  <c r="I35"/>
  <c r="K35" s="1"/>
  <c r="I72"/>
  <c r="K72" s="1"/>
  <c r="I66"/>
  <c r="D35"/>
  <c r="D31"/>
  <c r="D73"/>
  <c r="D72"/>
  <c r="D67"/>
  <c r="J36"/>
  <c r="I73"/>
  <c r="D36"/>
  <c r="D70"/>
  <c r="D68"/>
  <c r="D66"/>
  <c r="K34"/>
  <c r="F84"/>
  <c r="J71"/>
  <c r="I71"/>
  <c r="K71" s="1"/>
  <c r="D71"/>
  <c r="K31"/>
  <c r="E9" i="82" l="1"/>
  <c r="I9"/>
  <c r="E7"/>
  <c r="C18"/>
  <c r="E18" s="1"/>
  <c r="G13"/>
  <c r="J12" i="72"/>
  <c r="E5" i="20" s="1"/>
  <c r="J46" i="72"/>
  <c r="E7" i="20" s="1"/>
  <c r="C8" i="82" s="1"/>
  <c r="I37" i="74"/>
  <c r="I39" s="1"/>
  <c r="F90"/>
  <c r="F96"/>
  <c r="H90"/>
  <c r="K86"/>
  <c r="H96"/>
  <c r="K36"/>
  <c r="K37" s="1"/>
  <c r="I40" s="1"/>
  <c r="H42" s="1"/>
  <c r="K66"/>
  <c r="I74"/>
  <c r="J102"/>
  <c r="K73"/>
  <c r="H106" s="1"/>
  <c r="I8" i="82" l="1"/>
  <c r="E8"/>
  <c r="I11"/>
  <c r="E11"/>
  <c r="H43" i="74"/>
  <c r="J42" s="1"/>
  <c r="H47" s="1"/>
  <c r="F49" s="1"/>
  <c r="I76"/>
  <c r="H102"/>
  <c r="F103" s="1"/>
  <c r="F106"/>
  <c r="F107" s="1"/>
  <c r="K74"/>
  <c r="I77" s="1"/>
  <c r="H79" s="1"/>
  <c r="E13" i="82" l="1"/>
  <c r="C17" s="1"/>
  <c r="E17" s="1"/>
  <c r="I13"/>
  <c r="C16" s="1"/>
  <c r="E16" s="1"/>
  <c r="H49" i="74"/>
  <c r="G50"/>
  <c r="F60"/>
  <c r="F52"/>
  <c r="F55"/>
  <c r="F57"/>
  <c r="F108"/>
  <c r="G107"/>
  <c r="Q17"/>
  <c r="F104"/>
  <c r="P17"/>
  <c r="G103"/>
  <c r="H80"/>
  <c r="J79"/>
  <c r="H84" s="1"/>
  <c r="F86" s="1"/>
  <c r="F95" s="1"/>
  <c r="E19" i="82" l="1"/>
  <c r="G15" i="20" s="1"/>
  <c r="F98" i="74"/>
  <c r="I98" s="1"/>
  <c r="F89"/>
  <c r="F92"/>
  <c r="F93" s="1"/>
  <c r="O18"/>
  <c r="F99"/>
  <c r="N17"/>
  <c r="I55"/>
  <c r="I60"/>
  <c r="N18"/>
  <c r="H86"/>
  <c r="G87"/>
  <c r="O17" l="1"/>
  <c r="I92"/>
  <c r="G5" i="20" l="1"/>
  <c r="G9" l="1"/>
  <c r="L8" i="81"/>
  <c r="J8"/>
  <c r="G534" i="91"/>
  <c r="F534"/>
  <c r="F241"/>
  <c r="G241" s="1"/>
  <c r="F242"/>
  <c r="G242" s="1"/>
  <c r="F457"/>
  <c r="G457" s="1"/>
  <c r="F329"/>
  <c r="G329" s="1"/>
  <c r="F328"/>
  <c r="G328" s="1"/>
  <c r="F456"/>
  <c r="G456" s="1"/>
  <c r="G458" s="1"/>
  <c r="G459" s="1"/>
  <c r="G460" s="1"/>
  <c r="F10" i="20" s="1"/>
  <c r="G10" s="1"/>
  <c r="F240" i="91"/>
  <c r="G240" s="1"/>
  <c r="F535"/>
  <c r="G535"/>
  <c r="F637"/>
  <c r="G637"/>
  <c r="G638" s="1"/>
  <c r="G639" s="1"/>
  <c r="G640" s="1"/>
  <c r="F13" i="20" s="1"/>
  <c r="G13" s="1"/>
  <c r="F455" i="91"/>
  <c r="G455"/>
  <c r="F327"/>
  <c r="G327" s="1"/>
  <c r="G330" s="1"/>
  <c r="G331" s="1"/>
  <c r="G332" s="1"/>
  <c r="F8" i="20" s="1"/>
  <c r="G8" s="1"/>
  <c r="F243" i="91"/>
  <c r="G243" s="1"/>
  <c r="G244" s="1"/>
  <c r="G245" s="1"/>
  <c r="G246" s="1"/>
  <c r="F7" i="20" s="1"/>
  <c r="G7" s="1"/>
  <c r="F533" i="91"/>
  <c r="G533"/>
  <c r="G536" s="1"/>
  <c r="G537" s="1"/>
  <c r="G538" s="1"/>
  <c r="F11" i="20" s="1"/>
  <c r="G11" s="1"/>
  <c r="M8" i="81"/>
  <c r="N8" s="1"/>
  <c r="F585" i="91" s="1"/>
  <c r="G585" s="1"/>
  <c r="G586" s="1"/>
  <c r="G587" s="1"/>
  <c r="G588" s="1"/>
  <c r="F12" i="20" s="1"/>
  <c r="G12" s="1"/>
  <c r="F87" i="91"/>
  <c r="G87" s="1"/>
  <c r="G88" s="1"/>
  <c r="G89" s="1"/>
  <c r="G90" s="1"/>
  <c r="F6" i="20" s="1"/>
  <c r="G6" s="1"/>
  <c r="G14" l="1"/>
  <c r="I12"/>
  <c r="O8" i="81"/>
  <c r="P8" s="1"/>
  <c r="G19" i="20" l="1"/>
  <c r="G16"/>
  <c r="G17" s="1"/>
  <c r="H17" s="1"/>
  <c r="H18" s="1"/>
  <c r="G18" s="1"/>
  <c r="D2" i="87" l="1"/>
  <c r="G20" i="20"/>
  <c r="G35" i="85" s="1"/>
  <c r="D6" i="86" s="1"/>
</calcChain>
</file>

<file path=xl/sharedStrings.xml><?xml version="1.0" encoding="utf-8"?>
<sst xmlns="http://schemas.openxmlformats.org/spreadsheetml/2006/main" count="1955" uniqueCount="647">
  <si>
    <t>-</t>
  </si>
  <si>
    <t>IRR-CAW-5-3-A</t>
  </si>
  <si>
    <t>Total</t>
  </si>
  <si>
    <t>:</t>
  </si>
  <si>
    <t>Cum</t>
  </si>
  <si>
    <t>Unit</t>
  </si>
  <si>
    <t>Rate</t>
  </si>
  <si>
    <t>Amount</t>
  </si>
  <si>
    <t>Description</t>
  </si>
  <si>
    <t xml:space="preserve">Total </t>
  </si>
  <si>
    <t>m</t>
  </si>
  <si>
    <t>No</t>
  </si>
  <si>
    <t>Nos.</t>
  </si>
  <si>
    <t>Kgs</t>
  </si>
  <si>
    <t>Sl.No</t>
  </si>
  <si>
    <t>IRR-CCDW-7-3</t>
  </si>
  <si>
    <t>Sl. No.</t>
  </si>
  <si>
    <t>IRR-CCDW-1-2</t>
  </si>
  <si>
    <t>IRR-CCDW-2-1</t>
  </si>
  <si>
    <t>IRR-CCDW-2-3</t>
  </si>
  <si>
    <t>IRR-CCDW-2-10</t>
  </si>
  <si>
    <t>IRR-CCDW-2-24</t>
  </si>
  <si>
    <t>IRR-CCDW-2-26</t>
  </si>
  <si>
    <r>
      <t xml:space="preserve">Providing, fabricating and </t>
    </r>
    <r>
      <rPr>
        <b/>
        <sz val="10"/>
        <rFont val="Arial"/>
        <family val="2"/>
      </rPr>
      <t xml:space="preserve">placing in position </t>
    </r>
    <r>
      <rPr>
        <b/>
        <sz val="10"/>
        <rFont val="Cambria"/>
        <family val="1"/>
      </rPr>
      <t>reinforcement</t>
    </r>
    <r>
      <rPr>
        <b/>
        <sz val="10"/>
        <rFont val="Arial"/>
        <family val="2"/>
      </rPr>
      <t xml:space="preserve"> steel bars for RCC works</t>
    </r>
    <r>
      <rPr>
        <sz val="10"/>
        <rFont val="Arial"/>
        <family val="2"/>
      </rPr>
      <t xml:space="preserve"> including cleaning, straightening, cutting, bending, hooking, lapping, welding wherever required,tying with 1.25 mm dia soft annealed steel wire, including cost of all materials, machinery, labour etc., complete </t>
    </r>
    <r>
      <rPr>
        <b/>
        <sz val="10"/>
        <rFont val="Cambria"/>
        <family val="1"/>
      </rPr>
      <t>with initial lead upto 50 and all lifts.</t>
    </r>
  </si>
  <si>
    <r>
      <rPr>
        <b/>
        <sz val="10"/>
        <rFont val="Arial"/>
        <family val="2"/>
      </rPr>
      <t xml:space="preserve">Providing and </t>
    </r>
    <r>
      <rPr>
        <b/>
        <sz val="10"/>
        <rFont val="Cambria"/>
        <family val="1"/>
      </rPr>
      <t>filling murum / gravely soil</t>
    </r>
    <r>
      <rPr>
        <b/>
        <sz val="10"/>
        <rFont val="Arial"/>
        <family val="2"/>
      </rPr>
      <t xml:space="preserve"> ( CNS soil ) </t>
    </r>
    <r>
      <rPr>
        <b/>
        <sz val="10"/>
        <rFont val="Cambria"/>
        <family val="1"/>
      </rPr>
      <t>for foundation or above pipes</t>
    </r>
    <r>
      <rPr>
        <sz val="10"/>
        <rFont val="Cambria"/>
        <family val="1"/>
      </rPr>
      <t xml:space="preserve"> </t>
    </r>
    <r>
      <rPr>
        <sz val="10"/>
        <rFont val="Arial"/>
        <family val="2"/>
      </rPr>
      <t xml:space="preserve">including breaking clods, spreading in layers of 10 to 15 cm, watering, </t>
    </r>
    <r>
      <rPr>
        <b/>
        <sz val="10"/>
        <rFont val="Arial"/>
        <family val="2"/>
      </rPr>
      <t>compaction by power roller</t>
    </r>
    <r>
      <rPr>
        <sz val="10"/>
        <rFont val="Arial"/>
        <family val="2"/>
      </rPr>
      <t xml:space="preserve"> to achieve density </t>
    </r>
    <r>
      <rPr>
        <b/>
        <sz val="10"/>
        <rFont val="Arial"/>
        <family val="2"/>
      </rPr>
      <t xml:space="preserve">control of </t>
    </r>
    <r>
      <rPr>
        <b/>
        <sz val="10"/>
        <rFont val="Cambria"/>
        <family val="1"/>
      </rPr>
      <t xml:space="preserve">not less than 98 percent </t>
    </r>
    <r>
      <rPr>
        <sz val="10"/>
        <rFont val="Arial"/>
        <family val="2"/>
      </rPr>
      <t xml:space="preserve">etc., complete </t>
    </r>
    <r>
      <rPr>
        <b/>
        <sz val="10"/>
        <rFont val="Cambria"/>
        <family val="1"/>
      </rPr>
      <t>with lead upto 50 m and all lifts.</t>
    </r>
  </si>
  <si>
    <t>Front batter</t>
  </si>
  <si>
    <t>D</t>
  </si>
  <si>
    <t>B</t>
  </si>
  <si>
    <t>L</t>
  </si>
  <si>
    <t xml:space="preserve"> Rs Lakhs</t>
  </si>
  <si>
    <t>Grand Total</t>
  </si>
  <si>
    <t>Provision towards photographic charges</t>
  </si>
  <si>
    <t>Data no</t>
  </si>
  <si>
    <t>GENERAL ABSTRACT</t>
  </si>
  <si>
    <t>b</t>
  </si>
  <si>
    <t>Provision towards shuttering arrangements</t>
  </si>
  <si>
    <t>Pangidi</t>
  </si>
  <si>
    <t>NAME OF WORK:</t>
  </si>
  <si>
    <t>Excavation in all kinds of soil for foundation</t>
  </si>
  <si>
    <t>Providing M15 in sub structure with 20mm down size</t>
  </si>
  <si>
    <t>Supply of 300mm dia NP-2 Class RCC Hume Pipes</t>
  </si>
  <si>
    <t>Supply of 300mm dia NP-2 Class Collars</t>
  </si>
  <si>
    <t>Laying and jointing of 300mm NP-2 Class</t>
  </si>
  <si>
    <t>Provision towards Seigniorage  charges  as per statement enclosed</t>
  </si>
  <si>
    <t>CCDW-2-1</t>
  </si>
  <si>
    <t>CCDW-2-3</t>
  </si>
  <si>
    <t>CCDW-2-10</t>
  </si>
  <si>
    <t>CCDW-2-26</t>
  </si>
  <si>
    <t>CCDW-7-3</t>
  </si>
  <si>
    <t>Providing M15 in foundations with 40mm down size</t>
  </si>
  <si>
    <t>CCDW-1-2</t>
  </si>
  <si>
    <t>Providing and laying insitu vibrated M-15 ( 28 days cube compressive strength not less than 15 N /sq mm ) grade cement concrete using 40 mm down size approved, clean, hard, graded aggregates for foundation filling including cost of all materials, machinery, labour, formwork, cleaning, batching, mixing, placing in position, levelling, vibrating, finishing, curing etc., complete with initial lead upto 50 m and all lifts. (Cement content: 260 kg / cum with use of super plasticiser(0.4% by wt. of cement),CA : 0.90cum, Blending Ratio of CA--50:30:20, FA : 0.40 cum)</t>
  </si>
  <si>
    <t>CAW-5-3(A)</t>
  </si>
  <si>
    <r>
      <t xml:space="preserve">Providing and </t>
    </r>
    <r>
      <rPr>
        <b/>
        <sz val="10"/>
        <rFont val="Verdana"/>
        <family val="2"/>
      </rPr>
      <t>laying sand blanket below embankment</t>
    </r>
    <r>
      <rPr>
        <sz val="10"/>
        <rFont val="Verdana"/>
        <family val="2"/>
      </rPr>
      <t xml:space="preserve"> including cost of all materials, machinery, labour, spreading to specified thickness etc., complete </t>
    </r>
    <r>
      <rPr>
        <b/>
        <sz val="10"/>
        <rFont val="Verdana"/>
        <family val="2"/>
      </rPr>
      <t>with initial lead upto 50 m and all lifts.</t>
    </r>
  </si>
  <si>
    <t>X</t>
  </si>
  <si>
    <t>Say</t>
  </si>
  <si>
    <t>Estimate Cost : Rs</t>
  </si>
  <si>
    <t>Provision towards NAC @</t>
  </si>
  <si>
    <t>Excavation for Structures- Earth work in excavation in all kinds of soils  of foundation of  structures as per drawing and technical specification,  including setting out, construction of shoring and bracing, removal of stumps and other deleterious matter, dressing of sides and bottom and backfilling with approved material. ( depth  upto 3 meters)</t>
  </si>
  <si>
    <t>Local</t>
  </si>
  <si>
    <t>A</t>
  </si>
  <si>
    <t>Yes</t>
  </si>
  <si>
    <t>Detailed Estimate</t>
  </si>
  <si>
    <t xml:space="preserve">Name of Work: </t>
  </si>
  <si>
    <t>S.No</t>
  </si>
  <si>
    <t>Item No.</t>
  </si>
  <si>
    <t>Description of item</t>
  </si>
  <si>
    <t>Qty</t>
  </si>
  <si>
    <t>For abutment portion 2</t>
  </si>
  <si>
    <t>For abutment portion 3</t>
  </si>
  <si>
    <t>For abutment portion 4</t>
  </si>
  <si>
    <t>For kerbs</t>
  </si>
  <si>
    <t>For repairs to the existing wall</t>
  </si>
  <si>
    <t>TOTAL:</t>
  </si>
  <si>
    <t>for abutments</t>
  </si>
  <si>
    <t>dirt wall</t>
  </si>
  <si>
    <t>For parapet walls</t>
  </si>
  <si>
    <t>KG</t>
  </si>
  <si>
    <t>Providing and laying insitu vibrated M-20 ( 28 days cube compressive strength not less than 20 N / sq mm ) grade cement concrete using 20 mm down size approved, clean, hard, graded aggregates for deck slab &amp; kerb including cost of all materials,machinery, labour, formwork, scaffolding, cleaning, batching, mixing, placing in position, levelling, vibrating, finishing, curing etc., complete with initial lead upto 50 m and all lifts.</t>
  </si>
  <si>
    <t>For slab</t>
  </si>
  <si>
    <t>say</t>
  </si>
  <si>
    <t>=</t>
  </si>
  <si>
    <t>x</t>
  </si>
  <si>
    <t>Load</t>
  </si>
  <si>
    <t>Moment</t>
  </si>
  <si>
    <t>Pv</t>
  </si>
  <si>
    <t>Ph</t>
  </si>
  <si>
    <t>DATA:</t>
  </si>
  <si>
    <t xml:space="preserve"> Abutment wall top level</t>
  </si>
  <si>
    <t>Top of foundation</t>
  </si>
  <si>
    <t>Bottom of foundation</t>
  </si>
  <si>
    <r>
      <t>W</t>
    </r>
    <r>
      <rPr>
        <vertAlign val="subscript"/>
        <sz val="11"/>
        <color theme="1"/>
        <rFont val="Calibri"/>
        <family val="2"/>
        <scheme val="minor"/>
      </rPr>
      <t>4</t>
    </r>
  </si>
  <si>
    <r>
      <t>W</t>
    </r>
    <r>
      <rPr>
        <vertAlign val="subscript"/>
        <sz val="11"/>
        <color theme="1"/>
        <rFont val="Calibri"/>
        <family val="2"/>
        <scheme val="minor"/>
      </rPr>
      <t>3</t>
    </r>
  </si>
  <si>
    <r>
      <t>W</t>
    </r>
    <r>
      <rPr>
        <vertAlign val="subscript"/>
        <sz val="11"/>
        <color theme="1"/>
        <rFont val="Calibri"/>
        <family val="2"/>
        <scheme val="minor"/>
      </rPr>
      <t>1</t>
    </r>
  </si>
  <si>
    <t xml:space="preserve">Lowest Bed level </t>
  </si>
  <si>
    <r>
      <t>W</t>
    </r>
    <r>
      <rPr>
        <vertAlign val="subscript"/>
        <sz val="11"/>
        <color theme="1"/>
        <rFont val="Calibri"/>
        <family val="2"/>
        <scheme val="minor"/>
      </rPr>
      <t>2</t>
    </r>
  </si>
  <si>
    <t>Top width</t>
  </si>
  <si>
    <t>Rear batter</t>
  </si>
  <si>
    <t>Heel</t>
  </si>
  <si>
    <t>Toe</t>
  </si>
  <si>
    <r>
      <t>W</t>
    </r>
    <r>
      <rPr>
        <vertAlign val="subscript"/>
        <sz val="11"/>
        <color theme="1"/>
        <rFont val="Calibri"/>
        <family val="2"/>
        <scheme val="minor"/>
      </rPr>
      <t>6</t>
    </r>
  </si>
  <si>
    <t>Thickness of foundation</t>
  </si>
  <si>
    <t>CONCRETE</t>
  </si>
  <si>
    <t>SOIL</t>
  </si>
  <si>
    <t>FOS SLIDING</t>
  </si>
  <si>
    <t>FOS OVERTURNING</t>
  </si>
  <si>
    <t>Unit wt. of concrete</t>
  </si>
  <si>
    <r>
      <t>t/m</t>
    </r>
    <r>
      <rPr>
        <vertAlign val="superscript"/>
        <sz val="11"/>
        <rFont val="Calibri"/>
        <family val="2"/>
        <scheme val="minor"/>
      </rPr>
      <t>3</t>
    </r>
  </si>
  <si>
    <t>Unit weight of Soil</t>
  </si>
  <si>
    <t>Height of surcharge</t>
  </si>
  <si>
    <t>Horizontal coefficient of soil  =</t>
  </si>
  <si>
    <t>Vertical coefficient of soil</t>
  </si>
  <si>
    <t>Sliding coefficient for soil</t>
  </si>
  <si>
    <t>Safe Bearing Capacity</t>
  </si>
  <si>
    <r>
      <t>t/m</t>
    </r>
    <r>
      <rPr>
        <vertAlign val="superscript"/>
        <sz val="11"/>
        <rFont val="Calibri"/>
        <family val="2"/>
        <scheme val="minor"/>
      </rPr>
      <t>2</t>
    </r>
  </si>
  <si>
    <t>Taking Moments about A:- (On Concrete)</t>
  </si>
  <si>
    <t>S.No.</t>
  </si>
  <si>
    <t>Praticulars</t>
  </si>
  <si>
    <t>Leverarm</t>
  </si>
  <si>
    <t>kg</t>
  </si>
  <si>
    <t>kg-m</t>
  </si>
  <si>
    <r>
      <t>W</t>
    </r>
    <r>
      <rPr>
        <vertAlign val="subscript"/>
        <sz val="11"/>
        <rFont val="Calibri"/>
        <family val="2"/>
        <scheme val="minor"/>
      </rPr>
      <t>1</t>
    </r>
  </si>
  <si>
    <r>
      <t>W</t>
    </r>
    <r>
      <rPr>
        <vertAlign val="subscript"/>
        <sz val="11"/>
        <rFont val="Calibri"/>
        <family val="2"/>
        <scheme val="minor"/>
      </rPr>
      <t>2</t>
    </r>
    <r>
      <rPr>
        <sz val="10"/>
        <rFont val="Arial"/>
        <family val="2"/>
      </rPr>
      <t/>
    </r>
  </si>
  <si>
    <r>
      <t>W</t>
    </r>
    <r>
      <rPr>
        <vertAlign val="subscript"/>
        <sz val="11"/>
        <rFont val="Calibri"/>
        <family val="2"/>
        <scheme val="minor"/>
      </rPr>
      <t>3</t>
    </r>
    <r>
      <rPr>
        <sz val="10"/>
        <rFont val="Arial"/>
        <family val="2"/>
      </rPr>
      <t/>
    </r>
  </si>
  <si>
    <r>
      <t>W</t>
    </r>
    <r>
      <rPr>
        <vertAlign val="subscript"/>
        <sz val="11"/>
        <rFont val="Calibri"/>
        <family val="2"/>
        <scheme val="minor"/>
      </rPr>
      <t>5</t>
    </r>
  </si>
  <si>
    <r>
      <rPr>
        <sz val="11"/>
        <rFont val="Calibri"/>
        <family val="2"/>
      </rPr>
      <t>Σ</t>
    </r>
    <r>
      <rPr>
        <sz val="11"/>
        <rFont val="Calibri"/>
        <family val="2"/>
        <scheme val="minor"/>
      </rPr>
      <t>V =</t>
    </r>
  </si>
  <si>
    <r>
      <rPr>
        <sz val="11"/>
        <rFont val="Calibri"/>
        <family val="2"/>
      </rPr>
      <t>Σ</t>
    </r>
    <r>
      <rPr>
        <sz val="11"/>
        <rFont val="Calibri"/>
        <family val="2"/>
        <scheme val="minor"/>
      </rPr>
      <t>M =</t>
    </r>
  </si>
  <si>
    <t>Total load</t>
  </si>
  <si>
    <t>t</t>
  </si>
  <si>
    <t>Total Moment</t>
  </si>
  <si>
    <t>t-m</t>
  </si>
  <si>
    <t>X =</t>
  </si>
  <si>
    <r>
      <rPr>
        <sz val="11"/>
        <rFont val="Calibri"/>
        <family val="2"/>
      </rPr>
      <t>Σ</t>
    </r>
    <r>
      <rPr>
        <sz val="11"/>
        <rFont val="Calibri"/>
        <family val="2"/>
        <scheme val="minor"/>
      </rPr>
      <t xml:space="preserve">M </t>
    </r>
  </si>
  <si>
    <r>
      <rPr>
        <sz val="11"/>
        <rFont val="Calibri"/>
        <family val="2"/>
      </rPr>
      <t>Σ</t>
    </r>
    <r>
      <rPr>
        <sz val="11"/>
        <rFont val="Calibri"/>
        <family val="2"/>
        <scheme val="minor"/>
      </rPr>
      <t xml:space="preserve">V </t>
    </r>
  </si>
  <si>
    <t>e =</t>
  </si>
  <si>
    <t>b/6</t>
  </si>
  <si>
    <t>Maximum Stress =</t>
  </si>
  <si>
    <r>
      <t>kg/cm</t>
    </r>
    <r>
      <rPr>
        <vertAlign val="superscript"/>
        <sz val="11"/>
        <rFont val="Calibri"/>
        <family val="2"/>
        <scheme val="minor"/>
      </rPr>
      <t>2</t>
    </r>
  </si>
  <si>
    <t>Minimum Stress =</t>
  </si>
  <si>
    <t>Stress on Soil:</t>
  </si>
  <si>
    <r>
      <t>W</t>
    </r>
    <r>
      <rPr>
        <vertAlign val="subscript"/>
        <sz val="11"/>
        <rFont val="Calibri"/>
        <family val="2"/>
        <scheme val="minor"/>
      </rPr>
      <t>4</t>
    </r>
    <r>
      <rPr>
        <sz val="10"/>
        <rFont val="Arial"/>
        <family val="2"/>
      </rPr>
      <t/>
    </r>
  </si>
  <si>
    <r>
      <t>W</t>
    </r>
    <r>
      <rPr>
        <vertAlign val="subscript"/>
        <sz val="11"/>
        <rFont val="Calibri"/>
        <family val="2"/>
        <scheme val="minor"/>
      </rPr>
      <t>5</t>
    </r>
    <r>
      <rPr>
        <sz val="10"/>
        <rFont val="Arial"/>
        <family val="2"/>
      </rPr>
      <t/>
    </r>
  </si>
  <si>
    <r>
      <t>W</t>
    </r>
    <r>
      <rPr>
        <vertAlign val="subscript"/>
        <sz val="11"/>
        <rFont val="Calibri"/>
        <family val="2"/>
        <scheme val="minor"/>
      </rPr>
      <t>6</t>
    </r>
    <r>
      <rPr>
        <sz val="10"/>
        <rFont val="Arial"/>
        <family val="2"/>
      </rPr>
      <t/>
    </r>
  </si>
  <si>
    <t>FACTOR OF SAFETY</t>
  </si>
  <si>
    <t>AGAINST SLIDING</t>
  </si>
  <si>
    <t>/</t>
  </si>
  <si>
    <t>AGAINST OVERTURNING</t>
  </si>
  <si>
    <t>Providing and filling murum / gravely soil ( CNS soil ) for foundation or above pipes including breaking clods, spreading in layers of 10 to 15 cm, watering, compaction by power roller to achieve density control of not less than 98 percent etc., complete with lead upto 50 m and all lifts.</t>
  </si>
  <si>
    <t>CCDW-2-24</t>
  </si>
  <si>
    <t>Abutments Foundation</t>
  </si>
  <si>
    <t>Central pier foundation</t>
  </si>
  <si>
    <t>Return walls foundation</t>
  </si>
  <si>
    <t>For central pier</t>
  </si>
  <si>
    <t>For cut and ease water of central pier</t>
  </si>
  <si>
    <t>For return walls</t>
  </si>
  <si>
    <t>span</t>
  </si>
  <si>
    <t>(0.3+0.90)/2</t>
  </si>
  <si>
    <t>No. of Structures</t>
  </si>
  <si>
    <t>Input data : don’t delete.</t>
  </si>
  <si>
    <t>Sand</t>
  </si>
  <si>
    <t>levelling coarse</t>
  </si>
  <si>
    <t>RATE ANALYSIS</t>
  </si>
  <si>
    <t>UNIT :</t>
  </si>
  <si>
    <t>cum</t>
  </si>
  <si>
    <t>A. MATERIALS:</t>
  </si>
  <si>
    <t>Sl No</t>
  </si>
  <si>
    <t>Quantity</t>
  </si>
  <si>
    <t>in Rs.</t>
  </si>
  <si>
    <t>Total cost of Materials</t>
  </si>
  <si>
    <t>Rs:</t>
  </si>
  <si>
    <t>B. MACHINERY:</t>
  </si>
  <si>
    <t>Total hire charges of Machinery</t>
  </si>
  <si>
    <t>C. LABOUR:</t>
  </si>
  <si>
    <t>Day</t>
  </si>
  <si>
    <t>mazdoor</t>
  </si>
  <si>
    <t>Total cost of Labour</t>
  </si>
  <si>
    <t>labour component/unit qty</t>
  </si>
  <si>
    <t>Add contractor's profit and overhead charges</t>
  </si>
  <si>
    <t>labour component/unit qty (including contractor's profit)</t>
  </si>
  <si>
    <t>ABSTRACT:</t>
  </si>
  <si>
    <t>A. Cost of Materials</t>
  </si>
  <si>
    <t>B. Hire charges of Machinery</t>
  </si>
  <si>
    <t>C. Cost of Labour</t>
  </si>
  <si>
    <t>Total      Rs:</t>
  </si>
  <si>
    <t>D. Add for contractor's profit and overheads on (A+B+C)</t>
  </si>
  <si>
    <t>Total cost for</t>
  </si>
  <si>
    <t>Rate per</t>
  </si>
  <si>
    <t>Rs.</t>
  </si>
  <si>
    <t>(0.90+1.5)/2</t>
  </si>
  <si>
    <t>dirt+bb</t>
  </si>
  <si>
    <t>For Wing walls</t>
  </si>
  <si>
    <t>For Apron</t>
  </si>
  <si>
    <t>(1.464+5)/2</t>
  </si>
  <si>
    <t>(0.30+1.5)/2</t>
  </si>
  <si>
    <t>aprons</t>
  </si>
  <si>
    <t>DATA</t>
  </si>
  <si>
    <t>particulars</t>
  </si>
  <si>
    <t>Murum</t>
  </si>
  <si>
    <t>Nil</t>
  </si>
  <si>
    <t>IRR-CAW-8-4</t>
  </si>
  <si>
    <t>Providing and Constructing 30 cm thick dry rubble stone pitching including cost of all materials,labour,hand packing,finishing etc.,complete( rubble stones : 0.33 cum/sqm)</t>
  </si>
  <si>
    <t>Cement</t>
  </si>
  <si>
    <t>check</t>
  </si>
  <si>
    <t>LEAD STATEMENT</t>
  </si>
  <si>
    <t>S.
No.</t>
  </si>
  <si>
    <t>Description of Material</t>
  </si>
  <si>
    <t>Source</t>
  </si>
  <si>
    <t xml:space="preserve">Initial cost as per basic data </t>
  </si>
  <si>
    <t>LEAD CHARGES</t>
  </si>
  <si>
    <t>Lead in km</t>
  </si>
  <si>
    <t>Upto 5 Km</t>
  </si>
  <si>
    <t>Rate per Km 5 to 30</t>
  </si>
  <si>
    <t>Rate per Km 30 and above</t>
  </si>
  <si>
    <t xml:space="preserve">Total lead charges </t>
  </si>
  <si>
    <r>
      <t xml:space="preserve">Total lead charges </t>
    </r>
    <r>
      <rPr>
        <b/>
        <sz val="10"/>
        <color indexed="10"/>
        <rFont val="Century Gothic"/>
        <family val="2"/>
      </rPr>
      <t>(Without deducting Initial Lead)</t>
    </r>
  </si>
  <si>
    <t>Total
lead duly deducting initial lead</t>
  </si>
  <si>
    <t>I</t>
  </si>
  <si>
    <t>Coarse aggregate/Un-coursed rubble stones/Stone chip (including seigniorage charges)</t>
  </si>
  <si>
    <t>Fine aggregate / sand ((screened ) /unscreened ) (including seiniorage charges)</t>
  </si>
  <si>
    <t>Siddantham</t>
  </si>
  <si>
    <t>Murum/Gravel/(including seioniorage charges and loading charges)</t>
  </si>
  <si>
    <t>Nallajerla</t>
  </si>
  <si>
    <t>Steel</t>
  </si>
  <si>
    <t xml:space="preserve">                                                                        </t>
  </si>
  <si>
    <t>FOR THE YEAR: 2013-14</t>
  </si>
  <si>
    <t>Certify that the leads are correct to the best of my knowledge and belief.</t>
  </si>
  <si>
    <t>Certify that the materials are sufficiently available in the quarries mentioned above.</t>
  </si>
  <si>
    <t>( No loading and unloading charges allowed for machinery loading and unloading )</t>
  </si>
  <si>
    <t>Sl No.</t>
  </si>
  <si>
    <t>Distance</t>
  </si>
  <si>
    <t>(Lead) charges for trucks and tippers  for Earth / Sand /Gravel / Murrum/ Lime/ Surki/ per cu.meter</t>
  </si>
  <si>
    <t>(Lead) charges for trucks and tippers for Rubble/Size stones/ Cut Stones/ Coarse aggregate per cu.meter</t>
  </si>
  <si>
    <t>(Lead) charges for trucks and tippers  for Cement/ Steel/ RCC poles/ AC &amp; GI sheets/ Packed materials/tonne</t>
  </si>
  <si>
    <t>(Lead) charges for trucks and tippers per cu.meter  for PCC slabs/ Shahabad slabs/ CC &amp; Laterite blocks/ Wood/ cum</t>
  </si>
  <si>
    <t>(Lead) charges for trucks and tippers per cu.meter  for water/ 1000 litres</t>
  </si>
  <si>
    <t>(Lead) charges for trucks per 1000 Nos. of Bricks</t>
  </si>
  <si>
    <t>Lead  upto 1 km</t>
  </si>
  <si>
    <t>Lead  upto 2 km</t>
  </si>
  <si>
    <t>Lead upto  3 km</t>
  </si>
  <si>
    <t>Lead  upto 4 km</t>
  </si>
  <si>
    <t>Lead  upto 5 km</t>
  </si>
  <si>
    <t xml:space="preserve"> for Every km beyond 5 km upto 30 km</t>
  </si>
  <si>
    <t>for Every km beyond 30 km</t>
  </si>
  <si>
    <t xml:space="preserve">Description </t>
  </si>
  <si>
    <t>MANUFACTURE, SUPPLY AND DELIVERY OF R.C.C. PLAIN ENDED PIPES CONFORMING TO B.I.S. 458/2003 , EX-FACTORY, EXCLUDING TRANSPORTATION, TAXES &amp; DUTIES</t>
  </si>
  <si>
    <t>Size</t>
  </si>
  <si>
    <t>SoR  For     2013-14</t>
  </si>
  <si>
    <t>NP - 2 Class</t>
  </si>
  <si>
    <t>NP - 3 Class</t>
  </si>
  <si>
    <t>NP - 4 Class</t>
  </si>
  <si>
    <t>80 mm dia</t>
  </si>
  <si>
    <t>Metre</t>
  </si>
  <si>
    <t>100 mm dia</t>
  </si>
  <si>
    <t>150 mm dia</t>
  </si>
  <si>
    <t>200 mm dia</t>
  </si>
  <si>
    <t>225 mm dia</t>
  </si>
  <si>
    <t>250 mm dia</t>
  </si>
  <si>
    <t>300 mm dia</t>
  </si>
  <si>
    <t>350 mm dia</t>
  </si>
  <si>
    <t>400 mm dia</t>
  </si>
  <si>
    <t>450 mm dia</t>
  </si>
  <si>
    <t>500 mm dia</t>
  </si>
  <si>
    <t>700 mm dia</t>
  </si>
  <si>
    <t>800 mm dia</t>
  </si>
  <si>
    <t>900 mm dia</t>
  </si>
  <si>
    <t>1000 mm dia</t>
  </si>
  <si>
    <t>1100 mm dia</t>
  </si>
  <si>
    <t>1200 mm dia</t>
  </si>
  <si>
    <t>1400 mm dia</t>
  </si>
  <si>
    <t>1800 mm dia</t>
  </si>
  <si>
    <r>
      <t xml:space="preserve">      </t>
    </r>
    <r>
      <rPr>
        <sz val="12"/>
        <rFont val="Times New Roman"/>
        <family val="1"/>
      </rPr>
      <t xml:space="preserve">Note :   All the prices are ex-works. Excise duty, CST/VAT extra as applicable at the </t>
    </r>
  </si>
  <si>
    <t xml:space="preserve">time of  </t>
  </si>
  <si>
    <t xml:space="preserve">supply. </t>
  </si>
  <si>
    <t xml:space="preserve">      The above rates of RCC Plain ended pipes are based on the following raw materials cost.</t>
  </si>
  <si>
    <t xml:space="preserve">      Cement.  Rs.5,100/- per MT (including all taxes and freight).</t>
  </si>
  <si>
    <t xml:space="preserve">      The revised cost of RCC pipes due to increase / decrease in the cost of raw materials shall                    </t>
  </si>
  <si>
    <t>be as per the following formula.</t>
  </si>
  <si>
    <t>2.  SoRATES FOR R.C.C. COLLARS</t>
  </si>
  <si>
    <t>Sl.No.</t>
  </si>
  <si>
    <t xml:space="preserve">MANUFACTURE, SUPPLY AND DELIVERY OF R.C.C. COLLARS CONFORMING TO B.I.S. 458/2003  (RATE PER EACH COLLAR) SUITABLE FOR  R.C.C. PLAIN ENDED PIPES INCLUDING TRANSPORTATION BUT EXCLUDING TAXES &amp; DUTIES </t>
  </si>
  <si>
    <t>Each</t>
  </si>
  <si>
    <t xml:space="preserve">     Note: Excise duty, CST/VAT  extra as applicable at the time of supply. </t>
  </si>
  <si>
    <t xml:space="preserve">     The above rates of RCC Collars suitable to plain ended pipes are based on the       following raw materials cost.</t>
  </si>
  <si>
    <t xml:space="preserve">     Cement.  Rs.5,100/- per MT (including all taxes and freight).</t>
  </si>
  <si>
    <t xml:space="preserve">    The revised cost of RCC collars due to increase / decrease in the cost of raw    materials shall be as per the following formula.</t>
  </si>
  <si>
    <t>Rate upto 5 Kms Lead including Loading, unloading and stacking</t>
  </si>
  <si>
    <t>Rate for every additional 1 KM lead or part thereof.</t>
  </si>
  <si>
    <t>CONVEYANCE OF R.C.C. PLAIN ENDED PIPES ON ALL WEATHER ROADS INCLUDING LOADING, UNLOADING AND STACKING           (per Metre)                         SoR  For     2013-14</t>
  </si>
  <si>
    <t>NP - 3 Class &amp; NP - 4 Class</t>
  </si>
  <si>
    <t>Seigniorage Statement</t>
  </si>
  <si>
    <t>Description Of Work</t>
  </si>
  <si>
    <t>Gravel</t>
  </si>
  <si>
    <t>Metal</t>
  </si>
  <si>
    <t>Coefft</t>
  </si>
  <si>
    <t>Sand Filling</t>
  </si>
  <si>
    <t>CC M15 foundtion</t>
  </si>
  <si>
    <t>CC M15 Retaining wall</t>
  </si>
  <si>
    <t>Total Qty</t>
  </si>
  <si>
    <t>Item</t>
  </si>
  <si>
    <t xml:space="preserve">Sand </t>
  </si>
  <si>
    <t>Earth Work Banking &amp; Gravel</t>
  </si>
  <si>
    <t>Total Amt</t>
  </si>
  <si>
    <t>CC M20</t>
  </si>
  <si>
    <t>CC M20 WC</t>
  </si>
  <si>
    <t>1.50 M</t>
  </si>
  <si>
    <t>Provision Towards GST @</t>
  </si>
  <si>
    <t>No's</t>
  </si>
  <si>
    <r>
      <t xml:space="preserve">Excavation in </t>
    </r>
    <r>
      <rPr>
        <sz val="9"/>
        <rFont val="Calibri"/>
        <family val="2"/>
      </rPr>
      <t>all kinds of soil</t>
    </r>
    <r>
      <rPr>
        <sz val="9"/>
        <rFont val="Arial"/>
        <family val="2"/>
      </rPr>
      <t xml:space="preserve"> including boulders upto 0.30 m dia. </t>
    </r>
    <r>
      <rPr>
        <sz val="9"/>
        <rFont val="Calibri"/>
        <family val="2"/>
      </rPr>
      <t>for</t>
    </r>
    <r>
      <rPr>
        <sz val="9"/>
        <rFont val="Arial"/>
        <family val="2"/>
      </rPr>
      <t xml:space="preserve"> foundations of </t>
    </r>
    <r>
      <rPr>
        <sz val="9"/>
        <rFont val="Calibri"/>
        <family val="2"/>
      </rPr>
      <t xml:space="preserve">canal </t>
    </r>
    <r>
      <rPr>
        <sz val="9"/>
        <rFont val="Arial"/>
        <family val="2"/>
      </rPr>
      <t xml:space="preserve">cross drainage and other appurtenant structures and placing the excavated stuff neatly in specified dump area or disposing off the same as directed etc., complete with initial </t>
    </r>
    <r>
      <rPr>
        <sz val="9"/>
        <rFont val="Calibri"/>
        <family val="2"/>
      </rPr>
      <t xml:space="preserve">lead upto </t>
    </r>
    <r>
      <rPr>
        <sz val="9"/>
        <rFont val="Arial"/>
        <family val="2"/>
      </rPr>
      <t>50 m and initial lift upto 3 m.</t>
    </r>
  </si>
  <si>
    <r>
      <t xml:space="preserve">Providing and </t>
    </r>
    <r>
      <rPr>
        <sz val="10"/>
        <rFont val="Calibri"/>
        <family val="2"/>
      </rPr>
      <t>laying sand blanket</t>
    </r>
    <r>
      <rPr>
        <sz val="10"/>
        <rFont val="Arial"/>
        <family val="2"/>
      </rPr>
      <t xml:space="preserve"> below embankment including cost of all materials,machinery, labour, spreading to specified thickness etc., complete with initial </t>
    </r>
    <r>
      <rPr>
        <sz val="10"/>
        <rFont val="Calibri"/>
        <family val="2"/>
      </rPr>
      <t xml:space="preserve">lead </t>
    </r>
    <r>
      <rPr>
        <sz val="10"/>
        <rFont val="Arial"/>
        <family val="2"/>
      </rPr>
      <t>upto 50 m and all lifts</t>
    </r>
  </si>
  <si>
    <r>
      <t xml:space="preserve">Providing and laying insitu vibrated M-15 ( 28 days cube compressive strength not less than 15 N /sq mm ) grade cement concrete using 40 mm down size approved, clean, hard, graded aggregates for </t>
    </r>
    <r>
      <rPr>
        <b/>
        <sz val="10"/>
        <rFont val="Arial"/>
        <family val="2"/>
      </rPr>
      <t>foundation filling</t>
    </r>
    <r>
      <rPr>
        <sz val="10"/>
        <rFont val="Arial"/>
        <family val="2"/>
      </rPr>
      <t xml:space="preserve"> including cost of all materials, machinery, labour, formwork, cleaning, batching, mixing, placing in position, levelling, vibrating, finishing, curing etc., complete with initial lead upto 50 m and all lifts. (Cement content: 260 kg / cum with use of super plasticiser(0.4% by wt. of cement),CA : 0.90cum, Blending Ratio of CA--50:30:20, FA : 0.40 cum)</t>
    </r>
  </si>
  <si>
    <r>
      <t xml:space="preserve">Providing, fabricating and placing in position </t>
    </r>
    <r>
      <rPr>
        <b/>
        <sz val="10"/>
        <rFont val="Calibri"/>
        <family val="2"/>
      </rPr>
      <t>reinforcement</t>
    </r>
    <r>
      <rPr>
        <b/>
        <sz val="10"/>
        <rFont val="Arial"/>
        <family val="2"/>
      </rPr>
      <t xml:space="preserve"> steel bars</t>
    </r>
    <r>
      <rPr>
        <sz val="10"/>
        <rFont val="Arial"/>
        <family val="2"/>
      </rPr>
      <t xml:space="preserve"> for RCC works including cleaning, straightening, cutting, bending, hooking, lapping, welding wherever required, tying with1.25 mm dia soft annealed steel wire, including cost of all materials, machinery, labour etc.,complete with initial </t>
    </r>
    <r>
      <rPr>
        <sz val="10"/>
        <rFont val="Calibri"/>
        <family val="2"/>
      </rPr>
      <t>lead upto 50 and all lifts</t>
    </r>
    <r>
      <rPr>
        <sz val="10"/>
        <rFont val="Arial"/>
        <family val="2"/>
      </rPr>
      <t>.</t>
    </r>
  </si>
  <si>
    <r>
      <t xml:space="preserve">Providing and laying insitu </t>
    </r>
    <r>
      <rPr>
        <sz val="9"/>
        <rFont val="Calibri"/>
        <family val="2"/>
      </rPr>
      <t>M- 20</t>
    </r>
    <r>
      <rPr>
        <sz val="9"/>
        <rFont val="Arial"/>
        <family val="2"/>
      </rPr>
      <t xml:space="preserve"> ( 28 days cube compressive strength not less than 20 N /sqmm ) grade </t>
    </r>
    <r>
      <rPr>
        <sz val="9"/>
        <rFont val="Calibri"/>
        <family val="2"/>
      </rPr>
      <t>cement concrete</t>
    </r>
    <r>
      <rPr>
        <sz val="9"/>
        <rFont val="Arial"/>
        <family val="2"/>
      </rPr>
      <t xml:space="preserve"> using </t>
    </r>
    <r>
      <rPr>
        <sz val="9"/>
        <rFont val="Calibri"/>
        <family val="2"/>
      </rPr>
      <t>20 mm</t>
    </r>
    <r>
      <rPr>
        <sz val="9"/>
        <rFont val="Arial"/>
        <family val="2"/>
      </rPr>
      <t xml:space="preserve"> down size approved, clean, hard, graded aggregates for wearing coat including cost of all materials, machinery, labour, formwork, cleaning, batching, mixing, placing in position in alternate panels, levelling, compacting, finishing, curing, packing joints with asphalt mortar etc., complete with initial lead upto 50 m and all lifts.If water is to be brought from other place add only lead charges @ 500 ltr / cum. to the data </t>
    </r>
  </si>
  <si>
    <r>
      <t xml:space="preserve">Providing and laying insitu vibrated M-20 ( 28 days cube compressive strength not less than 20 N / sq mm ) grade cement concrete using </t>
    </r>
    <r>
      <rPr>
        <b/>
        <sz val="10"/>
        <rFont val="Arial"/>
        <family val="2"/>
      </rPr>
      <t>20 mm</t>
    </r>
    <r>
      <rPr>
        <sz val="10"/>
        <rFont val="Arial"/>
        <family val="2"/>
      </rPr>
      <t xml:space="preserve"> down size approved, clean, hard, graded aggregates for </t>
    </r>
    <r>
      <rPr>
        <b/>
        <sz val="10"/>
        <rFont val="Arial"/>
        <family val="2"/>
      </rPr>
      <t>deck slab &amp; kerb</t>
    </r>
    <r>
      <rPr>
        <sz val="10"/>
        <rFont val="Arial"/>
        <family val="2"/>
      </rPr>
      <t xml:space="preserve"> including cost of all materials,machinery, labour, formwork, scaffolding, cleaning, batching, mixing, placing in position, levelling, vibrating, finishing, curing etc., complete with initial lead upto 50 m and all lifts.</t>
    </r>
  </si>
  <si>
    <r>
      <t xml:space="preserve">Providing and laying insitu </t>
    </r>
    <r>
      <rPr>
        <sz val="10"/>
        <rFont val="Calibri"/>
        <family val="2"/>
      </rPr>
      <t>M- 20</t>
    </r>
    <r>
      <rPr>
        <sz val="10"/>
        <rFont val="Arial"/>
        <family val="2"/>
      </rPr>
      <t xml:space="preserve"> ( 28 days cube compressive strength not less than 20 N /sqmm ) grade </t>
    </r>
    <r>
      <rPr>
        <sz val="10"/>
        <rFont val="Calibri"/>
        <family val="2"/>
      </rPr>
      <t>cement concrete</t>
    </r>
    <r>
      <rPr>
        <sz val="10"/>
        <rFont val="Arial"/>
        <family val="2"/>
      </rPr>
      <t xml:space="preserve"> using </t>
    </r>
    <r>
      <rPr>
        <b/>
        <sz val="10"/>
        <rFont val="Calibri"/>
        <family val="2"/>
      </rPr>
      <t>20 mm</t>
    </r>
    <r>
      <rPr>
        <sz val="10"/>
        <rFont val="Arial"/>
        <family val="2"/>
      </rPr>
      <t xml:space="preserve"> down size approved, clean, hard, graded aggregates for </t>
    </r>
    <r>
      <rPr>
        <b/>
        <sz val="10"/>
        <rFont val="Arial"/>
        <family val="2"/>
      </rPr>
      <t>wearing coat</t>
    </r>
    <r>
      <rPr>
        <sz val="10"/>
        <rFont val="Arial"/>
        <family val="2"/>
      </rPr>
      <t xml:space="preserve"> including cost of all materials, machinery, labour, formwork, cleaning, batching, mixing, placing in position in alternate panels, levelling, compacting, finishing, curing, packing joints with asphalt mortar etc., complete with initial lead upto 50 m and all lifts.If water is to be brought from other place add only lead charges @ 500 ltr / cum. to the data (Cement content: 330 kg / cum with use of super plasticizer ( 0.4% by wt. of cement),CA : 0.80cum, Blending Ratio of CA--65:35, FA : 0.45 cum)</t>
    </r>
  </si>
  <si>
    <t>SSR 2023-24</t>
  </si>
  <si>
    <t>0.90 M</t>
  </si>
  <si>
    <t>1.70 M</t>
  </si>
  <si>
    <t>wall M15 with 20MSA</t>
  </si>
  <si>
    <t>M15 with 40 MSA for foundation 2.70 m x 0.60 m</t>
  </si>
  <si>
    <t>Sand filling 2.70 m X 0.30 m</t>
  </si>
  <si>
    <t>For dirt wall</t>
  </si>
  <si>
    <t>For bed block</t>
  </si>
  <si>
    <t>Approachs</t>
  </si>
  <si>
    <r>
      <t xml:space="preserve">Providing and </t>
    </r>
    <r>
      <rPr>
        <b/>
        <sz val="10"/>
        <rFont val="Arial"/>
        <family val="2"/>
      </rPr>
      <t xml:space="preserve">laying insitu </t>
    </r>
    <r>
      <rPr>
        <b/>
        <sz val="10"/>
        <rFont val="Cambria"/>
        <family val="1"/>
      </rPr>
      <t>M- 20</t>
    </r>
    <r>
      <rPr>
        <sz val="10"/>
        <rFont val="Arial"/>
        <family val="2"/>
      </rPr>
      <t xml:space="preserve"> ( 28 days cube compressive strength not less than 20 N / sqmm ) grade cement concrete using </t>
    </r>
    <r>
      <rPr>
        <b/>
        <sz val="10"/>
        <rFont val="Cambria"/>
        <family val="1"/>
      </rPr>
      <t>20 mm down size</t>
    </r>
    <r>
      <rPr>
        <sz val="10"/>
        <rFont val="Cambria"/>
        <family val="1"/>
      </rPr>
      <t xml:space="preserve"> </t>
    </r>
    <r>
      <rPr>
        <sz val="10"/>
        <rFont val="Arial"/>
        <family val="2"/>
      </rPr>
      <t xml:space="preserve">approved, clean, hard, graded aggregates </t>
    </r>
    <r>
      <rPr>
        <b/>
        <sz val="10"/>
        <rFont val="Cambria"/>
        <family val="1"/>
      </rPr>
      <t>for wearing coat</t>
    </r>
    <r>
      <rPr>
        <sz val="10"/>
        <rFont val="Cambria"/>
        <family val="1"/>
      </rPr>
      <t xml:space="preserve"> </t>
    </r>
    <r>
      <rPr>
        <sz val="10"/>
        <rFont val="Arial"/>
        <family val="2"/>
      </rPr>
      <t xml:space="preserve">including cost of all materials, machinery, labour, formwork, cleaning, batching, mixing, placing in position in alternate panels, levelling, compacting, finishing, curing, packing joints with asphalt mortar etc., </t>
    </r>
    <r>
      <rPr>
        <sz val="10"/>
        <rFont val="Cambria"/>
        <family val="1"/>
      </rPr>
      <t xml:space="preserve">complete </t>
    </r>
    <r>
      <rPr>
        <b/>
        <sz val="10"/>
        <rFont val="Cambria"/>
        <family val="1"/>
      </rPr>
      <t>with initial lead upto 50 m and all lifts. (Cement content: 330 kg / cum with use of super plasticiser(0.4% by wt. of cement),CA : 0.80cum, Blending Ratio of CA--65:35, FA : 0.45 cum)</t>
    </r>
  </si>
  <si>
    <t>WATER RESOURCES DEPARTMENT</t>
  </si>
  <si>
    <t>Amount of estimate Rs:</t>
  </si>
  <si>
    <t>lakhs</t>
  </si>
  <si>
    <t>D.R. No:</t>
  </si>
  <si>
    <t>/2023-24</t>
  </si>
  <si>
    <t>NAME OF WORK:-</t>
  </si>
  <si>
    <t>CHECK SLIP TO ACCOMPANY THE ESTIMATE FOR ADMINISTRATIVE APPROVAL</t>
  </si>
  <si>
    <t>(As per the Govt.Memo No.25414/Reforms/2007-1 dt:07.09.2007)</t>
  </si>
  <si>
    <t xml:space="preserve"> Name of the Project/Scheme/Work</t>
  </si>
  <si>
    <t>Provision in the Project</t>
  </si>
  <si>
    <t>Whether the following enclosures are sent 
                   (Yes or No)</t>
  </si>
  <si>
    <t xml:space="preserve">     a) Report in the form as prescribed in Govt. memo. 1514- GLI/79-1,No.1-11-79</t>
  </si>
  <si>
    <t>yes</t>
  </si>
  <si>
    <t xml:space="preserve">    b) Abstract estimate as prescribed in C.E.G.I.    Circular No.F4/7071/79-4,dated 1-11-79</t>
  </si>
  <si>
    <t xml:space="preserve">    c) General Index plan, Site plan and typical drawings showing the general features of the work</t>
  </si>
  <si>
    <t xml:space="preserve">Designation of highest officer, who inspected and the date of inspection for </t>
  </si>
  <si>
    <t xml:space="preserve">     a) Classification of soils</t>
  </si>
  <si>
    <t xml:space="preserve">     b) Quarries and bellow areas</t>
  </si>
  <si>
    <t xml:space="preserve">     c) Site of Important structures</t>
  </si>
  <si>
    <t>Whether the L.S.Provisions is in accordance with C.E.G.I. Circular No. F4/7071/79-5,dated 10-11-79</t>
  </si>
  <si>
    <t>Whether the provision for L.I. &amp; L. Charges is shown      separately as lumpsum as per G.O.M.S.No. 1624, PW(Y)Dept,dated:29.11.69</t>
  </si>
  <si>
    <t>Whether the Provisions for P.S. and Contingencies is in accordance with G.O.M.S.No:385, dated 25.10.79</t>
  </si>
  <si>
    <t xml:space="preserve"> Whether the rates for earthwork by machinery and gates, hoists etc., are based on sub-estimates prepared by the mechanical organization </t>
  </si>
  <si>
    <t>not necessary</t>
  </si>
  <si>
    <t xml:space="preserve"> Proposed date of commencement of work</t>
  </si>
  <si>
    <t>Proposed date of completion of work</t>
  </si>
  <si>
    <t>Estimate amount    (Lakhs)</t>
  </si>
  <si>
    <t xml:space="preserve">           Hence the estimate is prepared with the following provisions:</t>
  </si>
  <si>
    <t>Dismantling of Stone Masonary of CM upto 3m height.</t>
  </si>
  <si>
    <t>Dismantling of Cement Concrete in Foundation</t>
  </si>
  <si>
    <t>Providing sand blanket</t>
  </si>
  <si>
    <t>Providing M20 in structure with 20mm down size for slab</t>
  </si>
  <si>
    <t>Providing and constructing of 225mm thick dry rubble stone</t>
  </si>
  <si>
    <t>Reinforcement steel bars for RCC works</t>
  </si>
  <si>
    <t>Providing M20 in structure with 20mm down size for wearing coat</t>
  </si>
  <si>
    <t>Clearing thick Jungle growth</t>
  </si>
  <si>
    <t>Providing semi-pervious/pervious casing embankment</t>
  </si>
  <si>
    <t>Providing and filling murrum / gravely soil</t>
  </si>
  <si>
    <t>Provision towards NAC @ 0.10%</t>
  </si>
  <si>
    <t>Provision towards Seigniorage charges  as per statement enclosed</t>
  </si>
  <si>
    <t>Provision for QC charges @ 0.500%</t>
  </si>
  <si>
    <t>Provision for Insurance @ 0.3675%</t>
  </si>
  <si>
    <r>
      <t xml:space="preserve">          The estimate is prepared  based on the </t>
    </r>
    <r>
      <rPr>
        <b/>
        <sz val="12"/>
        <color indexed="8"/>
        <rFont val="Century Gothic"/>
        <family val="2"/>
      </rPr>
      <t xml:space="preserve">G.O.Ms No 303 </t>
    </r>
    <r>
      <rPr>
        <sz val="12"/>
        <color indexed="8"/>
        <rFont val="Century Gothic"/>
        <family val="2"/>
      </rPr>
      <t xml:space="preserve">Dated 29-11-2012 Finance(WA .I) Department Scheme for promotion of Convergence with MGNREGS for creation of durable assests and suitable livelihood resources. </t>
    </r>
  </si>
  <si>
    <t>Report accompanying the Estimate for</t>
  </si>
  <si>
    <t>Provision towards GST charges @ 18.00%</t>
  </si>
  <si>
    <t>Providing and Constructing 30 cm thick dry rubble stone pitching</t>
  </si>
  <si>
    <t xml:space="preserve">              The rates in the estimate are adopted as per current S.S.R for the year 2023-24 of all engineering departments of Andhra Pradesh. </t>
  </si>
  <si>
    <t>U/S</t>
  </si>
  <si>
    <t>D/S</t>
  </si>
  <si>
    <t xml:space="preserve">CALCULATION OF SCOUR DEPTH </t>
  </si>
  <si>
    <t>Discharge ( Q )</t>
  </si>
  <si>
    <t>Cumecs.</t>
  </si>
  <si>
    <t>Concentration factor</t>
  </si>
  <si>
    <t>Discharge with concentration ( Q )</t>
  </si>
  <si>
    <t>Bed Width ( L )</t>
  </si>
  <si>
    <t>M.W.L.</t>
  </si>
  <si>
    <t>Silt factor ( f )</t>
  </si>
  <si>
    <t>Discharge per meter width ( q )</t>
  </si>
  <si>
    <t xml:space="preserve">Q / L </t>
  </si>
  <si>
    <t>Cumecs/m</t>
  </si>
  <si>
    <t>Scour depth ( d )</t>
  </si>
  <si>
    <t>mts.</t>
  </si>
  <si>
    <t>Max. Scour Depth</t>
  </si>
  <si>
    <t>Abutments 1.5D</t>
  </si>
  <si>
    <t>Piers</t>
  </si>
  <si>
    <t>2D</t>
  </si>
  <si>
    <t>Max. Scour Level</t>
  </si>
  <si>
    <t>DATA :</t>
  </si>
  <si>
    <t>*</t>
  </si>
  <si>
    <t>However, the depth of fondations are taken upto</t>
  </si>
  <si>
    <t>m   level</t>
  </si>
  <si>
    <t>For 3m span Slab thickness 0.325m</t>
  </si>
  <si>
    <t>ditrwall 0.45+0.325</t>
  </si>
  <si>
    <t>Stirrups 12dia</t>
  </si>
  <si>
    <t>cover25mm</t>
  </si>
  <si>
    <t>0.78-0.025+0.4+0.78-.025+0.4+.20</t>
  </si>
  <si>
    <t>As per MOST drawing - for3M span(398.954+(135.25*2))</t>
  </si>
  <si>
    <r>
      <t>1.35 x ( q² / f )</t>
    </r>
    <r>
      <rPr>
        <vertAlign val="superscript"/>
        <sz val="12"/>
        <rFont val="Times New Roman"/>
        <family val="1"/>
      </rPr>
      <t>1/3</t>
    </r>
  </si>
  <si>
    <t>1 Cum</t>
  </si>
  <si>
    <t>1 Kg</t>
  </si>
  <si>
    <t>Unit = cum</t>
  </si>
  <si>
    <t>Taking output = 240 cum</t>
  </si>
  <si>
    <t>A. Materials:</t>
  </si>
  <si>
    <t>NIL</t>
  </si>
  <si>
    <t>B. Machinery:</t>
  </si>
  <si>
    <t>Hydraulic excavator 1.0 cum bucket capacity</t>
  </si>
  <si>
    <t>hour</t>
  </si>
  <si>
    <t>Fuel/ Energy charges</t>
  </si>
  <si>
    <t>C. Labour:</t>
  </si>
  <si>
    <t>work inspector</t>
  </si>
  <si>
    <t>day</t>
  </si>
  <si>
    <t>Mazdoor</t>
  </si>
  <si>
    <t>crew for excavator</t>
  </si>
  <si>
    <t>Abstract</t>
  </si>
  <si>
    <t>a) Material</t>
  </si>
  <si>
    <t>Rs</t>
  </si>
  <si>
    <t>b) Machinery</t>
  </si>
  <si>
    <t>c) Labour</t>
  </si>
  <si>
    <t>(A+B+C+D)/240.0</t>
  </si>
  <si>
    <t>Excavation for Structures- Mechanical Means Earth work in excavation in all kinds of soils  of foundation of  structures as per drawing and  technical specification, including setting out, construction of shoring and bracing, removal of stumps and other deleterious matter, dressing  of sides and bottom and backfilling with approved material.</t>
  </si>
  <si>
    <t>(New Item3- 2011--12)</t>
  </si>
  <si>
    <t>Consider 100 cum sand blanket laying.</t>
  </si>
  <si>
    <t>Quantity of sand ( unscreened )</t>
  </si>
  <si>
    <t>Requirement of labour for spreading collected sand.</t>
  </si>
  <si>
    <t>2 mazdoors @ 10 cum / day.</t>
  </si>
  <si>
    <t>Sand for Filling</t>
  </si>
  <si>
    <t>(A+B+C+D)/100</t>
  </si>
  <si>
    <t>Cost of shuttering materials :</t>
  </si>
  <si>
    <t>Annexure: A</t>
  </si>
  <si>
    <t>Consider one shutter and one soldier set :</t>
  </si>
  <si>
    <t>Shutter size : 900 mm x 1200 mm Length of soldier : 2.3 m</t>
  </si>
  <si>
    <t>Shutter area :</t>
  </si>
  <si>
    <t>sqm</t>
  </si>
  <si>
    <t>4 mm thick plate 1.08 sqm @ 31.4 kg/ sqm</t>
  </si>
  <si>
    <t>50x50x6 mm angle 6.6 m length @ 3.8 kg/ m</t>
  </si>
  <si>
    <t>50x6 mm flat 1.8 m length @ 2.35 kg/ m</t>
  </si>
  <si>
    <t>ISLC 100 2.3 m length @ 7.9 kg / m</t>
  </si>
  <si>
    <t>6 mm plate 0.03 sqm @ 47.1 kg/ sqm</t>
  </si>
  <si>
    <t>Cost of 4 mm plate 33.91 kg @                        Rs:</t>
  </si>
  <si>
    <t>/ kg</t>
  </si>
  <si>
    <t>Cost of 6.6 m angle 25.08 kg @                       Rs:</t>
  </si>
  <si>
    <t>Cost of 1.8 m flat 4.23 kg @                            Rs:</t>
  </si>
  <si>
    <t>Cost of 2.3 m soldier 18.17 kg @                     Rs:</t>
  </si>
  <si>
    <t>Cost of 6mm plate 1.41 kg @                          Rs:</t>
  </si>
  <si>
    <t>Add for wastage @</t>
  </si>
  <si>
    <t>Add for bolts &amp; nuts @ 0.5 kg/ sqm                 Rs:</t>
  </si>
  <si>
    <t>Add for fabrication of shutter @ 82.8 kg/sqm       Rs:</t>
  </si>
  <si>
    <t>Deduct salvage value @</t>
  </si>
  <si>
    <t>Use rate of shutters:</t>
  </si>
  <si>
    <t>Use rate of shutters considering average</t>
  </si>
  <si>
    <t>uses</t>
  </si>
  <si>
    <t>Add for repairs/ replacements/ catwalks etc., @</t>
  </si>
  <si>
    <t>Add for binding wire/ temperary supports etc., @</t>
  </si>
  <si>
    <t>Add for 2 J-bolts/ sqm for fixing soldier @           Rs:</t>
  </si>
  <si>
    <t>Add for shutter oil at 0.2 ltr/ sqm @                   Rs:</t>
  </si>
  <si>
    <t>Effective area of shutter &amp; soldier with 10 cm margin at top and bottom</t>
  </si>
  <si>
    <t>Cost of shuttering for concrete / use/ sqm</t>
  </si>
  <si>
    <t>( Excluding T &amp; P / Profit / Overheads)</t>
  </si>
  <si>
    <t>Add for shutter oil at 0.2 ltr/ sqm @                    Rs:</t>
  </si>
  <si>
    <t>Erection &amp; dismantling shuttering :</t>
  </si>
  <si>
    <t>2 Fitters, 1 Carpentor Cl-II and 5 mazdoors erect 50 sqm shuttering / day.</t>
  </si>
  <si>
    <t>Cost of dismantling assumed at 50 % of erection charges.</t>
  </si>
  <si>
    <t>Area of shuttering with supports considered.</t>
  </si>
  <si>
    <t>Cleaning, conveying, erecting and oiling:</t>
  </si>
  <si>
    <t>Fitter shuttering 4 Nos. @                               Rs:</t>
  </si>
  <si>
    <t>/ day</t>
  </si>
  <si>
    <t>Carpentor Cl -II 2 Nos. @                                Rs:</t>
  </si>
  <si>
    <t>mazdoor 10 Nos. @                              Rs:</t>
  </si>
  <si>
    <t>Dismantling and stacking:</t>
  </si>
  <si>
    <t>Fitter shuttering 2 Nos. @                               Rs:</t>
  </si>
  <si>
    <t>Carpentor Cl -II 1 Nos. @                                Rs:</t>
  </si>
  <si>
    <t>mazdoor 5 Nos. @                               Rs:</t>
  </si>
  <si>
    <t>Labour charges for erecting and dismantling shuttering per sqm</t>
  </si>
  <si>
    <t>( Excluding T &amp; P / Profit / Overheads / Hidden costs )</t>
  </si>
  <si>
    <t>Requirement of materials :</t>
  </si>
  <si>
    <t>For 1 cum CC :- Coarse aggregates : 0.90 cum Blending ratio : 50 :30 : 20</t>
  </si>
  <si>
    <t>Fine aggregate : 0.40 cum Cement content : 260 kg Super plasticizer : (=260*0.4%) = 1.04 kg</t>
  </si>
  <si>
    <t>Average output of 300/200 ltr mixer : 50 x 10 x 8 /260</t>
  </si>
  <si>
    <t>cum per day</t>
  </si>
  <si>
    <t>Formwork &amp; scaffolding :</t>
  </si>
  <si>
    <t>Shuttering at 1 sqm / cum of concrete considered for foundation filling works.</t>
  </si>
  <si>
    <t>Use rate of shuttering for 40 uses ( Annexure-A above )</t>
  </si>
  <si>
    <t>/ sqm</t>
  </si>
  <si>
    <t>Scaffolding for foundation concreting assumed</t>
  </si>
  <si>
    <t>: 10 % of shuttering</t>
  </si>
  <si>
    <t>Labour for shuttering ( Annexure-B above )</t>
  </si>
  <si>
    <t>Labour for erecting &amp; dismantling scaffolding :</t>
  </si>
  <si>
    <t>10 % of labour for shuttering</t>
  </si>
  <si>
    <t>Requirement of labour for concreting:</t>
  </si>
  <si>
    <t>Mason Cl I</t>
  </si>
  <si>
    <t>mazdoor:</t>
  </si>
  <si>
    <t>For batching cement</t>
  </si>
  <si>
    <t>For batching 40-20 CA</t>
  </si>
  <si>
    <t>For batching 20-10 &amp; 10-4.75 CA</t>
  </si>
  <si>
    <t>For batching FA</t>
  </si>
  <si>
    <t>For remixing &amp; filling mortar pans</t>
  </si>
  <si>
    <t>For loading mortar pans</t>
  </si>
  <si>
    <t>For unloading mortar pans</t>
  </si>
  <si>
    <t>For assisting Mason</t>
  </si>
  <si>
    <t>No.</t>
  </si>
  <si>
    <t>For conveying concrete @ 1 per cum</t>
  </si>
  <si>
    <t>For cleaning, curing &amp; miscellaneous</t>
  </si>
  <si>
    <t>Data</t>
  </si>
  <si>
    <t>Particulars</t>
  </si>
  <si>
    <t>Cement for mix</t>
  </si>
  <si>
    <t>Cement for incidentals @ 3 kg / cum</t>
  </si>
  <si>
    <t>Coarse aggregate 40-20 mm</t>
  </si>
  <si>
    <t>Coarse aggregate 20-10 mm</t>
  </si>
  <si>
    <t>Coarse aggregate 10 mm below</t>
  </si>
  <si>
    <t>Fine aggregate (Un-Screened)</t>
  </si>
  <si>
    <t>Super Plasticizer</t>
  </si>
  <si>
    <t>Use rate of shuttering for 40 uses</t>
  </si>
  <si>
    <t>Scaffolding @  of shuttering</t>
  </si>
  <si>
    <t>Sundries</t>
  </si>
  <si>
    <t>LS</t>
  </si>
  <si>
    <t>Concrete mixer 300/200 ltr ( diesel )</t>
  </si>
  <si>
    <t>Hour</t>
  </si>
  <si>
    <t>Fuel / Energy charges</t>
  </si>
  <si>
    <t>5 hp pump ( diesel )</t>
  </si>
  <si>
    <t>Water tanker 8000 ltr</t>
  </si>
  <si>
    <t>Needle vibrator 40 mm dia ( petrol )</t>
  </si>
  <si>
    <t>Crew for Concrete mixer</t>
  </si>
  <si>
    <t>Crew for Pump</t>
  </si>
  <si>
    <t>Crew for Water tanker</t>
  </si>
  <si>
    <t>Crew for Needle vibrator</t>
  </si>
  <si>
    <t>Mason Class-I</t>
  </si>
  <si>
    <t>for batching materials</t>
  </si>
  <si>
    <t>for loading mortar pans</t>
  </si>
  <si>
    <t>for laying</t>
  </si>
  <si>
    <t>for conveying concrete</t>
  </si>
  <si>
    <t>for cleaning/ washing/ curing</t>
  </si>
  <si>
    <t>Labour cost for shuttering</t>
  </si>
  <si>
    <t>Labour cost for scaffolding @</t>
  </si>
  <si>
    <t>(A+B+C+D)/15.38</t>
  </si>
  <si>
    <t>For 1 cum CC :- Coarse aggregates : 0.80 cum            Blending ratio : 65 :35</t>
  </si>
  <si>
    <t>Fine aggregate : 0.45 cum        Cement content : 280 kg             Super plasticizer : 1.12 kg</t>
  </si>
  <si>
    <t>Average output of 300/200 ltr mixer : 50 x 11 x 8 / 280</t>
  </si>
  <si>
    <t>Shuttering at 2 sqm / cum of concrete considered for sub / super structure works.</t>
  </si>
  <si>
    <t>Use rate of shuttering ( Annexure-A Item-IRR-CCDW-2-3 )                            Rs:</t>
  </si>
  <si>
    <t>Scaffolding for sub/ super structure concreting assumed :         25 % of shuttering</t>
  </si>
  <si>
    <t>Labour for shuttering ( Annexure-B Item-IRR-CCDW-2-3 )                             Rs:</t>
  </si>
  <si>
    <t>Labour for erecting &amp; dismsntling scaffolding :                         25 % of labour for shuttering.</t>
  </si>
  <si>
    <t>Labour for concreting :</t>
  </si>
  <si>
    <t>Requirement of labour for concreting : 3 mazdoors less than in item IRR-CCDW-2-3</t>
  </si>
  <si>
    <t>include one mazdoor for extra lift  beyond initial lift involved for super structure quantity.</t>
  </si>
  <si>
    <t>Cement for incidentals @ 5 kg / cum</t>
  </si>
  <si>
    <t>Crew for Vibrator</t>
  </si>
  <si>
    <t>(A+B+C+D)/15.71</t>
  </si>
  <si>
    <t>Lap jointing considered assuming all reinforcement below 36 mm dia.</t>
  </si>
  <si>
    <t>Quantity of binding wire per tonne</t>
  </si>
  <si>
    <t>Wastage of steel</t>
  </si>
  <si>
    <t>percent</t>
  </si>
  <si>
    <t>Cleaning,straightening</t>
  </si>
  <si>
    <t>1 Bar benders &amp; 2 mazdoors</t>
  </si>
  <si>
    <t>Marking, cutting, bending &amp; stacking</t>
  </si>
  <si>
    <t>2 Bar benders &amp; 4 mazdoors</t>
  </si>
  <si>
    <t>Fixing &amp; tying with binding wire</t>
  </si>
  <si>
    <t>Checking / correcting &amp; misc.</t>
  </si>
  <si>
    <t>1 Bar benders &amp; 1 mazdoors</t>
  </si>
  <si>
    <t>Rein.Steel with 5 % wastage</t>
  </si>
  <si>
    <t>Binding wire 1.25 mm dia</t>
  </si>
  <si>
    <t>Sundries ( chairs / spacers etc )</t>
  </si>
  <si>
    <t>Bar bender</t>
  </si>
  <si>
    <t>(A+B+C+D)/1000.0</t>
  </si>
  <si>
    <t>Note:</t>
  </si>
  <si>
    <t>For 1 cum CC :-      Coarse aggregates : 0.80 cum                       Blending ratio : 65 :35</t>
  </si>
  <si>
    <t>Fine aggregate : 0.45 cum          Cement content : 330 kg            Super plasticizer : 1.32 kg</t>
  </si>
  <si>
    <t>Average output of 300/200 ltr mixer : 50 x 13 x 8 / 330</t>
  </si>
  <si>
    <t>Shuttering at 2.5 sqm / cum of concrete considered for deck slab and kerb.</t>
  </si>
  <si>
    <t>Use rate of shuttering for 30 uses ( Annexure-A Item-IRR-CCDW-2-3 )                      Rs:</t>
  </si>
  <si>
    <t>Cost of scaffolding materials considered @ :                                250 % of shuttering</t>
  </si>
  <si>
    <t>Labour for shuttering ( Annexure-B Item-IRR-CCDW-2-3)                                         Rs:</t>
  </si>
  <si>
    <t>Labour for erecting &amp; dismantling scaffolding @ :                          250 % of labour for shuttering</t>
  </si>
  <si>
    <t>Requirement of labour for concreting same as in item IRR-CCDW-2-4 with 0.5 mazdoor and 1 mason extra.</t>
  </si>
  <si>
    <t>Use rate of shuttering for 30 uses</t>
  </si>
  <si>
    <t>(A+B+C+D)/15.76</t>
  </si>
  <si>
    <t>Fine aggregate : 0.45 cum       Cement content : 330 kg               Super plasticizer : 1.32 kg</t>
  </si>
  <si>
    <t>Shuttering at 0.5 sqm / cum of concrete considered for wearing coat.</t>
  </si>
  <si>
    <t>Use rate of shuttering for 40 uses ( Annexure-A Item-IRR-CCDW-2-3 )                       Rs:</t>
  </si>
  <si>
    <t>Labour for shuttering ( Annexure-B Item-IRR-CCDW-2-3 )                                         Rs:</t>
  </si>
  <si>
    <t>No scaffolding required for wearing coat concrete laying.</t>
  </si>
  <si>
    <t>Requirement of labour for concreting same as in item IRR-CCDW-2-4 with 1 mason and 1.5 mazdoor extra for</t>
  </si>
  <si>
    <t>finishing and packing joints with asphalt mortar.</t>
  </si>
  <si>
    <t>Use rate of shuttering</t>
  </si>
  <si>
    <t>Sundries ( asphalt mortar etc )</t>
  </si>
  <si>
    <t>For foundation filling in large area and above pipes no rehandling of soil is considered.</t>
  </si>
  <si>
    <t>Output of 1 mazdoor for spreading &amp; levelling at site per day</t>
  </si>
  <si>
    <t>Output of 8-10 tonne road roller for compaction per hour</t>
  </si>
  <si>
    <t>cum/hour</t>
  </si>
  <si>
    <t>Cartman with double bullock cart for supplying water</t>
  </si>
  <si>
    <t>1mazdoor for watering at site.</t>
  </si>
  <si>
    <t>Diesel road roller 8-10 tonne</t>
  </si>
  <si>
    <t>Operator road roller</t>
  </si>
  <si>
    <t>Cartman with double bullock cart</t>
  </si>
  <si>
    <t>(A+B+C+D)/10.0</t>
  </si>
  <si>
    <t>Requirement of materials for constructing 100 sqm pitching:</t>
  </si>
  <si>
    <t>Uncoursed rubble stones</t>
  </si>
  <si>
    <t>Requirement of labour for 100 sqm pitching:</t>
  </si>
  <si>
    <t>Mason Cl II for laying pitching</t>
  </si>
  <si>
    <t>per cum</t>
  </si>
  <si>
    <t>A. MATERIALS :</t>
  </si>
  <si>
    <t>Rate          in Rs</t>
  </si>
  <si>
    <t>Amount                in Rs</t>
  </si>
  <si>
    <t>Uncoursed rubble stones at Quarry</t>
  </si>
  <si>
    <t>( Included in material Rate)</t>
  </si>
  <si>
    <t>Total Cost of materials      Rs :</t>
  </si>
  <si>
    <t>B.MACHINERY  :</t>
  </si>
  <si>
    <t>Nill</t>
  </si>
  <si>
    <t xml:space="preserve">Total hire charges of machinery                    </t>
  </si>
  <si>
    <t xml:space="preserve"> Rs :</t>
  </si>
  <si>
    <t>C.LABOUR  :</t>
  </si>
  <si>
    <t>Mason Class II</t>
  </si>
  <si>
    <t xml:space="preserve">Total cost of labour                                     </t>
  </si>
  <si>
    <t>ABSTRACT</t>
  </si>
  <si>
    <t>A.Cost of Materials including ryolty charges</t>
  </si>
  <si>
    <t>C.Cost of Labour</t>
  </si>
  <si>
    <t>(A+B+C+D)/100.0</t>
  </si>
  <si>
    <t>NOTE:</t>
  </si>
  <si>
    <t>If 15 cm thick murum bed is to be provided below pitching</t>
  </si>
  <si>
    <t>Rs :</t>
  </si>
  <si>
    <t>Add ( As per rate analysis under item IRR-CAW-8-1     - Note)</t>
  </si>
  <si>
    <t>Providing and laying sand blanket below embankment including cost of all materials, machinery, labour, spreading to specified thickness etc., complete with initial leadupto 50 m and all lifts.</t>
  </si>
  <si>
    <t>Providing and laying insitu vibrated M-15 ( 28 days cube compressive strength not less than15 N /sq mm ) grade cement concrete using 40 mm down size approved, clean, hard, gradedaggregates for foundation filling including cost of all materials, machinery, labour, formwork,cleaning, batching, mixing, placing in position, levelling, vibrating, finishing, curing etc.,complete with initial lead upto 50 m and all lifts. (Cement content: 260 kg / cum with use of super plasticiser(0.4% by wt. of cement)CA : 0.90cum, Blending Ratio of CA--50:30:20, FA : 0.40 cum)</t>
  </si>
  <si>
    <t>Providing and laying insitu vibrated M-15 ( 28 days cube compressive strength not less than15 N / sq mm ) grade cement concrete using 20 mm down size approved, clean, hard, gradedaggregates for sub-structure / super- structure works including cost of all materials,machinery, labour, formwork, scaffolding, cleaning, batching, mixing, placing in position,levelling, vibrating, finishing, curing etc., complete with initial lead upto 50 m and all lifts.(Cement content: 280 kg / cum with use of super plasticiser(0.4% by wt. of cement),CA : 0.80cum, Blending Ratio of CA--65:35, FA : 0.45 cum)</t>
  </si>
  <si>
    <t>Providing and laying insitu vibrated M-20 ( 28 days cube compressive strength not less than20 N / sq mm ) grade cement concrete using 20 mm down size approved, clean, hard, gradedaggregates for deck slab &amp; kerb including cost of all materials,machinery, labour, formwork,scaffolding, cleaning, batching, mixing, placing in position, levelling, vibrating, finishing, curingetc., complete with initial lead upto 50 m and all lifts.(Cement content: 330 kg / cum with use of super plasticiser(0.4% by wt. of cement),CA : 0.80cum, Blending Ratio of CA--65:35, FA : 0.45 cum)</t>
  </si>
  <si>
    <t>Providing and laying insitu M- 20 ( 28 days cube compressive strength not less than 20 N /sqmm ) grade cement concrete using 20 mm down size approved, clean, hard, gradedaggregates for wearing coat including cost of all materials, machinery, labour, formwork,cleaning, batching, mixing, placing in position in alternate panels, levelling, compacting,finishing, curing, packing joints with asphalt mortar etc., complete with initial lead upto 50 mand all lifts.If water is to be brought from other place add only lead charges @ 500 ltr / cum. to the data(Cement content: 330 kg / cum with use of super plasticiser(0.4% by wt. of cement),CA : 0.80cum, Blending Ratio of CA--65:35, FA : 0.45 cum)</t>
  </si>
  <si>
    <t>Providing and filling murum / gravely soil ( CNS soil ) for foundation or above pipesincluding breaking clods, spreading in layers of 10 to 15 cm, watering, compaction by powerroller to achieve density control of not less than 98 percent etc., complete with lead upto50 m and all lifts.</t>
  </si>
  <si>
    <t>Providing, fabricating and placing in position reinforcement steel bars for RCC works includingcleaning, straightening, cutting, bending, hooking, lapping, welding wherever required,tying with1.25 mm dia soft annealed steel wire, including cost of all materials, machinery, labour etc.,complete with initial lead upto 50 and all lifts.</t>
  </si>
  <si>
    <r>
      <t xml:space="preserve">             </t>
    </r>
    <r>
      <rPr>
        <b/>
        <u/>
        <sz val="10"/>
        <rFont val="Arial"/>
        <family val="2"/>
      </rPr>
      <t>DATA (2023-2024)</t>
    </r>
  </si>
  <si>
    <t>CONVEYANCE CHARGES</t>
  </si>
  <si>
    <t>Conveyance Rate per Cum</t>
  </si>
  <si>
    <t>Total Rate (Incuding conveyance) per Cum</t>
  </si>
  <si>
    <t>Sand for filling</t>
  </si>
  <si>
    <t>Construction of Slab culvert with Clear Span of 3.0 m</t>
  </si>
  <si>
    <t>Report accompanying the Estimate for "Construction of Slab culvert with Clear Span of 3.0 m"</t>
  </si>
  <si>
    <t xml:space="preserve">             The Expenditure is debit able to Head of Account:</t>
  </si>
  <si>
    <t>Name of work:-Construction of Slab culvert on Chelacodu minor drain at Km 1.570 of Drainage section no.05, Ganapavaram in W.G District.</t>
  </si>
  <si>
    <t>Total lead charges (including Contractor profit@13.715%)</t>
  </si>
  <si>
    <t>1700 mm dia</t>
  </si>
  <si>
    <t xml:space="preserve">     Steel (M.S. Rods) - Rs.47,000/- per MT. (including all taxes and freight).</t>
  </si>
  <si>
    <t xml:space="preserve">Revised Cost =Cost as per the above table +R1+R2                                                                        R1= Variation (increase / decrease ) in cost (Rs. per metre )due to change in the cost of M.S. Roads = (S2-S1)/1000 X Ws.                                                                                                       R2= Variation (increase / decrease ) in cost (Rs. per metre )due to change in the cost of Cement = (C2-C1)/1000 X Wc.                                                                                                                    S1 = Rs. 47,000/- , S2 = Cost of M S Rods (Rs. Per MT including all taxes and freight) at the time of preparation of estimate.                                                                                                                C1 = Rs. 5,100/- C2 = Cost of Cement (Rs. Per MT  including all taxes and freight) at the time of preparation of estimate.                                                                                                 Ws=Weight of MS Rods required  (Kg.) per metre of pipe as per IS:458/2003.                                                                                                      Wc= Weight of Cement required  (Kg.) per metre of pipe.      </t>
  </si>
  <si>
    <t xml:space="preserve">     Revised Cost =Cost as per the above table +R1+R2                                                                            R1= Variation (increase / decrease) in cost (Rs. per each )due to change in the cost of M.S. Roads = (S2-S1)/1000 X Ws.  R2= Variation (increase / decrease ) in cost (Rs. per each )due to change in the cost of Cement = (C2-C1)/1000 X Wc.                                                                                                                    S1 = Rs. 47,000/- , S2 = Cost of M S Rods (Rs. Per MT including all taxes and freight) at the time of preparation of estimate.                                                                                                                C1 = Rs. 5,100/-, C2 = Cost of Cement (Rs. Per MT including all taxes and freight) at the time of preparation of estimate                                                                                                 Ws=Weight of MS Rods required (Kg.) per each collar.                                                                                                      Wc= Weight of Cement required (Kg.) per each collar. </t>
  </si>
  <si>
    <t xml:space="preserve">7. SoRATES FOR CONVEYANCE OF R.C.C. PLAIN ENDED PIPES </t>
  </si>
</sst>
</file>

<file path=xl/styles.xml><?xml version="1.0" encoding="utf-8"?>
<styleSheet xmlns="http://schemas.openxmlformats.org/spreadsheetml/2006/main">
  <numFmts count="7">
    <numFmt numFmtId="43" formatCode="_(* #,##0.00_);_(* \(#,##0.00\);_(* &quot;-&quot;??_);_(@_)"/>
    <numFmt numFmtId="164" formatCode="_ * #,##0.00_ ;_ * \-#,##0.00_ ;_ * &quot;-&quot;??_ ;_ @_ "/>
    <numFmt numFmtId="165" formatCode="0.000"/>
    <numFmt numFmtId="166" formatCode="&quot;+&quot;0.00&quot;m&quot;"/>
    <numFmt numFmtId="167" formatCode="0.0000"/>
    <numFmt numFmtId="168" formatCode="dd/mm/yyyy;@"/>
    <numFmt numFmtId="169" formatCode="0.00\ &quot;x d&quot;"/>
  </numFmts>
  <fonts count="1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0"/>
      <name val="Cambria"/>
      <family val="1"/>
    </font>
    <font>
      <sz val="10"/>
      <name val="Cambria"/>
      <family val="1"/>
    </font>
    <font>
      <b/>
      <u/>
      <sz val="10"/>
      <name val="Arial"/>
      <family val="2"/>
    </font>
    <font>
      <sz val="9"/>
      <name val="Arial"/>
      <family val="2"/>
    </font>
    <font>
      <b/>
      <sz val="9"/>
      <name val="Arial"/>
      <family val="2"/>
    </font>
    <font>
      <u/>
      <sz val="10"/>
      <name val="Arial"/>
      <family val="2"/>
    </font>
    <font>
      <sz val="8"/>
      <name val="Arial"/>
      <family val="2"/>
    </font>
    <font>
      <sz val="12"/>
      <name val="Century Gothic"/>
      <family val="2"/>
    </font>
    <font>
      <sz val="10"/>
      <name val="Century Gothic"/>
      <family val="2"/>
    </font>
    <font>
      <b/>
      <sz val="12"/>
      <name val="Arial"/>
      <family val="2"/>
    </font>
    <font>
      <sz val="12"/>
      <name val="Arial"/>
      <family val="2"/>
    </font>
    <font>
      <sz val="16"/>
      <color theme="1"/>
      <name val="AngsanaUPC"/>
      <family val="2"/>
    </font>
    <font>
      <sz val="10"/>
      <color rgb="FF7F7F7F"/>
      <name val="Calibri"/>
      <family val="2"/>
      <scheme val="minor"/>
    </font>
    <font>
      <sz val="12"/>
      <color theme="1"/>
      <name val="Century Gothic"/>
      <family val="2"/>
    </font>
    <font>
      <b/>
      <sz val="12"/>
      <color theme="1"/>
      <name val="Century Gothic"/>
      <family val="2"/>
    </font>
    <font>
      <sz val="10"/>
      <name val="Arial"/>
      <family val="2"/>
    </font>
    <font>
      <b/>
      <sz val="10"/>
      <name val="Verdana"/>
      <family val="2"/>
    </font>
    <font>
      <sz val="10"/>
      <name val="Verdana"/>
      <family val="2"/>
    </font>
    <font>
      <sz val="10"/>
      <color indexed="8"/>
      <name val="Arial"/>
      <family val="2"/>
    </font>
    <font>
      <sz val="11"/>
      <color indexed="8"/>
      <name val="Calibri"/>
      <family val="2"/>
    </font>
    <font>
      <sz val="10"/>
      <name val="MS Serif"/>
      <family val="1"/>
    </font>
    <font>
      <sz val="10"/>
      <color indexed="16"/>
      <name val="MS Serif"/>
      <family val="1"/>
    </font>
    <font>
      <sz val="8"/>
      <name val="Helv"/>
      <family val="2"/>
    </font>
    <font>
      <b/>
      <sz val="8"/>
      <color indexed="8"/>
      <name val="Helv"/>
      <family val="2"/>
    </font>
    <font>
      <b/>
      <sz val="12"/>
      <name val="Times New Roman"/>
      <family val="1"/>
    </font>
    <font>
      <sz val="12"/>
      <name val="Times New Roman"/>
      <family val="1"/>
    </font>
    <font>
      <b/>
      <sz val="10"/>
      <name val="Times New Roman"/>
      <family val="1"/>
    </font>
    <font>
      <sz val="10"/>
      <name val="Times New Roman"/>
      <family val="1"/>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b/>
      <sz val="11"/>
      <color theme="1"/>
      <name val="Calibri"/>
      <family val="2"/>
      <scheme val="minor"/>
    </font>
    <font>
      <sz val="11"/>
      <name val="Arial"/>
      <family val="2"/>
    </font>
    <font>
      <b/>
      <sz val="12"/>
      <name val="Century Gothic"/>
      <family val="2"/>
    </font>
    <font>
      <b/>
      <u/>
      <sz val="14"/>
      <color theme="1"/>
      <name val="Calibri"/>
      <family val="2"/>
      <scheme val="minor"/>
    </font>
    <font>
      <u/>
      <sz val="10"/>
      <color indexed="12"/>
      <name val="Arial"/>
      <family val="2"/>
    </font>
    <font>
      <b/>
      <sz val="11"/>
      <name val="Arial"/>
      <family val="2"/>
    </font>
    <font>
      <b/>
      <u/>
      <sz val="11"/>
      <color theme="1"/>
      <name val="Calibri"/>
      <family val="2"/>
      <scheme val="minor"/>
    </font>
    <font>
      <sz val="14"/>
      <color theme="1"/>
      <name val="Calibri"/>
      <family val="2"/>
      <scheme val="minor"/>
    </font>
    <font>
      <vertAlign val="subscript"/>
      <sz val="11"/>
      <color theme="1"/>
      <name val="Calibri"/>
      <family val="2"/>
      <scheme val="minor"/>
    </font>
    <font>
      <b/>
      <sz val="11"/>
      <color rgb="FFFF0000"/>
      <name val="Calibri"/>
      <family val="2"/>
      <scheme val="minor"/>
    </font>
    <font>
      <sz val="11"/>
      <name val="Calibri"/>
      <family val="2"/>
      <scheme val="minor"/>
    </font>
    <font>
      <vertAlign val="superscript"/>
      <sz val="11"/>
      <name val="Calibri"/>
      <family val="2"/>
      <scheme val="minor"/>
    </font>
    <font>
      <b/>
      <i/>
      <sz val="11"/>
      <name val="Calibri"/>
      <family val="2"/>
      <scheme val="minor"/>
    </font>
    <font>
      <sz val="10"/>
      <name val="Calibri"/>
      <family val="2"/>
      <scheme val="minor"/>
    </font>
    <font>
      <vertAlign val="subscript"/>
      <sz val="11"/>
      <name val="Calibri"/>
      <family val="2"/>
      <scheme val="minor"/>
    </font>
    <font>
      <sz val="11"/>
      <name val="Calibri"/>
      <family val="2"/>
    </font>
    <font>
      <b/>
      <i/>
      <sz val="12"/>
      <name val="Calibri"/>
      <family val="2"/>
      <scheme val="minor"/>
    </font>
    <font>
      <b/>
      <sz val="11"/>
      <name val="Calibri"/>
      <family val="2"/>
      <scheme val="minor"/>
    </font>
    <font>
      <b/>
      <sz val="14"/>
      <color indexed="8"/>
      <name val="Century"/>
      <family val="1"/>
    </font>
    <font>
      <sz val="11"/>
      <name val="Century Gothic"/>
      <family val="2"/>
    </font>
    <font>
      <b/>
      <sz val="10"/>
      <name val="Century Gothic"/>
      <family val="2"/>
    </font>
    <font>
      <b/>
      <sz val="10"/>
      <color indexed="10"/>
      <name val="Century Gothic"/>
      <family val="2"/>
    </font>
    <font>
      <b/>
      <sz val="10"/>
      <color rgb="FFFF0000"/>
      <name val="Century Gothic"/>
      <family val="2"/>
    </font>
    <font>
      <sz val="9"/>
      <name val="Century Gothic"/>
      <family val="2"/>
    </font>
    <font>
      <sz val="12"/>
      <color theme="1"/>
      <name val="Calibri"/>
      <family val="2"/>
      <scheme val="minor"/>
    </font>
    <font>
      <b/>
      <sz val="9"/>
      <name val="Century Gothic"/>
      <family val="2"/>
    </font>
    <font>
      <b/>
      <sz val="11"/>
      <name val="Century Gothic"/>
      <family val="2"/>
    </font>
    <font>
      <b/>
      <sz val="10"/>
      <color indexed="50"/>
      <name val="Century Gothic"/>
      <family val="2"/>
    </font>
    <font>
      <b/>
      <u/>
      <sz val="14"/>
      <name val="Calibri"/>
      <family val="2"/>
      <scheme val="minor"/>
    </font>
    <font>
      <sz val="9"/>
      <name val="Calibri"/>
      <family val="2"/>
    </font>
    <font>
      <sz val="9"/>
      <name val="Calibri"/>
      <family val="2"/>
      <scheme val="minor"/>
    </font>
    <font>
      <sz val="10"/>
      <name val="Calibri"/>
      <family val="2"/>
    </font>
    <font>
      <b/>
      <sz val="10"/>
      <name val="Calibri"/>
      <family val="2"/>
    </font>
    <font>
      <sz val="10"/>
      <color theme="1"/>
      <name val="Arial"/>
      <family val="2"/>
    </font>
    <font>
      <b/>
      <sz val="10"/>
      <name val="Tahoma"/>
      <family val="2"/>
    </font>
    <font>
      <b/>
      <sz val="14"/>
      <name val="Tahoma"/>
      <family val="2"/>
    </font>
    <font>
      <b/>
      <sz val="20"/>
      <name val="Swis721 BdOul BT"/>
      <family val="5"/>
    </font>
    <font>
      <u/>
      <sz val="18"/>
      <name val="Tahoma"/>
      <family val="2"/>
    </font>
    <font>
      <sz val="10"/>
      <name val="Tahoma"/>
      <family val="2"/>
    </font>
    <font>
      <sz val="14"/>
      <name val="Tahoma"/>
      <family val="2"/>
    </font>
    <font>
      <u/>
      <sz val="14"/>
      <name val="Tahoma"/>
      <family val="2"/>
    </font>
    <font>
      <sz val="10"/>
      <name val="Arial"/>
      <family val="2"/>
    </font>
    <font>
      <sz val="12"/>
      <color theme="1"/>
      <name val="Times New Roman"/>
      <family val="1"/>
    </font>
    <font>
      <b/>
      <sz val="12"/>
      <color indexed="8"/>
      <name val="Century Gothic"/>
      <family val="2"/>
    </font>
    <font>
      <sz val="12"/>
      <color indexed="8"/>
      <name val="Century Gothic"/>
      <family val="2"/>
    </font>
    <font>
      <b/>
      <u/>
      <sz val="14"/>
      <color indexed="8"/>
      <name val="Times New Roman"/>
      <family val="1"/>
    </font>
    <font>
      <sz val="12"/>
      <color indexed="8"/>
      <name val="Times New Roman"/>
      <family val="1"/>
    </font>
    <font>
      <b/>
      <u/>
      <sz val="12"/>
      <color indexed="8"/>
      <name val="Times New Roman"/>
      <family val="1"/>
    </font>
    <font>
      <b/>
      <u/>
      <sz val="10"/>
      <name val="Century Gothic"/>
      <family val="2"/>
    </font>
    <font>
      <b/>
      <sz val="11"/>
      <name val="Calibri"/>
      <family val="2"/>
    </font>
    <font>
      <vertAlign val="superscript"/>
      <sz val="12"/>
      <name val="Times New Roman"/>
      <family val="1"/>
    </font>
    <font>
      <b/>
      <u/>
      <sz val="11"/>
      <name val="Arial"/>
      <family val="2"/>
    </font>
    <font>
      <b/>
      <i/>
      <u/>
      <sz val="11"/>
      <color indexed="8"/>
      <name val="Calibri"/>
      <family val="2"/>
    </font>
  </fonts>
  <fills count="2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22"/>
        <bgColor indexed="31"/>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8"/>
      </right>
      <top style="medium">
        <color indexed="64"/>
      </top>
      <bottom style="medium">
        <color indexed="64"/>
      </bottom>
      <diagonal/>
    </border>
    <border>
      <left style="thin">
        <color indexed="64"/>
      </left>
      <right/>
      <top style="medium">
        <color indexed="64"/>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s>
  <cellStyleXfs count="104">
    <xf numFmtId="0" fontId="0" fillId="0" borderId="0"/>
    <xf numFmtId="0" fontId="25" fillId="0" borderId="0"/>
    <xf numFmtId="0" fontId="11" fillId="0" borderId="0"/>
    <xf numFmtId="0" fontId="12" fillId="0" borderId="0"/>
    <xf numFmtId="0" fontId="11" fillId="0" borderId="0"/>
    <xf numFmtId="0" fontId="26" fillId="0" borderId="0"/>
    <xf numFmtId="0" fontId="11" fillId="0" borderId="0"/>
    <xf numFmtId="0" fontId="11" fillId="0" borderId="0"/>
    <xf numFmtId="43" fontId="11" fillId="0" borderId="0" applyFont="0" applyFill="0" applyBorder="0" applyAlignment="0" applyProtection="0"/>
    <xf numFmtId="0" fontId="32" fillId="0" borderId="0" applyFill="0" applyBorder="0" applyAlignment="0"/>
    <xf numFmtId="164" fontId="33" fillId="0" borderId="0" applyFont="0" applyFill="0" applyBorder="0" applyAlignment="0" applyProtection="0"/>
    <xf numFmtId="0" fontId="34" fillId="0" borderId="0" applyNumberFormat="0" applyAlignment="0"/>
    <xf numFmtId="0" fontId="35" fillId="0" borderId="0" applyNumberFormat="0" applyAlignment="0"/>
    <xf numFmtId="0" fontId="20" fillId="4" borderId="0" applyNumberFormat="0" applyBorder="0" applyAlignment="0" applyProtection="0"/>
    <xf numFmtId="0" fontId="23" fillId="0" borderId="26" applyNumberFormat="0" applyAlignment="0" applyProtection="0"/>
    <xf numFmtId="0" fontId="23" fillId="0" borderId="27">
      <alignment horizontal="left" vertical="center"/>
    </xf>
    <xf numFmtId="0" fontId="20" fillId="5" borderId="0" applyNumberFormat="0" applyBorder="0" applyAlignment="0" applyProtection="0"/>
    <xf numFmtId="0" fontId="33" fillId="0" borderId="0"/>
    <xf numFmtId="0" fontId="11" fillId="0" borderId="0"/>
    <xf numFmtId="0" fontId="10"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29" fillId="0" borderId="0"/>
    <xf numFmtId="0" fontId="33" fillId="0" borderId="0"/>
    <xf numFmtId="0" fontId="33" fillId="0" borderId="0"/>
    <xf numFmtId="10" fontId="31" fillId="0" borderId="0" applyFill="0" applyBorder="0" applyAlignment="0" applyProtection="0"/>
    <xf numFmtId="0" fontId="36" fillId="0" borderId="0" applyNumberFormat="0" applyFill="0" applyBorder="0" applyAlignment="0" applyProtection="0"/>
    <xf numFmtId="40" fontId="37" fillId="0" borderId="0" applyBorder="0">
      <alignment horizontal="right"/>
    </xf>
    <xf numFmtId="9" fontId="11" fillId="0" borderId="0" applyFont="0" applyFill="0" applyBorder="0" applyAlignment="0" applyProtection="0"/>
    <xf numFmtId="0" fontId="9" fillId="0" borderId="0"/>
    <xf numFmtId="0" fontId="42" fillId="0" borderId="0"/>
    <xf numFmtId="0" fontId="8" fillId="0" borderId="0"/>
    <xf numFmtId="0" fontId="11" fillId="0" borderId="0"/>
    <xf numFmtId="0" fontId="11" fillId="0" borderId="0"/>
    <xf numFmtId="0" fontId="7" fillId="0" borderId="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43" fillId="16"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23" borderId="0" applyNumberFormat="0" applyBorder="0" applyAlignment="0" applyProtection="0"/>
    <xf numFmtId="0" fontId="44" fillId="7" borderId="0" applyNumberFormat="0" applyBorder="0" applyAlignment="0" applyProtection="0"/>
    <xf numFmtId="0" fontId="45" fillId="24" borderId="28" applyNumberFormat="0" applyAlignment="0" applyProtection="0"/>
    <xf numFmtId="0" fontId="46" fillId="25" borderId="29" applyNumberFormat="0" applyAlignment="0" applyProtection="0"/>
    <xf numFmtId="0" fontId="47" fillId="0" borderId="0" applyNumberFormat="0" applyFill="0" applyBorder="0" applyAlignment="0" applyProtection="0"/>
    <xf numFmtId="0" fontId="48" fillId="8" borderId="0" applyNumberFormat="0" applyBorder="0" applyAlignment="0" applyProtection="0"/>
    <xf numFmtId="0" fontId="49" fillId="0" borderId="30" applyNumberFormat="0" applyFill="0" applyAlignment="0" applyProtection="0"/>
    <xf numFmtId="0" fontId="50" fillId="0" borderId="31" applyNumberFormat="0" applyFill="0" applyAlignment="0" applyProtection="0"/>
    <xf numFmtId="0" fontId="51" fillId="0" borderId="32" applyNumberFormat="0" applyFill="0" applyAlignment="0" applyProtection="0"/>
    <xf numFmtId="0" fontId="51" fillId="0" borderId="0" applyNumberFormat="0" applyFill="0" applyBorder="0" applyAlignment="0" applyProtection="0"/>
    <xf numFmtId="0" fontId="52" fillId="11" borderId="28" applyNumberFormat="0" applyAlignment="0" applyProtection="0"/>
    <xf numFmtId="0" fontId="53" fillId="0" borderId="33" applyNumberFormat="0" applyFill="0" applyAlignment="0" applyProtection="0"/>
    <xf numFmtId="0" fontId="54" fillId="2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11" fillId="0" borderId="0"/>
    <xf numFmtId="0" fontId="11" fillId="27" borderId="34" applyNumberFormat="0" applyFont="0" applyAlignment="0" applyProtection="0"/>
    <xf numFmtId="0" fontId="55" fillId="24" borderId="35" applyNumberFormat="0" applyAlignment="0" applyProtection="0"/>
    <xf numFmtId="0" fontId="56" fillId="0" borderId="0" applyNumberFormat="0" applyFill="0" applyBorder="0" applyAlignment="0" applyProtection="0"/>
    <xf numFmtId="0" fontId="57" fillId="0" borderId="36" applyNumberFormat="0" applyFill="0" applyAlignment="0" applyProtection="0"/>
    <xf numFmtId="0" fontId="58" fillId="0" borderId="0" applyNumberFormat="0" applyFill="0" applyBorder="0" applyAlignment="0" applyProtection="0"/>
    <xf numFmtId="0" fontId="6" fillId="0" borderId="0"/>
    <xf numFmtId="0" fontId="59" fillId="0" borderId="0"/>
    <xf numFmtId="0" fontId="59" fillId="0" borderId="0"/>
    <xf numFmtId="0" fontId="59" fillId="0" borderId="0"/>
    <xf numFmtId="0" fontId="5" fillId="0" borderId="0"/>
    <xf numFmtId="0" fontId="4" fillId="0" borderId="0"/>
    <xf numFmtId="0" fontId="3" fillId="0" borderId="0"/>
    <xf numFmtId="0" fontId="2" fillId="0" borderId="0"/>
    <xf numFmtId="0" fontId="64" fillId="0" borderId="0" applyNumberFormat="0" applyFill="0" applyBorder="0" applyAlignment="0" applyProtection="0">
      <alignment vertical="top"/>
      <protection locked="0"/>
    </xf>
    <xf numFmtId="0" fontId="2" fillId="0" borderId="0"/>
    <xf numFmtId="0" fontId="84" fillId="0" borderId="0"/>
    <xf numFmtId="0" fontId="11" fillId="0" borderId="0"/>
    <xf numFmtId="0" fontId="1" fillId="0" borderId="0"/>
    <xf numFmtId="0" fontId="101" fillId="0" borderId="0"/>
    <xf numFmtId="0" fontId="101" fillId="0" borderId="0"/>
  </cellStyleXfs>
  <cellXfs count="460">
    <xf numFmtId="0" fontId="0" fillId="0" borderId="0" xfId="0"/>
    <xf numFmtId="0" fontId="11" fillId="0" borderId="0" xfId="0" applyFont="1"/>
    <xf numFmtId="1" fontId="0" fillId="0" borderId="0" xfId="0" applyNumberFormat="1"/>
    <xf numFmtId="2" fontId="13" fillId="0" borderId="0" xfId="0" applyNumberFormat="1" applyFont="1"/>
    <xf numFmtId="0" fontId="0" fillId="0" borderId="0" xfId="0" applyAlignment="1">
      <alignment horizontal="right"/>
    </xf>
    <xf numFmtId="1" fontId="13" fillId="0" borderId="1" xfId="0" applyNumberFormat="1" applyFont="1" applyBorder="1"/>
    <xf numFmtId="0" fontId="0" fillId="0" borderId="1" xfId="0" applyBorder="1"/>
    <xf numFmtId="0" fontId="13" fillId="0" borderId="1" xfId="0" applyFont="1" applyBorder="1"/>
    <xf numFmtId="0" fontId="0" fillId="0" borderId="1" xfId="0" applyBorder="1" applyAlignment="1">
      <alignment vertical="center"/>
    </xf>
    <xf numFmtId="1" fontId="0" fillId="0" borderId="1" xfId="0" applyNumberFormat="1" applyBorder="1" applyAlignment="1">
      <alignment vertical="center"/>
    </xf>
    <xf numFmtId="0" fontId="19" fillId="0" borderId="0" xfId="0" applyFont="1" applyAlignment="1">
      <alignment vertical="center" wrapText="1"/>
    </xf>
    <xf numFmtId="2" fontId="13" fillId="0" borderId="0" xfId="0" applyNumberFormat="1" applyFont="1" applyAlignment="1">
      <alignment horizontal="right"/>
    </xf>
    <xf numFmtId="0" fontId="0" fillId="0" borderId="1" xfId="0" applyBorder="1" applyAlignment="1">
      <alignment horizontal="right"/>
    </xf>
    <xf numFmtId="2" fontId="13" fillId="0" borderId="2" xfId="0" applyNumberFormat="1" applyFont="1" applyBorder="1" applyAlignment="1">
      <alignment horizontal="right"/>
    </xf>
    <xf numFmtId="0" fontId="13" fillId="0" borderId="13" xfId="0" applyFont="1" applyBorder="1" applyAlignment="1">
      <alignment horizontal="right"/>
    </xf>
    <xf numFmtId="3" fontId="0" fillId="0" borderId="0" xfId="0" applyNumberFormat="1"/>
    <xf numFmtId="2" fontId="13" fillId="0" borderId="1" xfId="0" applyNumberFormat="1" applyFont="1" applyBorder="1" applyAlignment="1">
      <alignment vertical="center"/>
    </xf>
    <xf numFmtId="1" fontId="13" fillId="0" borderId="1" xfId="0" applyNumberFormat="1" applyFont="1" applyBorder="1" applyAlignment="1">
      <alignment horizontal="right"/>
    </xf>
    <xf numFmtId="1" fontId="11" fillId="0" borderId="1" xfId="0" applyNumberFormat="1" applyFont="1" applyBorder="1"/>
    <xf numFmtId="0" fontId="27" fillId="0" borderId="0" xfId="2" applyFont="1"/>
    <xf numFmtId="0" fontId="27" fillId="0" borderId="0" xfId="2" applyFont="1" applyAlignment="1">
      <alignment horizontal="center" vertical="center"/>
    </xf>
    <xf numFmtId="0" fontId="21" fillId="0" borderId="0" xfId="2" applyFont="1"/>
    <xf numFmtId="2" fontId="0" fillId="0" borderId="0" xfId="0" applyNumberFormat="1"/>
    <xf numFmtId="0" fontId="13" fillId="0" borderId="0" xfId="0" applyFont="1"/>
    <xf numFmtId="0" fontId="11" fillId="0" borderId="0" xfId="7" applyAlignment="1">
      <alignment horizontal="center"/>
    </xf>
    <xf numFmtId="0" fontId="40" fillId="0" borderId="1" xfId="27" applyFont="1" applyBorder="1" applyAlignment="1" applyProtection="1">
      <alignment horizontal="center" vertical="center" textRotation="90" wrapText="1"/>
      <protection hidden="1"/>
    </xf>
    <xf numFmtId="2" fontId="13" fillId="0" borderId="2" xfId="0" applyNumberFormat="1" applyFont="1" applyBorder="1" applyAlignment="1">
      <alignment vertical="center"/>
    </xf>
    <xf numFmtId="0" fontId="11" fillId="0" borderId="1" xfId="0" applyFont="1" applyBorder="1" applyAlignment="1">
      <alignment vertical="center"/>
    </xf>
    <xf numFmtId="0" fontId="31" fillId="0" borderId="1" xfId="23" applyFont="1" applyBorder="1" applyAlignment="1" applyProtection="1">
      <alignment horizontal="justify" vertical="justify" wrapText="1"/>
      <protection hidden="1"/>
    </xf>
    <xf numFmtId="0" fontId="30" fillId="0" borderId="1" xfId="27" applyFont="1" applyBorder="1" applyAlignment="1" applyProtection="1">
      <alignment horizontal="center" vertical="center" textRotation="90" wrapText="1"/>
      <protection hidden="1"/>
    </xf>
    <xf numFmtId="0" fontId="30" fillId="0" borderId="1" xfId="27" applyFont="1" applyBorder="1" applyAlignment="1" applyProtection="1">
      <alignment horizontal="center" textRotation="90"/>
      <protection hidden="1"/>
    </xf>
    <xf numFmtId="1" fontId="11" fillId="0" borderId="0" xfId="2" applyNumberFormat="1" applyAlignment="1">
      <alignment vertical="top" wrapText="1"/>
    </xf>
    <xf numFmtId="0" fontId="13" fillId="0" borderId="0" xfId="0" applyFont="1" applyAlignment="1">
      <alignment horizontal="center" vertical="center"/>
    </xf>
    <xf numFmtId="0" fontId="28" fillId="0" borderId="0" xfId="2" applyFont="1" applyAlignment="1">
      <alignment vertical="top" wrapText="1"/>
    </xf>
    <xf numFmtId="10" fontId="20" fillId="0" borderId="1" xfId="0" applyNumberFormat="1" applyFont="1" applyBorder="1"/>
    <xf numFmtId="0" fontId="0" fillId="0" borderId="14" xfId="0" applyBorder="1"/>
    <xf numFmtId="0" fontId="0" fillId="0" borderId="15" xfId="0" applyBorder="1"/>
    <xf numFmtId="0" fontId="0" fillId="0" borderId="6" xfId="0" applyBorder="1"/>
    <xf numFmtId="0" fontId="0" fillId="0" borderId="3" xfId="0" applyBorder="1"/>
    <xf numFmtId="0" fontId="0" fillId="0" borderId="7" xfId="0" applyBorder="1"/>
    <xf numFmtId="0" fontId="0" fillId="0" borderId="9" xfId="0" applyBorder="1"/>
    <xf numFmtId="0" fontId="0" fillId="0" borderId="12" xfId="0" applyBorder="1"/>
    <xf numFmtId="0" fontId="0" fillId="0" borderId="11" xfId="0" applyBorder="1"/>
    <xf numFmtId="0" fontId="11" fillId="0" borderId="1" xfId="7" applyBorder="1" applyAlignment="1">
      <alignment horizontal="center" vertical="center" wrapText="1"/>
    </xf>
    <xf numFmtId="0" fontId="62" fillId="0" borderId="0" xfId="0" applyFont="1"/>
    <xf numFmtId="0" fontId="11" fillId="0" borderId="1" xfId="7" applyBorder="1" applyAlignment="1">
      <alignment horizontal="center" vertical="center"/>
    </xf>
    <xf numFmtId="0" fontId="11" fillId="0" borderId="0" xfId="96" applyFont="1" applyAlignment="1">
      <alignment horizontal="center" vertical="top" wrapText="1"/>
    </xf>
    <xf numFmtId="0" fontId="2" fillId="0" borderId="0" xfId="98"/>
    <xf numFmtId="0" fontId="63" fillId="0" borderId="3" xfId="98" applyFont="1" applyBorder="1" applyAlignment="1">
      <alignment horizontal="center"/>
    </xf>
    <xf numFmtId="0" fontId="63" fillId="0" borderId="0" xfId="98" applyFont="1" applyAlignment="1">
      <alignment horizontal="center"/>
    </xf>
    <xf numFmtId="0" fontId="67" fillId="0" borderId="0" xfId="98" applyFont="1" applyAlignment="1">
      <alignment horizontal="left"/>
    </xf>
    <xf numFmtId="0" fontId="63" fillId="0" borderId="15" xfId="98" applyFont="1" applyBorder="1" applyAlignment="1">
      <alignment horizontal="center"/>
    </xf>
    <xf numFmtId="0" fontId="2" fillId="0" borderId="3" xfId="98" applyBorder="1"/>
    <xf numFmtId="0" fontId="2" fillId="0" borderId="15" xfId="98" applyBorder="1"/>
    <xf numFmtId="0" fontId="60" fillId="0" borderId="3" xfId="98" applyFont="1" applyBorder="1"/>
    <xf numFmtId="0" fontId="2" fillId="0" borderId="0" xfId="98" applyAlignment="1">
      <alignment horizontal="right"/>
    </xf>
    <xf numFmtId="166" fontId="2" fillId="2" borderId="15" xfId="98" applyNumberFormat="1" applyFill="1" applyBorder="1"/>
    <xf numFmtId="0" fontId="0" fillId="0" borderId="0" xfId="98" applyFont="1"/>
    <xf numFmtId="0" fontId="2" fillId="0" borderId="0" xfId="98" applyAlignment="1">
      <alignment horizontal="center"/>
    </xf>
    <xf numFmtId="2" fontId="2" fillId="0" borderId="0" xfId="98" applyNumberFormat="1" applyAlignment="1">
      <alignment horizontal="center"/>
    </xf>
    <xf numFmtId="0" fontId="2" fillId="0" borderId="0" xfId="98" applyAlignment="1">
      <alignment horizontal="left"/>
    </xf>
    <xf numFmtId="166" fontId="2" fillId="0" borderId="0" xfId="98" applyNumberFormat="1"/>
    <xf numFmtId="0" fontId="69" fillId="0" borderId="0" xfId="98" applyFont="1"/>
    <xf numFmtId="0" fontId="69" fillId="0" borderId="15" xfId="98" applyFont="1" applyBorder="1" applyAlignment="1">
      <alignment horizontal="left"/>
    </xf>
    <xf numFmtId="165" fontId="69" fillId="0" borderId="0" xfId="98" applyNumberFormat="1" applyFont="1"/>
    <xf numFmtId="166" fontId="2" fillId="0" borderId="15" xfId="98" applyNumberFormat="1" applyBorder="1"/>
    <xf numFmtId="0" fontId="69" fillId="0" borderId="15" xfId="98" applyFont="1" applyBorder="1"/>
    <xf numFmtId="165" fontId="2" fillId="0" borderId="0" xfId="98" applyNumberFormat="1"/>
    <xf numFmtId="0" fontId="2" fillId="0" borderId="0" xfId="98" applyAlignment="1">
      <alignment horizontal="center" vertical="center"/>
    </xf>
    <xf numFmtId="0" fontId="70" fillId="0" borderId="0" xfId="98" applyFont="1"/>
    <xf numFmtId="167" fontId="69" fillId="0" borderId="0" xfId="98" applyNumberFormat="1" applyFont="1"/>
    <xf numFmtId="0" fontId="72" fillId="0" borderId="0" xfId="98" applyFont="1"/>
    <xf numFmtId="0" fontId="70" fillId="0" borderId="40" xfId="98" applyFont="1" applyBorder="1"/>
    <xf numFmtId="0" fontId="73" fillId="0" borderId="40" xfId="98" applyFont="1" applyBorder="1"/>
    <xf numFmtId="0" fontId="70" fillId="0" borderId="40" xfId="98" applyFont="1" applyBorder="1" applyAlignment="1">
      <alignment horizontal="center"/>
    </xf>
    <xf numFmtId="165" fontId="70" fillId="0" borderId="40" xfId="98" applyNumberFormat="1" applyFont="1" applyBorder="1" applyAlignment="1">
      <alignment horizontal="center"/>
    </xf>
    <xf numFmtId="0" fontId="70" fillId="0" borderId="0" xfId="98" applyFont="1" applyAlignment="1">
      <alignment horizontal="right"/>
    </xf>
    <xf numFmtId="0" fontId="70" fillId="0" borderId="0" xfId="98" applyFont="1" applyAlignment="1">
      <alignment horizontal="center"/>
    </xf>
    <xf numFmtId="0" fontId="2" fillId="0" borderId="9" xfId="98" applyBorder="1"/>
    <xf numFmtId="0" fontId="70" fillId="0" borderId="14" xfId="98" applyFont="1" applyBorder="1"/>
    <xf numFmtId="0" fontId="70" fillId="0" borderId="14" xfId="98" applyFont="1" applyBorder="1" applyAlignment="1">
      <alignment horizontal="center"/>
    </xf>
    <xf numFmtId="0" fontId="2" fillId="0" borderId="14" xfId="98" applyBorder="1"/>
    <xf numFmtId="0" fontId="2" fillId="0" borderId="12" xfId="98" applyBorder="1"/>
    <xf numFmtId="0" fontId="2" fillId="0" borderId="7" xfId="98" applyBorder="1"/>
    <xf numFmtId="0" fontId="70" fillId="0" borderId="6" xfId="98" applyFont="1" applyBorder="1"/>
    <xf numFmtId="0" fontId="2" fillId="0" borderId="6" xfId="98" applyBorder="1"/>
    <xf numFmtId="0" fontId="2" fillId="0" borderId="11" xfId="98" applyBorder="1"/>
    <xf numFmtId="0" fontId="70" fillId="0" borderId="0" xfId="98" applyFont="1" applyAlignment="1">
      <alignment horizontal="left"/>
    </xf>
    <xf numFmtId="0" fontId="76" fillId="0" borderId="3" xfId="98" applyFont="1" applyBorder="1"/>
    <xf numFmtId="0" fontId="70" fillId="0" borderId="10" xfId="98" applyFont="1" applyBorder="1"/>
    <xf numFmtId="0" fontId="70" fillId="2" borderId="0" xfId="98" applyFont="1" applyFill="1"/>
    <xf numFmtId="0" fontId="66" fillId="0" borderId="3" xfId="98" applyFont="1" applyBorder="1"/>
    <xf numFmtId="0" fontId="77" fillId="0" borderId="0" xfId="98" applyFont="1"/>
    <xf numFmtId="0" fontId="69" fillId="3" borderId="0" xfId="98" applyFont="1" applyFill="1"/>
    <xf numFmtId="0" fontId="2" fillId="2" borderId="0" xfId="98" applyFill="1" applyAlignment="1">
      <alignment horizontal="left"/>
    </xf>
    <xf numFmtId="0" fontId="2" fillId="2" borderId="0" xfId="98" applyFill="1"/>
    <xf numFmtId="165" fontId="0" fillId="0" borderId="0" xfId="0" applyNumberFormat="1"/>
    <xf numFmtId="0" fontId="21" fillId="0" borderId="0" xfId="4" applyFont="1"/>
    <xf numFmtId="0" fontId="79" fillId="0" borderId="0" xfId="4" applyFont="1"/>
    <xf numFmtId="0" fontId="80" fillId="0" borderId="4" xfId="4" applyFont="1" applyBorder="1" applyAlignment="1">
      <alignment horizontal="centerContinuous" vertical="center" wrapText="1"/>
    </xf>
    <xf numFmtId="0" fontId="22" fillId="0" borderId="0" xfId="4" applyFont="1" applyAlignment="1">
      <alignment horizontal="center"/>
    </xf>
    <xf numFmtId="0" fontId="80" fillId="0" borderId="1" xfId="4" applyFont="1" applyBorder="1" applyAlignment="1">
      <alignment horizontal="center" vertical="center" wrapText="1"/>
    </xf>
    <xf numFmtId="0" fontId="80" fillId="0" borderId="5" xfId="4" applyFont="1" applyBorder="1" applyAlignment="1">
      <alignment horizontal="center" vertical="center" wrapText="1"/>
    </xf>
    <xf numFmtId="0" fontId="22" fillId="0" borderId="0" xfId="4" applyFont="1" applyAlignment="1">
      <alignment horizontal="left"/>
    </xf>
    <xf numFmtId="0" fontId="22" fillId="0" borderId="0" xfId="4" applyFont="1"/>
    <xf numFmtId="0" fontId="80" fillId="0" borderId="0" xfId="4" applyFont="1"/>
    <xf numFmtId="0" fontId="80" fillId="0" borderId="5" xfId="4" applyFont="1" applyBorder="1" applyAlignment="1">
      <alignment horizontal="center" vertical="top"/>
    </xf>
    <xf numFmtId="0" fontId="22" fillId="0" borderId="1" xfId="4" applyFont="1" applyBorder="1" applyAlignment="1">
      <alignment horizontal="center" vertical="center" wrapText="1"/>
    </xf>
    <xf numFmtId="0" fontId="22" fillId="0" borderId="1" xfId="4" applyFont="1" applyBorder="1" applyAlignment="1" applyProtection="1">
      <alignment horizontal="left" vertical="center" wrapText="1"/>
      <protection hidden="1"/>
    </xf>
    <xf numFmtId="0" fontId="80" fillId="0" borderId="1" xfId="4" applyFont="1" applyBorder="1" applyAlignment="1">
      <alignment horizontal="center" wrapText="1"/>
    </xf>
    <xf numFmtId="1" fontId="80" fillId="0" borderId="1" xfId="4" applyNumberFormat="1" applyFont="1" applyBorder="1" applyAlignment="1">
      <alignment horizontal="center"/>
    </xf>
    <xf numFmtId="2" fontId="80" fillId="0" borderId="1" xfId="4" applyNumberFormat="1" applyFont="1" applyBorder="1" applyAlignment="1">
      <alignment horizontal="center" wrapText="1"/>
    </xf>
    <xf numFmtId="2" fontId="22" fillId="0" borderId="1" xfId="4" applyNumberFormat="1" applyFont="1" applyBorder="1" applyAlignment="1">
      <alignment horizontal="center" wrapText="1"/>
    </xf>
    <xf numFmtId="2" fontId="81" fillId="0" borderId="4" xfId="4" applyNumberFormat="1" applyFont="1" applyBorder="1" applyAlignment="1">
      <alignment wrapText="1"/>
    </xf>
    <xf numFmtId="0" fontId="22" fillId="28" borderId="0" xfId="4" applyFont="1" applyFill="1"/>
    <xf numFmtId="0" fontId="80" fillId="0" borderId="1" xfId="4" applyFont="1" applyBorder="1" applyAlignment="1">
      <alignment vertical="top"/>
    </xf>
    <xf numFmtId="0" fontId="82" fillId="0" borderId="1" xfId="4" applyFont="1" applyBorder="1" applyAlignment="1">
      <alignment horizontal="center" vertical="center" wrapText="1"/>
    </xf>
    <xf numFmtId="1" fontId="80" fillId="0" borderId="1" xfId="4" applyNumberFormat="1" applyFont="1" applyBorder="1" applyAlignment="1">
      <alignment horizontal="center" vertical="center"/>
    </xf>
    <xf numFmtId="2" fontId="22" fillId="0" borderId="1" xfId="4" applyNumberFormat="1" applyFont="1" applyBorder="1" applyAlignment="1">
      <alignment horizontal="center" vertical="center" wrapText="1"/>
    </xf>
    <xf numFmtId="2" fontId="80" fillId="0" borderId="1" xfId="4" applyNumberFormat="1" applyFont="1" applyBorder="1" applyAlignment="1">
      <alignment horizontal="center" vertical="center" wrapText="1"/>
    </xf>
    <xf numFmtId="0" fontId="22" fillId="0" borderId="1" xfId="4" applyFont="1" applyBorder="1"/>
    <xf numFmtId="0" fontId="83" fillId="0" borderId="0" xfId="4" applyFont="1" applyAlignment="1" applyProtection="1">
      <alignment horizontal="left"/>
      <protection hidden="1"/>
    </xf>
    <xf numFmtId="0" fontId="80" fillId="0" borderId="0" xfId="4" applyFont="1" applyAlignment="1" applyProtection="1">
      <alignment horizontal="left"/>
      <protection hidden="1"/>
    </xf>
    <xf numFmtId="0" fontId="22" fillId="0" borderId="0" xfId="4" applyFont="1" applyAlignment="1" applyProtection="1">
      <alignment horizontal="left"/>
      <protection hidden="1"/>
    </xf>
    <xf numFmtId="0" fontId="22" fillId="0" borderId="1" xfId="4" applyFont="1" applyBorder="1" applyAlignment="1">
      <alignment horizontal="left" vertical="center" wrapText="1"/>
    </xf>
    <xf numFmtId="0" fontId="80" fillId="0" borderId="0" xfId="4" applyFont="1" applyAlignment="1">
      <alignment vertical="top"/>
    </xf>
    <xf numFmtId="0" fontId="22" fillId="0" borderId="0" xfId="4" applyFont="1" applyAlignment="1">
      <alignment horizontal="center" vertical="center" wrapText="1"/>
    </xf>
    <xf numFmtId="0" fontId="22" fillId="0" borderId="0" xfId="4" applyFont="1" applyAlignment="1">
      <alignment horizontal="left" vertical="center" wrapText="1"/>
    </xf>
    <xf numFmtId="0" fontId="80" fillId="0" borderId="0" xfId="4" applyFont="1" applyAlignment="1">
      <alignment horizontal="center" vertical="center" wrapText="1"/>
    </xf>
    <xf numFmtId="0" fontId="80" fillId="0" borderId="0" xfId="4" applyFont="1" applyAlignment="1">
      <alignment horizontal="center" wrapText="1"/>
    </xf>
    <xf numFmtId="1" fontId="80" fillId="0" borderId="0" xfId="4" applyNumberFormat="1" applyFont="1" applyAlignment="1">
      <alignment horizontal="center" vertical="center"/>
    </xf>
    <xf numFmtId="2" fontId="22" fillId="0" borderId="0" xfId="4" applyNumberFormat="1" applyFont="1" applyAlignment="1">
      <alignment horizontal="center" wrapText="1"/>
    </xf>
    <xf numFmtId="2" fontId="80" fillId="0" borderId="0" xfId="4" applyNumberFormat="1" applyFont="1" applyAlignment="1">
      <alignment horizontal="center" wrapText="1"/>
    </xf>
    <xf numFmtId="2" fontId="80" fillId="0" borderId="0" xfId="4" applyNumberFormat="1" applyFont="1" applyAlignment="1">
      <alignment horizontal="center" vertical="center" wrapText="1"/>
    </xf>
    <xf numFmtId="0" fontId="61" fillId="0" borderId="0" xfId="7" applyFont="1" applyAlignment="1">
      <alignment horizontal="center"/>
    </xf>
    <xf numFmtId="0" fontId="61" fillId="0" borderId="0" xfId="7" applyFont="1" applyAlignment="1">
      <alignment horizontal="left" vertical="top" wrapText="1"/>
    </xf>
    <xf numFmtId="0" fontId="61" fillId="0" borderId="0" xfId="7" applyFont="1" applyAlignment="1">
      <alignment horizontal="left"/>
    </xf>
    <xf numFmtId="0" fontId="61" fillId="0" borderId="0" xfId="7" applyFont="1"/>
    <xf numFmtId="0" fontId="80" fillId="0" borderId="1" xfId="4" applyFont="1" applyBorder="1" applyAlignment="1" applyProtection="1">
      <alignment horizontal="center" vertical="center"/>
      <protection hidden="1"/>
    </xf>
    <xf numFmtId="0" fontId="80" fillId="0" borderId="1" xfId="4" applyFont="1" applyBorder="1" applyAlignment="1" applyProtection="1">
      <alignment horizontal="center" vertical="center" wrapText="1"/>
      <protection hidden="1"/>
    </xf>
    <xf numFmtId="0" fontId="85" fillId="0" borderId="0" xfId="4" applyFont="1" applyAlignment="1" applyProtection="1">
      <alignment horizontal="center"/>
      <protection hidden="1"/>
    </xf>
    <xf numFmtId="0" fontId="80" fillId="0" borderId="1" xfId="4" applyFont="1" applyBorder="1" applyAlignment="1" applyProtection="1">
      <alignment horizontal="center"/>
      <protection hidden="1"/>
    </xf>
    <xf numFmtId="0" fontId="22" fillId="0" borderId="0" xfId="4" applyFont="1" applyAlignment="1">
      <alignment wrapText="1"/>
    </xf>
    <xf numFmtId="0" fontId="22" fillId="0" borderId="1" xfId="4" applyFont="1" applyBorder="1" applyAlignment="1" applyProtection="1">
      <alignment horizontal="center"/>
      <protection hidden="1"/>
    </xf>
    <xf numFmtId="2" fontId="22" fillId="0" borderId="1" xfId="4" applyNumberFormat="1" applyFont="1" applyBorder="1" applyAlignment="1" applyProtection="1">
      <alignment horizontal="center" wrapText="1"/>
      <protection hidden="1"/>
    </xf>
    <xf numFmtId="2" fontId="22" fillId="0" borderId="1" xfId="4" applyNumberFormat="1" applyFont="1" applyBorder="1" applyAlignment="1" applyProtection="1">
      <alignment horizontal="center"/>
      <protection hidden="1"/>
    </xf>
    <xf numFmtId="0" fontId="22" fillId="0" borderId="1" xfId="4" applyFont="1" applyBorder="1" applyAlignment="1" applyProtection="1">
      <alignment horizontal="center" vertical="center"/>
      <protection hidden="1"/>
    </xf>
    <xf numFmtId="0" fontId="22" fillId="0" borderId="1" xfId="4" applyFont="1" applyBorder="1" applyAlignment="1" applyProtection="1">
      <alignment horizontal="center" wrapText="1"/>
      <protection hidden="1"/>
    </xf>
    <xf numFmtId="2" fontId="22" fillId="0" borderId="1" xfId="4" applyNumberFormat="1" applyFont="1" applyBorder="1" applyAlignment="1" applyProtection="1">
      <alignment horizontal="center" vertical="center"/>
      <protection hidden="1"/>
    </xf>
    <xf numFmtId="2" fontId="22" fillId="0" borderId="1" xfId="4" applyNumberFormat="1" applyFont="1" applyBorder="1" applyAlignment="1" applyProtection="1">
      <alignment horizontal="center" vertical="center" wrapText="1"/>
      <protection hidden="1"/>
    </xf>
    <xf numFmtId="0" fontId="80" fillId="0" borderId="0" xfId="4" applyFont="1" applyAlignment="1">
      <alignment horizontal="center"/>
    </xf>
    <xf numFmtId="0" fontId="38" fillId="0" borderId="41" xfId="4" applyFont="1" applyBorder="1" applyAlignment="1">
      <alignment horizontal="center" wrapText="1"/>
    </xf>
    <xf numFmtId="0" fontId="38" fillId="0" borderId="18" xfId="4" applyFont="1" applyBorder="1" applyAlignment="1">
      <alignment horizontal="center" wrapText="1"/>
    </xf>
    <xf numFmtId="0" fontId="38" fillId="0" borderId="17" xfId="4" applyFont="1" applyBorder="1" applyAlignment="1">
      <alignment horizontal="center" wrapText="1"/>
    </xf>
    <xf numFmtId="0" fontId="39" fillId="0" borderId="17" xfId="4" applyFont="1" applyBorder="1" applyAlignment="1">
      <alignment vertical="top" wrapText="1"/>
    </xf>
    <xf numFmtId="0" fontId="38" fillId="0" borderId="16" xfId="4" applyFont="1" applyBorder="1" applyAlignment="1">
      <alignment horizontal="center" vertical="center" wrapText="1"/>
    </xf>
    <xf numFmtId="0" fontId="38" fillId="0" borderId="16" xfId="4" applyFont="1" applyBorder="1" applyAlignment="1">
      <alignment vertical="top" wrapText="1"/>
    </xf>
    <xf numFmtId="0" fontId="39" fillId="0" borderId="16" xfId="4" applyFont="1" applyBorder="1" applyAlignment="1">
      <alignment vertical="top" wrapText="1"/>
    </xf>
    <xf numFmtId="0" fontId="39" fillId="0" borderId="16" xfId="4" applyFont="1" applyBorder="1" applyAlignment="1">
      <alignment horizontal="center" vertical="top" wrapText="1"/>
    </xf>
    <xf numFmtId="0" fontId="23" fillId="0" borderId="16" xfId="4" applyFont="1" applyBorder="1" applyAlignment="1">
      <alignment horizontal="right" vertical="top" wrapText="1"/>
    </xf>
    <xf numFmtId="0" fontId="38" fillId="0" borderId="16" xfId="4" applyFont="1" applyBorder="1" applyAlignment="1">
      <alignment horizontal="center" wrapText="1"/>
    </xf>
    <xf numFmtId="0" fontId="39" fillId="0" borderId="17" xfId="4" applyFont="1" applyBorder="1" applyAlignment="1">
      <alignment horizontal="right" vertical="top" wrapText="1"/>
    </xf>
    <xf numFmtId="0" fontId="39" fillId="0" borderId="17" xfId="4" applyFont="1" applyBorder="1" applyAlignment="1">
      <alignment horizontal="center" vertical="top" wrapText="1"/>
    </xf>
    <xf numFmtId="0" fontId="38" fillId="0" borderId="0" xfId="4" applyFont="1"/>
    <xf numFmtId="0" fontId="39" fillId="0" borderId="0" xfId="4" applyFont="1"/>
    <xf numFmtId="0" fontId="11" fillId="0" borderId="0" xfId="4"/>
    <xf numFmtId="0" fontId="39" fillId="0" borderId="0" xfId="4" applyFont="1" applyAlignment="1">
      <alignment horizontal="left" indent="2"/>
    </xf>
    <xf numFmtId="0" fontId="38" fillId="0" borderId="0" xfId="4" applyFont="1" applyAlignment="1">
      <alignment horizontal="center"/>
    </xf>
    <xf numFmtId="0" fontId="39" fillId="0" borderId="17" xfId="4" applyFont="1" applyBorder="1" applyAlignment="1">
      <alignment horizontal="center" wrapText="1"/>
    </xf>
    <xf numFmtId="0" fontId="38" fillId="0" borderId="16" xfId="4" applyFont="1" applyBorder="1" applyAlignment="1">
      <alignment horizontal="center" vertical="top" wrapText="1"/>
    </xf>
    <xf numFmtId="0" fontId="39" fillId="0" borderId="16" xfId="4" applyFont="1" applyBorder="1" applyAlignment="1">
      <alignment horizontal="center" wrapText="1"/>
    </xf>
    <xf numFmtId="0" fontId="65" fillId="0" borderId="16" xfId="4" applyFont="1" applyBorder="1" applyAlignment="1">
      <alignment horizontal="right" vertical="top" wrapText="1"/>
    </xf>
    <xf numFmtId="0" fontId="86" fillId="0" borderId="0" xfId="4" applyFont="1"/>
    <xf numFmtId="0" fontId="38" fillId="0" borderId="16" xfId="4" applyFont="1" applyBorder="1" applyAlignment="1">
      <alignment horizontal="right" vertical="top" wrapText="1"/>
    </xf>
    <xf numFmtId="0" fontId="87" fillId="0" borderId="0" xfId="4" applyFont="1"/>
    <xf numFmtId="0" fontId="57" fillId="0" borderId="0" xfId="7" applyFont="1" applyAlignment="1">
      <alignment horizontal="center"/>
    </xf>
    <xf numFmtId="0" fontId="11" fillId="0" borderId="0" xfId="7"/>
    <xf numFmtId="0" fontId="57" fillId="0" borderId="1" xfId="7" applyFont="1" applyBorder="1"/>
    <xf numFmtId="0" fontId="57" fillId="0" borderId="1" xfId="7" applyFont="1" applyBorder="1" applyAlignment="1">
      <alignment horizontal="center"/>
    </xf>
    <xf numFmtId="0" fontId="11" fillId="0" borderId="1" xfId="7" applyBorder="1" applyAlignment="1">
      <alignment horizontal="left"/>
    </xf>
    <xf numFmtId="0" fontId="11" fillId="0" borderId="1" xfId="7" applyBorder="1"/>
    <xf numFmtId="0" fontId="11" fillId="0" borderId="1" xfId="7" applyBorder="1" applyAlignment="1">
      <alignment horizontal="center"/>
    </xf>
    <xf numFmtId="2" fontId="11" fillId="0" borderId="1" xfId="7" applyNumberFormat="1" applyBorder="1" applyAlignment="1">
      <alignment horizontal="center"/>
    </xf>
    <xf numFmtId="0" fontId="57" fillId="0" borderId="1" xfId="7" applyFont="1" applyBorder="1" applyAlignment="1">
      <alignment horizontal="center" vertical="center"/>
    </xf>
    <xf numFmtId="1" fontId="57" fillId="0" borderId="1" xfId="7" applyNumberFormat="1" applyFont="1" applyBorder="1" applyAlignment="1">
      <alignment horizontal="center" vertical="center"/>
    </xf>
    <xf numFmtId="0" fontId="11" fillId="0" borderId="20" xfId="7" applyBorder="1"/>
    <xf numFmtId="0" fontId="16" fillId="0" borderId="0" xfId="100" applyFont="1" applyAlignment="1">
      <alignment vertical="center" wrapText="1"/>
    </xf>
    <xf numFmtId="0" fontId="11" fillId="0" borderId="38" xfId="7" applyBorder="1"/>
    <xf numFmtId="0" fontId="11" fillId="0" borderId="8" xfId="7" applyBorder="1"/>
    <xf numFmtId="0" fontId="11" fillId="0" borderId="14" xfId="7" applyBorder="1"/>
    <xf numFmtId="0" fontId="11" fillId="0" borderId="19" xfId="7" applyBorder="1"/>
    <xf numFmtId="0" fontId="11" fillId="0" borderId="37" xfId="7" applyBorder="1"/>
    <xf numFmtId="0" fontId="11" fillId="0" borderId="3" xfId="7" applyBorder="1"/>
    <xf numFmtId="0" fontId="13" fillId="0" borderId="43" xfId="7" applyFont="1" applyBorder="1"/>
    <xf numFmtId="0" fontId="11" fillId="0" borderId="22" xfId="7" applyBorder="1"/>
    <xf numFmtId="0" fontId="13" fillId="0" borderId="39" xfId="7" applyFont="1" applyBorder="1"/>
    <xf numFmtId="0" fontId="11" fillId="0" borderId="23" xfId="7" applyBorder="1"/>
    <xf numFmtId="0" fontId="11" fillId="0" borderId="16" xfId="7" applyBorder="1"/>
    <xf numFmtId="0" fontId="11" fillId="0" borderId="21" xfId="7" applyBorder="1"/>
    <xf numFmtId="0" fontId="13" fillId="0" borderId="9" xfId="7" applyFont="1" applyBorder="1"/>
    <xf numFmtId="0" fontId="11" fillId="0" borderId="12" xfId="7" applyBorder="1"/>
    <xf numFmtId="0" fontId="61" fillId="0" borderId="1" xfId="0" applyFont="1" applyBorder="1" applyAlignment="1" applyProtection="1">
      <alignment vertical="center" wrapText="1"/>
      <protection hidden="1"/>
    </xf>
    <xf numFmtId="1" fontId="0" fillId="0" borderId="1" xfId="0" applyNumberFormat="1" applyBorder="1"/>
    <xf numFmtId="0" fontId="70" fillId="0" borderId="0" xfId="96" applyFont="1"/>
    <xf numFmtId="0" fontId="77" fillId="0" borderId="1" xfId="96" applyFont="1" applyBorder="1" applyAlignment="1">
      <alignment horizontal="center" vertical="center" wrapText="1"/>
    </xf>
    <xf numFmtId="2" fontId="77" fillId="0" borderId="1" xfId="96" applyNumberFormat="1" applyFont="1" applyBorder="1" applyAlignment="1">
      <alignment horizontal="center" vertical="center" wrapText="1"/>
    </xf>
    <xf numFmtId="2" fontId="70" fillId="0" borderId="0" xfId="96" applyNumberFormat="1" applyFont="1"/>
    <xf numFmtId="0" fontId="70" fillId="0" borderId="1" xfId="96" applyFont="1" applyBorder="1" applyAlignment="1">
      <alignment horizontal="justify" vertical="top" wrapText="1"/>
    </xf>
    <xf numFmtId="0" fontId="11" fillId="0" borderId="1" xfId="96" applyFont="1" applyBorder="1" applyAlignment="1">
      <alignment horizontal="justify" vertical="top" wrapText="1"/>
    </xf>
    <xf numFmtId="0" fontId="17" fillId="0" borderId="1" xfId="96" applyFont="1" applyBorder="1" applyAlignment="1">
      <alignment horizontal="justify" vertical="justify" wrapText="1"/>
    </xf>
    <xf numFmtId="0" fontId="70" fillId="0" borderId="1" xfId="96" applyFont="1" applyBorder="1" applyAlignment="1">
      <alignment horizontal="center" vertical="center" wrapText="1"/>
    </xf>
    <xf numFmtId="2" fontId="70" fillId="0" borderId="1" xfId="96" applyNumberFormat="1" applyFont="1" applyBorder="1" applyAlignment="1">
      <alignment horizontal="center" vertical="center" wrapText="1"/>
    </xf>
    <xf numFmtId="0" fontId="11" fillId="0" borderId="1" xfId="96" applyFont="1" applyBorder="1" applyAlignment="1">
      <alignment horizontal="justify" vertical="justify" wrapText="1"/>
    </xf>
    <xf numFmtId="0" fontId="11" fillId="0" borderId="1" xfId="96" applyFont="1" applyBorder="1" applyAlignment="1">
      <alignment horizontal="center" vertical="center" wrapText="1"/>
    </xf>
    <xf numFmtId="0" fontId="11" fillId="0" borderId="1" xfId="96" applyFont="1" applyBorder="1" applyAlignment="1">
      <alignment horizontal="center" vertical="justify" wrapText="1"/>
    </xf>
    <xf numFmtId="0" fontId="90" fillId="0" borderId="1" xfId="96" applyFont="1" applyBorder="1" applyAlignment="1">
      <alignment horizontal="center" wrapText="1"/>
    </xf>
    <xf numFmtId="2" fontId="70" fillId="0" borderId="1" xfId="96" applyNumberFormat="1" applyFont="1" applyBorder="1" applyAlignment="1">
      <alignment horizontal="center" wrapText="1"/>
    </xf>
    <xf numFmtId="0" fontId="11" fillId="0" borderId="1" xfId="96" applyFont="1" applyBorder="1" applyAlignment="1">
      <alignment horizontal="right" vertical="justify" wrapText="1"/>
    </xf>
    <xf numFmtId="0" fontId="11" fillId="0" borderId="1" xfId="96" applyFont="1" applyBorder="1" applyAlignment="1">
      <alignment horizontal="justify" vertical="justify"/>
    </xf>
    <xf numFmtId="0" fontId="11" fillId="0" borderId="1" xfId="96" applyFont="1" applyBorder="1" applyAlignment="1">
      <alignment horizontal="center" vertical="center"/>
    </xf>
    <xf numFmtId="1" fontId="11" fillId="0" borderId="1" xfId="96" applyNumberFormat="1" applyFont="1" applyBorder="1" applyAlignment="1">
      <alignment horizontal="center" vertical="justify" wrapText="1"/>
    </xf>
    <xf numFmtId="2" fontId="11" fillId="0" borderId="1" xfId="96" applyNumberFormat="1" applyFont="1" applyBorder="1" applyAlignment="1">
      <alignment horizontal="center" vertical="justify" wrapText="1"/>
    </xf>
    <xf numFmtId="0" fontId="77" fillId="0" borderId="1" xfId="96" applyFont="1" applyBorder="1" applyAlignment="1">
      <alignment horizontal="center" wrapText="1"/>
    </xf>
    <xf numFmtId="0" fontId="11" fillId="0" borderId="2" xfId="96" applyFont="1" applyBorder="1" applyAlignment="1">
      <alignment wrapText="1"/>
    </xf>
    <xf numFmtId="0" fontId="11" fillId="0" borderId="2" xfId="96" applyFont="1" applyBorder="1" applyAlignment="1">
      <alignment horizontal="right" wrapText="1"/>
    </xf>
    <xf numFmtId="0" fontId="70" fillId="0" borderId="1" xfId="96" applyFont="1" applyBorder="1" applyAlignment="1">
      <alignment horizontal="center" wrapText="1"/>
    </xf>
    <xf numFmtId="0" fontId="70" fillId="0" borderId="0" xfId="96" applyFont="1" applyAlignment="1">
      <alignment horizontal="center"/>
    </xf>
    <xf numFmtId="0" fontId="11" fillId="0" borderId="1" xfId="96" applyFont="1" applyBorder="1" applyAlignment="1">
      <alignment horizontal="center" wrapText="1"/>
    </xf>
    <xf numFmtId="0" fontId="11" fillId="0" borderId="1" xfId="96" applyFont="1" applyBorder="1" applyAlignment="1">
      <alignment horizontal="right" wrapText="1"/>
    </xf>
    <xf numFmtId="0" fontId="70" fillId="0" borderId="1" xfId="96" applyFont="1" applyBorder="1" applyAlignment="1">
      <alignment horizontal="center"/>
    </xf>
    <xf numFmtId="0" fontId="73" fillId="0" borderId="1" xfId="96" applyFont="1" applyBorder="1" applyAlignment="1">
      <alignment horizontal="center" wrapText="1"/>
    </xf>
    <xf numFmtId="2" fontId="70" fillId="0" borderId="0" xfId="96" applyNumberFormat="1" applyFont="1" applyAlignment="1">
      <alignment horizontal="center"/>
    </xf>
    <xf numFmtId="0" fontId="70" fillId="0" borderId="1" xfId="96" applyFont="1" applyBorder="1" applyAlignment="1">
      <alignment horizontal="right" wrapText="1"/>
    </xf>
    <xf numFmtId="2" fontId="77" fillId="0" borderId="1" xfId="96" applyNumberFormat="1" applyFont="1" applyBorder="1" applyAlignment="1">
      <alignment horizontal="center" wrapText="1"/>
    </xf>
    <xf numFmtId="0" fontId="70" fillId="0" borderId="1" xfId="96" applyFont="1" applyBorder="1" applyAlignment="1">
      <alignment vertical="center" wrapText="1"/>
    </xf>
    <xf numFmtId="9" fontId="70" fillId="0" borderId="0" xfId="96" applyNumberFormat="1" applyFont="1" applyAlignment="1">
      <alignment horizontal="center"/>
    </xf>
    <xf numFmtId="0" fontId="11" fillId="0" borderId="1" xfId="96" applyFont="1" applyBorder="1" applyAlignment="1">
      <alignment horizontal="left" vertical="top" wrapText="1"/>
    </xf>
    <xf numFmtId="0" fontId="17" fillId="0" borderId="1" xfId="96" applyFont="1" applyBorder="1" applyAlignment="1">
      <alignment horizontal="justify" vertical="top" wrapText="1"/>
    </xf>
    <xf numFmtId="0" fontId="17" fillId="0" borderId="1" xfId="96" applyFont="1" applyBorder="1" applyAlignment="1">
      <alignment horizontal="center" vertical="center" wrapText="1"/>
    </xf>
    <xf numFmtId="0" fontId="11" fillId="0" borderId="0" xfId="96" applyFont="1" applyAlignment="1">
      <alignment horizontal="center" vertical="center" wrapText="1"/>
    </xf>
    <xf numFmtId="0" fontId="11" fillId="0" borderId="1" xfId="96" applyFont="1" applyBorder="1" applyAlignment="1">
      <alignment vertical="top" wrapText="1"/>
    </xf>
    <xf numFmtId="0" fontId="70" fillId="0" borderId="1" xfId="96" applyFont="1" applyBorder="1" applyAlignment="1">
      <alignment vertical="top" wrapText="1"/>
    </xf>
    <xf numFmtId="0" fontId="70" fillId="0" borderId="0" xfId="96" applyFont="1" applyAlignment="1">
      <alignment vertical="center"/>
    </xf>
    <xf numFmtId="2" fontId="70" fillId="0" borderId="0" xfId="96" applyNumberFormat="1" applyFont="1" applyAlignment="1">
      <alignment vertical="center"/>
    </xf>
    <xf numFmtId="0" fontId="70" fillId="0" borderId="0" xfId="96" applyFont="1" applyAlignment="1">
      <alignment horizontal="justify" vertical="top" wrapText="1"/>
    </xf>
    <xf numFmtId="0" fontId="70" fillId="0" borderId="0" xfId="96" applyFont="1" applyAlignment="1">
      <alignment vertical="top" wrapText="1"/>
    </xf>
    <xf numFmtId="0" fontId="11" fillId="0" borderId="0" xfId="96" applyFont="1" applyAlignment="1">
      <alignment horizontal="justify" vertical="justify"/>
    </xf>
    <xf numFmtId="0" fontId="70" fillId="0" borderId="0" xfId="96" applyFont="1" applyAlignment="1">
      <alignment horizontal="center" vertical="center" wrapText="1"/>
    </xf>
    <xf numFmtId="2" fontId="70" fillId="0" borderId="0" xfId="96" applyNumberFormat="1" applyFont="1" applyAlignment="1">
      <alignment horizontal="center" vertical="center" wrapText="1"/>
    </xf>
    <xf numFmtId="0" fontId="90" fillId="0" borderId="0" xfId="96" applyFont="1" applyAlignment="1">
      <alignment horizontal="center" vertical="center" wrapText="1"/>
    </xf>
    <xf numFmtId="0" fontId="77" fillId="0" borderId="0" xfId="96" applyFont="1" applyAlignment="1">
      <alignment horizontal="center" vertical="center" wrapText="1"/>
    </xf>
    <xf numFmtId="2" fontId="81" fillId="0" borderId="1" xfId="4" applyNumberFormat="1" applyFont="1" applyBorder="1" applyAlignment="1">
      <alignment wrapText="1"/>
    </xf>
    <xf numFmtId="2" fontId="2" fillId="0" borderId="1" xfId="96" applyNumberFormat="1" applyBorder="1" applyAlignment="1">
      <alignment horizontal="center" vertical="center" wrapText="1"/>
    </xf>
    <xf numFmtId="0" fontId="93" fillId="0" borderId="1" xfId="96" applyFont="1" applyBorder="1" applyAlignment="1">
      <alignment horizontal="justify" vertical="justify" wrapText="1"/>
    </xf>
    <xf numFmtId="0" fontId="93" fillId="0" borderId="1" xfId="96" applyFont="1" applyBorder="1" applyAlignment="1">
      <alignment horizontal="center" vertical="center" wrapText="1"/>
    </xf>
    <xf numFmtId="0" fontId="93" fillId="0" borderId="1" xfId="96" applyFont="1" applyBorder="1" applyAlignment="1">
      <alignment horizontal="center" vertical="justify" wrapText="1"/>
    </xf>
    <xf numFmtId="0" fontId="2" fillId="0" borderId="1" xfId="96" applyBorder="1" applyAlignment="1">
      <alignment horizontal="center" vertical="center" wrapText="1"/>
    </xf>
    <xf numFmtId="0" fontId="93" fillId="0" borderId="2" xfId="96" applyFont="1" applyBorder="1" applyAlignment="1">
      <alignment horizontal="justify" vertical="justify" wrapText="1"/>
    </xf>
    <xf numFmtId="0" fontId="2" fillId="0" borderId="1" xfId="96" applyBorder="1" applyAlignment="1">
      <alignment horizontal="center" wrapText="1"/>
    </xf>
    <xf numFmtId="2" fontId="2" fillId="0" borderId="1" xfId="96" applyNumberFormat="1" applyBorder="1" applyAlignment="1">
      <alignment horizontal="center" wrapText="1"/>
    </xf>
    <xf numFmtId="0" fontId="93" fillId="0" borderId="2" xfId="96" applyFont="1" applyBorder="1" applyAlignment="1">
      <alignment horizontal="left" wrapText="1"/>
    </xf>
    <xf numFmtId="0" fontId="94" fillId="0" borderId="44" xfId="4" applyFont="1" applyBorder="1"/>
    <xf numFmtId="0" fontId="94" fillId="0" borderId="45" xfId="4" applyFont="1" applyBorder="1"/>
    <xf numFmtId="0" fontId="94" fillId="0" borderId="46" xfId="4" applyFont="1" applyBorder="1"/>
    <xf numFmtId="0" fontId="94" fillId="0" borderId="0" xfId="4" applyFont="1"/>
    <xf numFmtId="0" fontId="94" fillId="0" borderId="47" xfId="4" applyFont="1" applyBorder="1"/>
    <xf numFmtId="0" fontId="94" fillId="0" borderId="48" xfId="4" applyFont="1" applyBorder="1"/>
    <xf numFmtId="0" fontId="95" fillId="0" borderId="47" xfId="4" applyFont="1" applyBorder="1" applyAlignment="1">
      <alignment horizontal="center"/>
    </xf>
    <xf numFmtId="0" fontId="95" fillId="0" borderId="0" xfId="4" applyFont="1" applyAlignment="1">
      <alignment horizontal="center"/>
    </xf>
    <xf numFmtId="0" fontId="97" fillId="0" borderId="47" xfId="4" applyFont="1" applyBorder="1"/>
    <xf numFmtId="0" fontId="97" fillId="0" borderId="0" xfId="4" applyFont="1"/>
    <xf numFmtId="0" fontId="97" fillId="0" borderId="48" xfId="4" applyFont="1" applyBorder="1"/>
    <xf numFmtId="0" fontId="98" fillId="0" borderId="47" xfId="4" applyFont="1" applyBorder="1"/>
    <xf numFmtId="0" fontId="98" fillId="0" borderId="48" xfId="4" applyFont="1" applyBorder="1"/>
    <xf numFmtId="0" fontId="98" fillId="0" borderId="0" xfId="4" applyFont="1"/>
    <xf numFmtId="2" fontId="99" fillId="0" borderId="0" xfId="4" applyNumberFormat="1" applyFont="1" applyAlignment="1">
      <alignment horizontal="right"/>
    </xf>
    <xf numFmtId="2" fontId="95" fillId="0" borderId="0" xfId="4" applyNumberFormat="1" applyFont="1"/>
    <xf numFmtId="2" fontId="99" fillId="0" borderId="0" xfId="4" applyNumberFormat="1" applyFont="1"/>
    <xf numFmtId="0" fontId="99" fillId="0" borderId="47" xfId="4" applyFont="1" applyBorder="1"/>
    <xf numFmtId="0" fontId="99" fillId="0" borderId="0" xfId="4" applyFont="1"/>
    <xf numFmtId="0" fontId="99" fillId="0" borderId="48" xfId="4" applyFont="1" applyBorder="1"/>
    <xf numFmtId="0" fontId="98" fillId="0" borderId="49" xfId="4" applyFont="1" applyBorder="1"/>
    <xf numFmtId="0" fontId="98" fillId="0" borderId="50" xfId="4" applyFont="1" applyBorder="1"/>
    <xf numFmtId="0" fontId="98" fillId="0" borderId="51" xfId="4" applyFont="1" applyBorder="1"/>
    <xf numFmtId="0" fontId="24" fillId="0" borderId="0" xfId="102" applyFont="1"/>
    <xf numFmtId="0" fontId="101" fillId="0" borderId="0" xfId="102"/>
    <xf numFmtId="0" fontId="39" fillId="0" borderId="0" xfId="102" applyFont="1" applyAlignment="1">
      <alignment horizontal="right"/>
    </xf>
    <xf numFmtId="0" fontId="39" fillId="0" borderId="0" xfId="102" applyFont="1"/>
    <xf numFmtId="0" fontId="11" fillId="0" borderId="1" xfId="102" applyFont="1" applyBorder="1" applyAlignment="1">
      <alignment vertical="center"/>
    </xf>
    <xf numFmtId="0" fontId="41" fillId="0" borderId="1" xfId="102" applyFont="1" applyBorder="1" applyAlignment="1">
      <alignment vertical="center" wrapText="1"/>
    </xf>
    <xf numFmtId="0" fontId="11" fillId="0" borderId="1" xfId="102" applyFont="1" applyBorder="1"/>
    <xf numFmtId="0" fontId="60" fillId="0" borderId="0" xfId="102" applyFont="1" applyAlignment="1">
      <alignment wrapText="1"/>
    </xf>
    <xf numFmtId="0" fontId="11" fillId="0" borderId="1" xfId="102" applyFont="1" applyBorder="1" applyAlignment="1">
      <alignment vertical="top"/>
    </xf>
    <xf numFmtId="0" fontId="41" fillId="0" borderId="1" xfId="102" applyFont="1" applyBorder="1" applyAlignment="1">
      <alignment vertical="top" wrapText="1"/>
    </xf>
    <xf numFmtId="2" fontId="11" fillId="0" borderId="1" xfId="102" applyNumberFormat="1" applyFont="1" applyBorder="1" applyAlignment="1">
      <alignment horizontal="center" vertical="center"/>
    </xf>
    <xf numFmtId="0" fontId="41" fillId="0" borderId="0" xfId="102" applyFont="1"/>
    <xf numFmtId="0" fontId="11" fillId="0" borderId="1" xfId="102" applyFont="1" applyBorder="1" applyAlignment="1">
      <alignment horizontal="center" vertical="center"/>
    </xf>
    <xf numFmtId="0" fontId="41" fillId="0" borderId="1" xfId="102" applyFont="1" applyBorder="1" applyAlignment="1">
      <alignment horizontal="left" vertical="top" wrapText="1"/>
    </xf>
    <xf numFmtId="0" fontId="41" fillId="0" borderId="1" xfId="102" applyFont="1" applyBorder="1"/>
    <xf numFmtId="0" fontId="41" fillId="0" borderId="1" xfId="102" applyFont="1" applyBorder="1" applyAlignment="1">
      <alignment horizontal="center" vertical="top" wrapText="1"/>
    </xf>
    <xf numFmtId="0" fontId="41" fillId="0" borderId="1" xfId="102" applyFont="1" applyBorder="1" applyAlignment="1">
      <alignment horizontal="center" vertical="center"/>
    </xf>
    <xf numFmtId="168" fontId="11" fillId="0" borderId="1" xfId="102" applyNumberFormat="1" applyFont="1" applyBorder="1" applyAlignment="1">
      <alignment horizontal="center" vertical="center"/>
    </xf>
    <xf numFmtId="1" fontId="28" fillId="0" borderId="0" xfId="2" applyNumberFormat="1" applyFont="1" applyAlignment="1">
      <alignment horizontal="left"/>
    </xf>
    <xf numFmtId="165" fontId="21" fillId="0" borderId="0" xfId="2" applyNumberFormat="1" applyFont="1" applyAlignment="1">
      <alignment horizontal="left" vertical="top"/>
    </xf>
    <xf numFmtId="0" fontId="27" fillId="0" borderId="0" xfId="2" applyFont="1" applyAlignment="1">
      <alignment horizontal="left" vertical="top" wrapText="1"/>
    </xf>
    <xf numFmtId="0" fontId="102" fillId="0" borderId="1" xfId="102" applyFont="1" applyBorder="1" applyAlignment="1">
      <alignment horizontal="center" vertical="center" wrapText="1"/>
    </xf>
    <xf numFmtId="0" fontId="106" fillId="0" borderId="0" xfId="103" applyFont="1"/>
    <xf numFmtId="0" fontId="106" fillId="0" borderId="0" xfId="103" applyFont="1" applyAlignment="1">
      <alignment horizontal="center"/>
    </xf>
    <xf numFmtId="0" fontId="107" fillId="0" borderId="0" xfId="103" applyFont="1"/>
    <xf numFmtId="165" fontId="106" fillId="0" borderId="0" xfId="103" applyNumberFormat="1" applyFont="1" applyAlignment="1">
      <alignment horizontal="left"/>
    </xf>
    <xf numFmtId="2" fontId="106" fillId="0" borderId="0" xfId="103" applyNumberFormat="1" applyFont="1"/>
    <xf numFmtId="0" fontId="106" fillId="0" borderId="0" xfId="103" applyFont="1" applyAlignment="1">
      <alignment horizontal="left"/>
    </xf>
    <xf numFmtId="0" fontId="106" fillId="0" borderId="0" xfId="103" quotePrefix="1" applyFont="1" applyAlignment="1">
      <alignment horizontal="center"/>
    </xf>
    <xf numFmtId="165" fontId="106" fillId="0" borderId="0" xfId="103" applyNumberFormat="1" applyFont="1" applyAlignment="1">
      <alignment horizontal="center"/>
    </xf>
    <xf numFmtId="0" fontId="106" fillId="0" borderId="0" xfId="103" quotePrefix="1" applyFont="1" applyAlignment="1">
      <alignment horizontal="left"/>
    </xf>
    <xf numFmtId="165" fontId="106" fillId="0" borderId="0" xfId="103" applyNumberFormat="1" applyFont="1"/>
    <xf numFmtId="0" fontId="80" fillId="0" borderId="0" xfId="0" applyFont="1"/>
    <xf numFmtId="0" fontId="80" fillId="0" borderId="0" xfId="0" applyFont="1" applyAlignment="1">
      <alignment horizontal="center"/>
    </xf>
    <xf numFmtId="0" fontId="80" fillId="0" borderId="0" xfId="0" applyFont="1" applyAlignment="1">
      <alignment horizontal="right"/>
    </xf>
    <xf numFmtId="0" fontId="22" fillId="0" borderId="0" xfId="2" applyFont="1" applyAlignment="1">
      <alignment horizontal="right"/>
    </xf>
    <xf numFmtId="0" fontId="22" fillId="0" borderId="0" xfId="2" applyFont="1" applyAlignment="1">
      <alignment horizontal="center"/>
    </xf>
    <xf numFmtId="0" fontId="22" fillId="0" borderId="0" xfId="2" applyFont="1"/>
    <xf numFmtId="0" fontId="70" fillId="0" borderId="1" xfId="96" applyFont="1" applyBorder="1"/>
    <xf numFmtId="0" fontId="109" fillId="0" borderId="1" xfId="7" applyFont="1" applyBorder="1" applyAlignment="1">
      <alignment horizontal="center"/>
    </xf>
    <xf numFmtId="2" fontId="11" fillId="0" borderId="1" xfId="7" applyNumberFormat="1" applyBorder="1" applyAlignment="1">
      <alignment horizontal="center" vertical="center"/>
    </xf>
    <xf numFmtId="0" fontId="39" fillId="0" borderId="0" xfId="103" applyFont="1"/>
    <xf numFmtId="165" fontId="39" fillId="0" borderId="0" xfId="103" applyNumberFormat="1" applyFont="1" applyAlignment="1">
      <alignment horizontal="left"/>
    </xf>
    <xf numFmtId="0" fontId="39" fillId="0" borderId="0" xfId="103" applyFont="1" applyAlignment="1">
      <alignment horizontal="left"/>
    </xf>
    <xf numFmtId="169" fontId="39" fillId="0" borderId="0" xfId="103" applyNumberFormat="1" applyFont="1" applyAlignment="1">
      <alignment horizontal="left"/>
    </xf>
    <xf numFmtId="0" fontId="13" fillId="0" borderId="1" xfId="0" applyFont="1" applyBorder="1" applyAlignment="1">
      <alignment horizontal="right"/>
    </xf>
    <xf numFmtId="0" fontId="13" fillId="0" borderId="2" xfId="7" applyFont="1" applyBorder="1" applyAlignment="1">
      <alignment wrapText="1"/>
    </xf>
    <xf numFmtId="0" fontId="13" fillId="0" borderId="7" xfId="7" applyFont="1" applyBorder="1" applyAlignment="1">
      <alignment wrapText="1"/>
    </xf>
    <xf numFmtId="0" fontId="13" fillId="0" borderId="6" xfId="7" applyFont="1" applyBorder="1" applyAlignment="1">
      <alignment horizontal="center" wrapText="1"/>
    </xf>
    <xf numFmtId="0" fontId="13" fillId="0" borderId="11" xfId="7" applyFont="1" applyBorder="1" applyAlignment="1">
      <alignment horizontal="center" wrapText="1"/>
    </xf>
    <xf numFmtId="0" fontId="57" fillId="0" borderId="9" xfId="7" applyFont="1" applyBorder="1" applyAlignment="1">
      <alignment horizontal="center"/>
    </xf>
    <xf numFmtId="0" fontId="57" fillId="0" borderId="14" xfId="7" applyFont="1" applyBorder="1" applyAlignment="1">
      <alignment horizontal="center"/>
    </xf>
    <xf numFmtId="0" fontId="109" fillId="0" borderId="14" xfId="7" applyFont="1" applyBorder="1" applyAlignment="1">
      <alignment horizontal="center"/>
    </xf>
    <xf numFmtId="0" fontId="57" fillId="0" borderId="12" xfId="7" applyFont="1" applyBorder="1" applyAlignment="1">
      <alignment horizontal="center"/>
    </xf>
    <xf numFmtId="0" fontId="13" fillId="0" borderId="7" xfId="0" applyFont="1" applyBorder="1"/>
    <xf numFmtId="0" fontId="13" fillId="0" borderId="3" xfId="0" applyFont="1" applyBorder="1"/>
    <xf numFmtId="0" fontId="17" fillId="0" borderId="0" xfId="0" applyFont="1"/>
    <xf numFmtId="0" fontId="13" fillId="0" borderId="9" xfId="0" applyFont="1" applyBorder="1"/>
    <xf numFmtId="2" fontId="13" fillId="0" borderId="12" xfId="0" applyNumberFormat="1" applyFont="1" applyBorder="1"/>
    <xf numFmtId="0" fontId="13" fillId="0" borderId="5" xfId="0" applyFont="1" applyBorder="1"/>
    <xf numFmtId="0" fontId="13" fillId="0" borderId="8" xfId="0" applyFont="1" applyBorder="1"/>
    <xf numFmtId="0" fontId="13" fillId="0" borderId="4" xfId="0" applyFont="1" applyBorder="1"/>
    <xf numFmtId="2" fontId="13" fillId="0" borderId="15" xfId="0" applyNumberFormat="1" applyFont="1" applyBorder="1"/>
    <xf numFmtId="2" fontId="18" fillId="0" borderId="12" xfId="0" applyNumberFormat="1" applyFont="1" applyBorder="1"/>
    <xf numFmtId="0" fontId="13" fillId="0" borderId="15" xfId="0" applyFont="1" applyBorder="1"/>
    <xf numFmtId="0" fontId="13" fillId="0" borderId="1" xfId="0" applyFont="1" applyBorder="1" applyAlignment="1">
      <alignment vertical="top"/>
    </xf>
    <xf numFmtId="2" fontId="13" fillId="0" borderId="11" xfId="0" applyNumberFormat="1" applyFont="1" applyBorder="1"/>
    <xf numFmtId="2" fontId="0" fillId="0" borderId="1" xfId="0" applyNumberFormat="1" applyBorder="1"/>
    <xf numFmtId="2" fontId="11" fillId="0" borderId="1" xfId="0" applyNumberFormat="1" applyFont="1" applyBorder="1"/>
    <xf numFmtId="2" fontId="13" fillId="0" borderId="1" xfId="0" applyNumberFormat="1" applyFont="1" applyBorder="1" applyAlignment="1">
      <alignment horizontal="right" vertical="top"/>
    </xf>
    <xf numFmtId="2" fontId="13" fillId="0" borderId="11" xfId="0" applyNumberFormat="1" applyFont="1" applyBorder="1" applyAlignment="1">
      <alignment horizontal="right"/>
    </xf>
    <xf numFmtId="0" fontId="0" fillId="0" borderId="2" xfId="0" applyBorder="1"/>
    <xf numFmtId="0" fontId="0" fillId="0" borderId="13" xfId="0" applyBorder="1"/>
    <xf numFmtId="2" fontId="13" fillId="0" borderId="11" xfId="0" applyNumberFormat="1" applyFont="1" applyBorder="1" applyAlignment="1">
      <alignment horizontal="right" vertical="top"/>
    </xf>
    <xf numFmtId="0" fontId="16" fillId="0" borderId="0" xfId="100" applyFont="1" applyAlignment="1">
      <alignment horizontal="center" vertical="center" wrapText="1"/>
    </xf>
    <xf numFmtId="0" fontId="80" fillId="0" borderId="1" xfId="4" applyFont="1" applyBorder="1" applyAlignment="1">
      <alignment horizontal="center" vertical="center" wrapText="1"/>
    </xf>
    <xf numFmtId="0" fontId="99" fillId="0" borderId="47" xfId="4" applyFont="1" applyBorder="1" applyAlignment="1">
      <alignment horizontal="center" vertical="center"/>
    </xf>
    <xf numFmtId="0" fontId="99" fillId="0" borderId="0" xfId="4" applyFont="1" applyAlignment="1">
      <alignment horizontal="center" vertical="center"/>
    </xf>
    <xf numFmtId="0" fontId="99" fillId="0" borderId="48" xfId="4" applyFont="1" applyBorder="1" applyAlignment="1">
      <alignment horizontal="center" vertical="center"/>
    </xf>
    <xf numFmtId="0" fontId="100" fillId="0" borderId="47" xfId="4" applyFont="1" applyBorder="1" applyAlignment="1">
      <alignment horizontal="center"/>
    </xf>
    <xf numFmtId="0" fontId="1" fillId="0" borderId="0" xfId="101"/>
    <xf numFmtId="0" fontId="1" fillId="0" borderId="48" xfId="101" applyBorder="1"/>
    <xf numFmtId="0" fontId="94" fillId="0" borderId="47" xfId="4" applyFont="1" applyBorder="1" applyAlignment="1">
      <alignment horizontal="center" vertical="top" wrapText="1"/>
    </xf>
    <xf numFmtId="0" fontId="98" fillId="0" borderId="47" xfId="4" applyFont="1" applyBorder="1" applyAlignment="1">
      <alignment horizontal="center" vertical="top" wrapText="1"/>
    </xf>
    <xf numFmtId="0" fontId="96" fillId="0" borderId="47" xfId="4" applyFont="1" applyBorder="1" applyAlignment="1">
      <alignment horizontal="center"/>
    </xf>
    <xf numFmtId="0" fontId="96" fillId="0" borderId="0" xfId="4" applyFont="1" applyAlignment="1">
      <alignment horizontal="center"/>
    </xf>
    <xf numFmtId="0" fontId="96" fillId="0" borderId="48" xfId="4" applyFont="1" applyBorder="1" applyAlignment="1">
      <alignment horizontal="center"/>
    </xf>
    <xf numFmtId="0" fontId="95" fillId="0" borderId="0" xfId="4" applyFont="1" applyAlignment="1">
      <alignment horizontal="center" vertical="justify"/>
    </xf>
    <xf numFmtId="2" fontId="95" fillId="0" borderId="0" xfId="4" applyNumberFormat="1" applyFont="1" applyAlignment="1">
      <alignment horizontal="right"/>
    </xf>
    <xf numFmtId="0" fontId="40" fillId="0" borderId="0" xfId="102" applyFont="1" applyAlignment="1">
      <alignment horizontal="center"/>
    </xf>
    <xf numFmtId="0" fontId="27" fillId="0" borderId="0" xfId="2" applyFont="1" applyAlignment="1">
      <alignment horizontal="left" vertical="top" wrapText="1"/>
    </xf>
    <xf numFmtId="0" fontId="28" fillId="0" borderId="0" xfId="2" applyFont="1" applyAlignment="1">
      <alignment horizontal="justify" vertical="top" wrapText="1"/>
    </xf>
    <xf numFmtId="0" fontId="28" fillId="0" borderId="0" xfId="2" applyFont="1" applyAlignment="1">
      <alignment horizontal="right"/>
    </xf>
    <xf numFmtId="0" fontId="27" fillId="0" borderId="0" xfId="2" applyFont="1" applyAlignment="1">
      <alignment horizontal="left" vertical="center" wrapText="1"/>
    </xf>
    <xf numFmtId="0" fontId="19" fillId="0" borderId="0" xfId="0" applyFont="1" applyAlignment="1">
      <alignment horizontal="center" vertical="center" wrapText="1"/>
    </xf>
    <xf numFmtId="0" fontId="16" fillId="0" borderId="0" xfId="0" applyFont="1" applyAlignment="1">
      <alignment horizontal="center" vertical="center"/>
    </xf>
    <xf numFmtId="1" fontId="13" fillId="0" borderId="5" xfId="0" applyNumberFormat="1" applyFont="1" applyBorder="1" applyAlignment="1">
      <alignment horizontal="center" vertical="center" wrapText="1"/>
    </xf>
    <xf numFmtId="1" fontId="13" fillId="0" borderId="4"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0" fontId="111" fillId="0" borderId="14" xfId="0" applyFont="1" applyBorder="1" applyAlignment="1">
      <alignment horizontal="center" vertical="center" wrapText="1"/>
    </xf>
    <xf numFmtId="0" fontId="11" fillId="0" borderId="1" xfId="96" applyFont="1" applyBorder="1" applyAlignment="1">
      <alignment horizontal="center" wrapText="1"/>
    </xf>
    <xf numFmtId="0" fontId="70" fillId="0" borderId="2" xfId="96" applyFont="1" applyBorder="1" applyAlignment="1">
      <alignment horizontal="center"/>
    </xf>
    <xf numFmtId="0" fontId="70" fillId="0" borderId="10" xfId="96" applyFont="1" applyBorder="1" applyAlignment="1">
      <alignment horizontal="center"/>
    </xf>
    <xf numFmtId="0" fontId="70" fillId="0" borderId="13" xfId="96" applyFont="1" applyBorder="1" applyAlignment="1">
      <alignment horizontal="center"/>
    </xf>
    <xf numFmtId="0" fontId="70" fillId="0" borderId="2" xfId="96" applyFont="1" applyBorder="1" applyAlignment="1">
      <alignment horizontal="center" vertical="center" wrapText="1"/>
    </xf>
    <xf numFmtId="0" fontId="70" fillId="0" borderId="13" xfId="96" applyFont="1" applyBorder="1" applyAlignment="1">
      <alignment horizontal="center" vertical="center" wrapText="1"/>
    </xf>
    <xf numFmtId="0" fontId="70" fillId="0" borderId="2" xfId="96" applyFont="1" applyBorder="1" applyAlignment="1">
      <alignment horizontal="center" vertical="center"/>
    </xf>
    <xf numFmtId="0" fontId="70" fillId="0" borderId="13" xfId="96" applyFont="1" applyBorder="1" applyAlignment="1">
      <alignment horizontal="center" vertical="center"/>
    </xf>
    <xf numFmtId="0" fontId="77" fillId="0" borderId="7" xfId="96" applyFont="1" applyBorder="1" applyAlignment="1">
      <alignment horizontal="center" vertical="center" wrapText="1"/>
    </xf>
    <xf numFmtId="0" fontId="77" fillId="0" borderId="6" xfId="96" applyFont="1" applyBorder="1" applyAlignment="1">
      <alignment horizontal="center" vertical="center" wrapText="1"/>
    </xf>
    <xf numFmtId="0" fontId="77" fillId="0" borderId="11" xfId="96" applyFont="1" applyBorder="1" applyAlignment="1">
      <alignment horizontal="center" vertical="center" wrapText="1"/>
    </xf>
    <xf numFmtId="0" fontId="77" fillId="0" borderId="9" xfId="96" applyFont="1" applyBorder="1" applyAlignment="1">
      <alignment horizontal="center" vertical="center" wrapText="1"/>
    </xf>
    <xf numFmtId="0" fontId="77" fillId="0" borderId="14" xfId="96" applyFont="1" applyBorder="1" applyAlignment="1">
      <alignment horizontal="center" vertical="center" wrapText="1"/>
    </xf>
    <xf numFmtId="0" fontId="77" fillId="0" borderId="12" xfId="96" applyFont="1" applyBorder="1" applyAlignment="1">
      <alignment horizontal="center" vertical="center" wrapText="1"/>
    </xf>
    <xf numFmtId="0" fontId="88" fillId="0" borderId="0" xfId="96" applyFont="1" applyAlignment="1">
      <alignment horizontal="center" vertical="top" wrapText="1"/>
    </xf>
    <xf numFmtId="0" fontId="70" fillId="0" borderId="14" xfId="96" applyFont="1" applyBorder="1" applyAlignment="1">
      <alignment horizontal="center" vertical="center" wrapText="1"/>
    </xf>
    <xf numFmtId="0" fontId="77" fillId="0" borderId="14" xfId="96" applyFont="1" applyBorder="1" applyAlignment="1">
      <alignment horizontal="left" vertical="top" wrapText="1"/>
    </xf>
    <xf numFmtId="0" fontId="77" fillId="0" borderId="1" xfId="96" applyFont="1" applyBorder="1" applyAlignment="1">
      <alignment horizontal="center" vertical="center" wrapText="1"/>
    </xf>
    <xf numFmtId="2" fontId="77" fillId="0" borderId="1" xfId="96" applyNumberFormat="1" applyFont="1" applyBorder="1" applyAlignment="1">
      <alignment horizontal="center" vertical="center" wrapText="1"/>
    </xf>
    <xf numFmtId="0" fontId="0" fillId="0" borderId="2" xfId="0" applyBorder="1" applyAlignment="1">
      <alignment horizontal="left"/>
    </xf>
    <xf numFmtId="0" fontId="0" fillId="0" borderId="13" xfId="0" applyBorder="1" applyAlignment="1">
      <alignment horizontal="left"/>
    </xf>
    <xf numFmtId="0" fontId="11" fillId="0" borderId="2" xfId="0" applyFont="1" applyBorder="1" applyAlignment="1">
      <alignment horizontal="left" vertical="top" wrapText="1"/>
    </xf>
    <xf numFmtId="0" fontId="11" fillId="0" borderId="10" xfId="0" applyFont="1" applyBorder="1" applyAlignment="1">
      <alignment horizontal="left" vertical="top" wrapText="1"/>
    </xf>
    <xf numFmtId="0" fontId="11" fillId="0" borderId="13" xfId="0" applyFont="1" applyBorder="1" applyAlignment="1">
      <alignment horizontal="left" vertical="top" wrapText="1"/>
    </xf>
    <xf numFmtId="0" fontId="11" fillId="0" borderId="7" xfId="0" applyFont="1" applyBorder="1" applyAlignment="1">
      <alignment horizontal="left" vertical="top" wrapText="1"/>
    </xf>
    <xf numFmtId="0" fontId="11" fillId="0" borderId="6" xfId="0" applyFont="1" applyBorder="1" applyAlignment="1">
      <alignment horizontal="left" vertical="top" wrapText="1"/>
    </xf>
    <xf numFmtId="0" fontId="11" fillId="0" borderId="11" xfId="0" applyFont="1" applyBorder="1" applyAlignment="1">
      <alignment horizontal="left" vertical="top" wrapText="1"/>
    </xf>
    <xf numFmtId="0" fontId="11" fillId="0" borderId="3" xfId="0" applyFont="1" applyBorder="1" applyAlignment="1">
      <alignment horizontal="left" vertical="top" wrapText="1"/>
    </xf>
    <xf numFmtId="0" fontId="11" fillId="0" borderId="0" xfId="0" applyFont="1" applyAlignment="1">
      <alignment horizontal="left" vertical="top" wrapText="1"/>
    </xf>
    <xf numFmtId="0" fontId="11" fillId="0" borderId="15"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2" xfId="0" applyFont="1" applyBorder="1" applyAlignment="1">
      <alignment horizontal="left" vertical="top" wrapText="1"/>
    </xf>
    <xf numFmtId="0" fontId="0" fillId="0" borderId="2" xfId="0" applyBorder="1" applyAlignment="1">
      <alignment horizontal="center"/>
    </xf>
    <xf numFmtId="0" fontId="0" fillId="0" borderId="13" xfId="0" applyBorder="1" applyAlignment="1">
      <alignment horizontal="center"/>
    </xf>
    <xf numFmtId="0" fontId="0" fillId="0" borderId="1" xfId="0" applyBorder="1" applyAlignment="1">
      <alignment horizontal="left"/>
    </xf>
    <xf numFmtId="0" fontId="11" fillId="0" borderId="1" xfId="0" applyFont="1" applyBorder="1" applyAlignment="1">
      <alignment horizontal="left" vertical="top" wrapText="1"/>
    </xf>
    <xf numFmtId="0" fontId="38" fillId="0" borderId="24" xfId="4" applyFont="1" applyBorder="1" applyAlignment="1">
      <alignment horizontal="justify" vertical="top" wrapText="1"/>
    </xf>
    <xf numFmtId="0" fontId="38" fillId="0" borderId="25" xfId="4" applyFont="1" applyBorder="1" applyAlignment="1">
      <alignment horizontal="justify" vertical="top" wrapText="1"/>
    </xf>
    <xf numFmtId="0" fontId="38" fillId="0" borderId="18" xfId="4" applyFont="1" applyBorder="1" applyAlignment="1">
      <alignment horizontal="justify" vertical="top" wrapText="1"/>
    </xf>
    <xf numFmtId="0" fontId="38" fillId="0" borderId="24" xfId="4" applyFont="1" applyBorder="1" applyAlignment="1">
      <alignment horizontal="center" wrapText="1"/>
    </xf>
    <xf numFmtId="0" fontId="38" fillId="0" borderId="25" xfId="4" applyFont="1" applyBorder="1" applyAlignment="1">
      <alignment horizontal="center" wrapText="1"/>
    </xf>
    <xf numFmtId="0" fontId="38" fillId="0" borderId="18" xfId="4" applyFont="1" applyBorder="1" applyAlignment="1">
      <alignment horizontal="center" wrapText="1"/>
    </xf>
    <xf numFmtId="0" fontId="85" fillId="0" borderId="0" xfId="4" applyFont="1" applyAlignment="1">
      <alignment horizontal="left" vertical="top" wrapText="1"/>
    </xf>
    <xf numFmtId="0" fontId="22" fillId="0" borderId="0" xfId="4" applyFont="1" applyAlignment="1">
      <alignment wrapText="1"/>
    </xf>
    <xf numFmtId="0" fontId="38" fillId="0" borderId="42" xfId="4" applyFont="1" applyBorder="1" applyAlignment="1">
      <alignment horizontal="justify" vertical="top" wrapText="1"/>
    </xf>
    <xf numFmtId="0" fontId="80" fillId="0" borderId="1" xfId="4" applyFont="1" applyBorder="1" applyAlignment="1">
      <alignment horizontal="center" vertical="top"/>
    </xf>
    <xf numFmtId="0" fontId="61" fillId="0" borderId="0" xfId="7" applyFont="1" applyAlignment="1">
      <alignment horizontal="left" vertical="top" wrapText="1"/>
    </xf>
    <xf numFmtId="0" fontId="39" fillId="0" borderId="0" xfId="99" applyFont="1" applyAlignment="1">
      <alignment horizontal="left" vertical="top" wrapText="1"/>
    </xf>
    <xf numFmtId="0" fontId="38" fillId="0" borderId="24" xfId="4" applyFont="1" applyBorder="1" applyAlignment="1">
      <alignment horizontal="center" vertical="center" wrapText="1"/>
    </xf>
    <xf numFmtId="0" fontId="38" fillId="0" borderId="25" xfId="4" applyFont="1" applyBorder="1" applyAlignment="1">
      <alignment horizontal="center" vertical="center" wrapText="1"/>
    </xf>
    <xf numFmtId="0" fontId="38" fillId="0" borderId="18" xfId="4" applyFont="1" applyBorder="1" applyAlignment="1">
      <alignment horizontal="center" vertical="center" wrapText="1"/>
    </xf>
    <xf numFmtId="0" fontId="62" fillId="0" borderId="1" xfId="4" applyFont="1" applyBorder="1" applyAlignment="1">
      <alignment horizontal="center" vertical="center" wrapText="1"/>
    </xf>
    <xf numFmtId="0" fontId="78" fillId="0" borderId="2" xfId="7" applyFont="1" applyBorder="1" applyAlignment="1">
      <alignment horizontal="center" vertical="center" wrapText="1"/>
    </xf>
    <xf numFmtId="0" fontId="78" fillId="0" borderId="10" xfId="7" applyFont="1" applyBorder="1" applyAlignment="1">
      <alignment horizontal="center" vertical="center" wrapText="1"/>
    </xf>
    <xf numFmtId="0" fontId="78" fillId="0" borderId="13" xfId="7" applyFont="1" applyBorder="1" applyAlignment="1">
      <alignment horizontal="center" vertical="center" wrapText="1"/>
    </xf>
    <xf numFmtId="0" fontId="108" fillId="0" borderId="1" xfId="4" applyFont="1" applyBorder="1" applyAlignment="1">
      <alignment horizontal="center" vertical="center" wrapText="1"/>
    </xf>
    <xf numFmtId="0" fontId="80" fillId="0" borderId="4" xfId="4" applyFont="1" applyBorder="1" applyAlignment="1">
      <alignment horizontal="center" vertical="center" wrapText="1"/>
    </xf>
    <xf numFmtId="0" fontId="80" fillId="0" borderId="1" xfId="4" applyFont="1" applyBorder="1" applyAlignment="1">
      <alignment horizontal="center" vertical="center" wrapText="1"/>
    </xf>
    <xf numFmtId="0" fontId="13" fillId="0" borderId="10" xfId="7" applyFont="1" applyBorder="1" applyAlignment="1">
      <alignment horizontal="center" wrapText="1"/>
    </xf>
    <xf numFmtId="0" fontId="13" fillId="0" borderId="13" xfId="7" applyFont="1" applyBorder="1" applyAlignment="1">
      <alignment horizontal="center" wrapText="1"/>
    </xf>
    <xf numFmtId="0" fontId="11" fillId="0" borderId="0" xfId="7" applyAlignment="1">
      <alignment horizontal="center"/>
    </xf>
    <xf numFmtId="0" fontId="112" fillId="0" borderId="3" xfId="7" applyFont="1" applyBorder="1" applyAlignment="1">
      <alignment horizontal="center"/>
    </xf>
    <xf numFmtId="0" fontId="112" fillId="0" borderId="0" xfId="7" applyFont="1" applyAlignment="1">
      <alignment horizontal="center"/>
    </xf>
    <xf numFmtId="0" fontId="112" fillId="0" borderId="15" xfId="7" applyFont="1" applyBorder="1" applyAlignment="1">
      <alignment horizontal="center"/>
    </xf>
    <xf numFmtId="0" fontId="57" fillId="0" borderId="1" xfId="7" applyFont="1" applyBorder="1" applyAlignment="1">
      <alignment horizontal="center"/>
    </xf>
    <xf numFmtId="0" fontId="105" fillId="0" borderId="0" xfId="103" applyFont="1" applyAlignment="1">
      <alignment horizontal="center"/>
    </xf>
    <xf numFmtId="0" fontId="70" fillId="0" borderId="40" xfId="98" applyFont="1" applyBorder="1" applyAlignment="1">
      <alignment horizontal="left"/>
    </xf>
    <xf numFmtId="0" fontId="70" fillId="0" borderId="40" xfId="98" applyFont="1" applyBorder="1" applyAlignment="1">
      <alignment horizontal="center"/>
    </xf>
    <xf numFmtId="0" fontId="66" fillId="0" borderId="3" xfId="98" applyFont="1" applyBorder="1" applyAlignment="1">
      <alignment horizontal="center" wrapText="1"/>
    </xf>
    <xf numFmtId="0" fontId="66" fillId="0" borderId="0" xfId="98" applyFont="1" applyAlignment="1">
      <alignment horizontal="center" wrapText="1"/>
    </xf>
    <xf numFmtId="0" fontId="66" fillId="0" borderId="15" xfId="98" applyFont="1" applyBorder="1" applyAlignment="1">
      <alignment horizontal="center" wrapText="1"/>
    </xf>
    <xf numFmtId="0" fontId="16" fillId="0" borderId="0" xfId="100" applyFont="1" applyAlignment="1">
      <alignment horizontal="center" vertical="center" wrapText="1"/>
    </xf>
  </cellXfs>
  <cellStyles count="104">
    <cellStyle name="20% - Accent1 2" xfId="40"/>
    <cellStyle name="20% - Accent2 2" xfId="41"/>
    <cellStyle name="20% - Accent3 2" xfId="42"/>
    <cellStyle name="20% - Accent4 2" xfId="43"/>
    <cellStyle name="20% - Accent5 2" xfId="44"/>
    <cellStyle name="20% - Accent6 2" xfId="45"/>
    <cellStyle name="40% - Accent1 2" xfId="46"/>
    <cellStyle name="40% - Accent2 2" xfId="47"/>
    <cellStyle name="40% - Accent3 2" xfId="48"/>
    <cellStyle name="40% - Accent4 2" xfId="49"/>
    <cellStyle name="40% - Accent5 2" xfId="50"/>
    <cellStyle name="40% - Accent6 2" xfId="51"/>
    <cellStyle name="60% - Accent1 2" xfId="52"/>
    <cellStyle name="60% - Accent2 2" xfId="53"/>
    <cellStyle name="60% - Accent3 2" xfId="54"/>
    <cellStyle name="60% - Accent4 2" xfId="55"/>
    <cellStyle name="60% - Accent5 2" xfId="56"/>
    <cellStyle name="60% - Accent6 2" xfId="57"/>
    <cellStyle name="Accent1 2" xfId="58"/>
    <cellStyle name="Accent2 2" xfId="59"/>
    <cellStyle name="Accent3 2" xfId="60"/>
    <cellStyle name="Accent4 2" xfId="61"/>
    <cellStyle name="Accent5 2" xfId="62"/>
    <cellStyle name="Accent6 2" xfId="63"/>
    <cellStyle name="Bad 2" xfId="64"/>
    <cellStyle name="Calc Currency (0)" xfId="9"/>
    <cellStyle name="Calculation 2" xfId="65"/>
    <cellStyle name="Check Cell 2" xfId="66"/>
    <cellStyle name="Comma 2" xfId="10"/>
    <cellStyle name="Comma 3" xfId="8"/>
    <cellStyle name="Copied" xfId="11"/>
    <cellStyle name="Entered" xfId="12"/>
    <cellStyle name="Explanatory Text 2" xfId="67"/>
    <cellStyle name="Good 2" xfId="68"/>
    <cellStyle name="Grey" xfId="13"/>
    <cellStyle name="Header1" xfId="14"/>
    <cellStyle name="Header2" xfId="15"/>
    <cellStyle name="Heading 1 2" xfId="69"/>
    <cellStyle name="Heading 2 2" xfId="70"/>
    <cellStyle name="Heading 3 2" xfId="71"/>
    <cellStyle name="Heading 4 2" xfId="72"/>
    <cellStyle name="Hyperlink 2" xfId="97"/>
    <cellStyle name="Input [yellow]" xfId="16"/>
    <cellStyle name="Input 2" xfId="73"/>
    <cellStyle name="Linked Cell 2" xfId="74"/>
    <cellStyle name="Neutral 2" xfId="75"/>
    <cellStyle name="Normal" xfId="0" builtinId="0"/>
    <cellStyle name="Normal - Style1" xfId="7"/>
    <cellStyle name="Normal 10" xfId="36"/>
    <cellStyle name="Normal 11" xfId="39"/>
    <cellStyle name="Normal 12" xfId="17"/>
    <cellStyle name="Normal 13" xfId="76"/>
    <cellStyle name="Normal 14" xfId="77"/>
    <cellStyle name="Normal 15" xfId="78"/>
    <cellStyle name="Normal 16" xfId="79"/>
    <cellStyle name="Normal 17" xfId="1"/>
    <cellStyle name="Normal 17 2" xfId="2"/>
    <cellStyle name="Normal 17 2 2" xfId="18"/>
    <cellStyle name="Normal 18" xfId="80"/>
    <cellStyle name="Normal 19" xfId="81"/>
    <cellStyle name="Normal 2" xfId="3"/>
    <cellStyle name="Normal 2 2" xfId="4"/>
    <cellStyle name="Normal 2 2 2" xfId="37"/>
    <cellStyle name="Normal 2 2 3" xfId="38"/>
    <cellStyle name="Normal 2 3" xfId="19"/>
    <cellStyle name="Normal 2 3 2" xfId="20"/>
    <cellStyle name="Normal 2 4" xfId="21"/>
    <cellStyle name="Normal 2 5" xfId="90"/>
    <cellStyle name="Normal 2 6" xfId="103"/>
    <cellStyle name="Normal 2_line Estimate" xfId="22"/>
    <cellStyle name="Normal 20" xfId="82"/>
    <cellStyle name="Normal 20 2" xfId="83"/>
    <cellStyle name="Normal 21" xfId="89"/>
    <cellStyle name="Normal 22" xfId="93"/>
    <cellStyle name="Normal 23" xfId="94"/>
    <cellStyle name="Normal 24" xfId="95"/>
    <cellStyle name="Normal 25" xfId="96"/>
    <cellStyle name="Normal 26" xfId="101"/>
    <cellStyle name="Normal 3" xfId="5"/>
    <cellStyle name="Normal 3 10" xfId="100"/>
    <cellStyle name="Normal 3 2" xfId="6"/>
    <cellStyle name="Normal 3 3" xfId="91"/>
    <cellStyle name="Normal 4" xfId="23"/>
    <cellStyle name="Normal 4 2" xfId="92"/>
    <cellStyle name="Normal 4 3" xfId="98"/>
    <cellStyle name="Normal 4 4" xfId="102"/>
    <cellStyle name="Normal 5" xfId="24"/>
    <cellStyle name="Normal 5 2" xfId="25"/>
    <cellStyle name="Normal 5_line Estimate" xfId="26"/>
    <cellStyle name="Normal 6" xfId="27"/>
    <cellStyle name="Normal 6 2" xfId="99"/>
    <cellStyle name="Normal 7" xfId="28"/>
    <cellStyle name="Normal 8" xfId="29"/>
    <cellStyle name="Normal 9" xfId="34"/>
    <cellStyle name="Normal 9 2" xfId="35"/>
    <cellStyle name="Note 2" xfId="84"/>
    <cellStyle name="Output 2" xfId="85"/>
    <cellStyle name="Percent [2]" xfId="30"/>
    <cellStyle name="Percent 2" xfId="33"/>
    <cellStyle name="RevList" xfId="31"/>
    <cellStyle name="Subtotal" xfId="32"/>
    <cellStyle name="Title 2" xfId="86"/>
    <cellStyle name="Total 2" xfId="87"/>
    <cellStyle name="Warning Text 2" xfId="8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theme" Target="theme/theme1.xml"/><Relationship Id="rId59"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62"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calcChain" Target="calcChain.xml"/><Relationship Id="rId61" Type="http://schemas.microsoft.com/office/2017/10/relationships/person" Target="persons/person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60" Type="http://schemas.microsoft.com/office/2017/10/relationships/person" Target="persons/pers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196215</xdr:colOff>
      <xdr:row>3</xdr:row>
      <xdr:rowOff>38100</xdr:rowOff>
    </xdr:from>
    <xdr:to>
      <xdr:col>9</xdr:col>
      <xdr:colOff>396240</xdr:colOff>
      <xdr:row>18</xdr:row>
      <xdr:rowOff>76200</xdr:rowOff>
    </xdr:to>
    <xdr:sp macro="" textlink="">
      <xdr:nvSpPr>
        <xdr:cNvPr id="2" name="WordArt 1">
          <a:extLst>
            <a:ext uri="{FF2B5EF4-FFF2-40B4-BE49-F238E27FC236}">
              <a16:creationId xmlns:a16="http://schemas.microsoft.com/office/drawing/2014/main" xmlns="" id="{372E09A9-AD83-479C-8477-C70EA94F10B3}"/>
            </a:ext>
          </a:extLst>
        </xdr:cNvPr>
        <xdr:cNvSpPr>
          <a:spLocks noChangeArrowheads="1" noChangeShapeType="1" noTextEdit="1"/>
        </xdr:cNvSpPr>
      </xdr:nvSpPr>
      <xdr:spPr bwMode="auto">
        <a:xfrm>
          <a:off x="196215" y="541020"/>
          <a:ext cx="5854065" cy="2811780"/>
        </a:xfrm>
        <a:prstGeom prst="rect">
          <a:avLst/>
        </a:prstGeom>
      </xdr:spPr>
      <xdr:txBody>
        <a:bodyPr wrap="none" fromWordArt="1">
          <a:prstTxWarp prst="textArchUp">
            <a:avLst>
              <a:gd name="adj" fmla="val 10894183"/>
            </a:avLst>
          </a:prstTxWarp>
        </a:bodyPr>
        <a:lstStyle/>
        <a:p>
          <a:pPr algn="ctr" rtl="0"/>
          <a:r>
            <a:rPr lang="en-IN" sz="2800" kern="10" spc="0">
              <a:ln w="9525">
                <a:solidFill>
                  <a:srgbClr val="333333"/>
                </a:solidFill>
                <a:round/>
                <a:headEnd/>
                <a:tailEnd/>
              </a:ln>
              <a:solidFill>
                <a:srgbClr val="969696"/>
              </a:solidFill>
              <a:effectLst/>
              <a:latin typeface="Arial Black"/>
            </a:rPr>
            <a:t>GOVERNMENT OF ANDHRA PRADESH</a:t>
          </a:r>
        </a:p>
      </xdr:txBody>
    </xdr:sp>
    <xdr:clientData/>
  </xdr:twoCellAnchor>
  <xdr:twoCellAnchor>
    <xdr:from>
      <xdr:col>4</xdr:col>
      <xdr:colOff>66675</xdr:colOff>
      <xdr:row>5</xdr:row>
      <xdr:rowOff>85725</xdr:rowOff>
    </xdr:from>
    <xdr:to>
      <xdr:col>5</xdr:col>
      <xdr:colOff>495300</xdr:colOff>
      <xdr:row>11</xdr:row>
      <xdr:rowOff>219075</xdr:rowOff>
    </xdr:to>
    <xdr:pic>
      <xdr:nvPicPr>
        <xdr:cNvPr id="3" name="Picture 2" descr="Copy of AP Emblem">
          <a:extLst>
            <a:ext uri="{FF2B5EF4-FFF2-40B4-BE49-F238E27FC236}">
              <a16:creationId xmlns:a16="http://schemas.microsoft.com/office/drawing/2014/main" xmlns="" id="{9CBF36B2-5BF1-4E2F-A45B-F52F1E535E4F}"/>
            </a:ext>
          </a:extLst>
        </xdr:cNvPr>
        <xdr:cNvPicPr>
          <a:picLocks noChangeAspect="1" noChangeArrowheads="1"/>
        </xdr:cNvPicPr>
      </xdr:nvPicPr>
      <xdr:blipFill>
        <a:blip xmlns:r="http://schemas.openxmlformats.org/officeDocument/2006/relationships" r:embed="rId1">
          <a:lum bright="54000" contrast="54000"/>
        </a:blip>
        <a:srcRect/>
        <a:stretch>
          <a:fillRect/>
        </a:stretch>
      </xdr:blipFill>
      <xdr:spPr bwMode="auto">
        <a:xfrm>
          <a:off x="2642235" y="923925"/>
          <a:ext cx="1000125" cy="113919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254146</xdr:colOff>
      <xdr:row>644</xdr:row>
      <xdr:rowOff>124938</xdr:rowOff>
    </xdr:from>
    <xdr:to>
      <xdr:col>2</xdr:col>
      <xdr:colOff>564776</xdr:colOff>
      <xdr:row>645</xdr:row>
      <xdr:rowOff>0</xdr:rowOff>
    </xdr:to>
    <xdr:sp macro="" textlink="">
      <xdr:nvSpPr>
        <xdr:cNvPr id="5" name="TextBox 4">
          <a:extLst>
            <a:ext uri="{FF2B5EF4-FFF2-40B4-BE49-F238E27FC236}">
              <a16:creationId xmlns:a16="http://schemas.microsoft.com/office/drawing/2014/main" xmlns="" id="{B78BCB59-0449-4D36-8DF0-BA2D68A4D7BC}"/>
            </a:ext>
          </a:extLst>
        </xdr:cNvPr>
        <xdr:cNvSpPr txBox="1"/>
      </xdr:nvSpPr>
      <xdr:spPr>
        <a:xfrm>
          <a:off x="254146" y="87638397"/>
          <a:ext cx="1816701" cy="645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100">
              <a:ln>
                <a:noFill/>
              </a:ln>
              <a:solidFill>
                <a:schemeClr val="tx1"/>
              </a:solidFill>
              <a:latin typeface="Garamond" panose="02020404030301010803" pitchFamily="18" charset="0"/>
            </a:rPr>
            <a:t>Assistant Executive</a:t>
          </a:r>
          <a:r>
            <a:rPr lang="en-IN" sz="1100" baseline="0">
              <a:ln>
                <a:noFill/>
              </a:ln>
              <a:solidFill>
                <a:schemeClr val="tx1"/>
              </a:solidFill>
              <a:latin typeface="Garamond" panose="02020404030301010803" pitchFamily="18" charset="0"/>
            </a:rPr>
            <a:t> </a:t>
          </a:r>
          <a:r>
            <a:rPr lang="en-IN" sz="1100">
              <a:ln>
                <a:noFill/>
              </a:ln>
              <a:solidFill>
                <a:schemeClr val="tx1"/>
              </a:solidFill>
              <a:latin typeface="Garamond" panose="02020404030301010803" pitchFamily="18" charset="0"/>
            </a:rPr>
            <a:t>Engineer                Drainage Section </a:t>
          </a:r>
          <a:r>
            <a:rPr lang="en-IN" sz="1100">
              <a:solidFill>
                <a:schemeClr val="dk1"/>
              </a:solidFill>
              <a:effectLst/>
              <a:latin typeface="Garamond" panose="02020404030301010803" pitchFamily="18" charset="0"/>
              <a:ea typeface="+mn-ea"/>
              <a:cs typeface="+mn-cs"/>
            </a:rPr>
            <a:t>Ganapavaram</a:t>
          </a:r>
          <a:endParaRPr lang="en-IN" sz="1100">
            <a:ln>
              <a:noFill/>
            </a:ln>
            <a:solidFill>
              <a:schemeClr val="tx1"/>
            </a:solidFill>
            <a:latin typeface="Garamond" panose="02020404030301010803" pitchFamily="18" charset="0"/>
          </a:endParaRPr>
        </a:p>
      </xdr:txBody>
    </xdr:sp>
    <xdr:clientData/>
  </xdr:twoCellAnchor>
  <xdr:twoCellAnchor>
    <xdr:from>
      <xdr:col>2</xdr:col>
      <xdr:colOff>815788</xdr:colOff>
      <xdr:row>644</xdr:row>
      <xdr:rowOff>159083</xdr:rowOff>
    </xdr:from>
    <xdr:to>
      <xdr:col>3</xdr:col>
      <xdr:colOff>340659</xdr:colOff>
      <xdr:row>645</xdr:row>
      <xdr:rowOff>0</xdr:rowOff>
    </xdr:to>
    <xdr:sp macro="" textlink="">
      <xdr:nvSpPr>
        <xdr:cNvPr id="6" name="TextBox 5">
          <a:extLst>
            <a:ext uri="{FF2B5EF4-FFF2-40B4-BE49-F238E27FC236}">
              <a16:creationId xmlns:a16="http://schemas.microsoft.com/office/drawing/2014/main" xmlns="" id="{82560472-5BC5-4179-A0BD-34ECF6ECF730}"/>
            </a:ext>
          </a:extLst>
        </xdr:cNvPr>
        <xdr:cNvSpPr txBox="1"/>
      </xdr:nvSpPr>
      <xdr:spPr>
        <a:xfrm>
          <a:off x="2321859" y="87672542"/>
          <a:ext cx="1712259" cy="622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100">
              <a:ln>
                <a:noFill/>
              </a:ln>
              <a:solidFill>
                <a:schemeClr val="tx1"/>
              </a:solidFill>
              <a:latin typeface="Garamond" panose="02020404030301010803" pitchFamily="18" charset="0"/>
            </a:rPr>
            <a:t>Deputy Executive Engineer Drainage Sub-Division </a:t>
          </a:r>
          <a:r>
            <a:rPr lang="en-IN" sz="1100">
              <a:solidFill>
                <a:schemeClr val="dk1"/>
              </a:solidFill>
              <a:effectLst/>
              <a:latin typeface="Garamond" panose="02020404030301010803" pitchFamily="18" charset="0"/>
              <a:ea typeface="+mn-ea"/>
              <a:cs typeface="+mn-cs"/>
            </a:rPr>
            <a:t>Tadepalligudem</a:t>
          </a:r>
          <a:endParaRPr lang="en-IN" sz="1100">
            <a:ln>
              <a:noFill/>
            </a:ln>
            <a:solidFill>
              <a:schemeClr val="tx1"/>
            </a:solidFill>
            <a:latin typeface="Garamond" panose="02020404030301010803"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140805</xdr:colOff>
      <xdr:row>13</xdr:row>
      <xdr:rowOff>8281</xdr:rowOff>
    </xdr:from>
    <xdr:to>
      <xdr:col>8</xdr:col>
      <xdr:colOff>356153</xdr:colOff>
      <xdr:row>14</xdr:row>
      <xdr:rowOff>16564</xdr:rowOff>
    </xdr:to>
    <xdr:sp macro="" textlink="">
      <xdr:nvSpPr>
        <xdr:cNvPr id="2" name="Oval 1">
          <a:extLst>
            <a:ext uri="{FF2B5EF4-FFF2-40B4-BE49-F238E27FC236}">
              <a16:creationId xmlns:a16="http://schemas.microsoft.com/office/drawing/2014/main" xmlns="" id="{00000000-0008-0000-1300-000002000000}"/>
            </a:ext>
          </a:extLst>
        </xdr:cNvPr>
        <xdr:cNvSpPr/>
      </xdr:nvSpPr>
      <xdr:spPr>
        <a:xfrm>
          <a:off x="3922230" y="2903881"/>
          <a:ext cx="215348" cy="236883"/>
        </a:xfrm>
        <a:prstGeom prst="ellipse">
          <a:avLst/>
        </a:prstGeom>
        <a:solidFill>
          <a:schemeClr val="lt1">
            <a:alpha val="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lang="en-US" sz="1100"/>
        </a:p>
      </xdr:txBody>
    </xdr:sp>
    <xdr:clientData/>
  </xdr:twoCellAnchor>
  <xdr:twoCellAnchor>
    <xdr:from>
      <xdr:col>7</xdr:col>
      <xdr:colOff>405054</xdr:colOff>
      <xdr:row>3</xdr:row>
      <xdr:rowOff>189040</xdr:rowOff>
    </xdr:from>
    <xdr:to>
      <xdr:col>11</xdr:col>
      <xdr:colOff>772060</xdr:colOff>
      <xdr:row>16</xdr:row>
      <xdr:rowOff>26437</xdr:rowOff>
    </xdr:to>
    <xdr:grpSp>
      <xdr:nvGrpSpPr>
        <xdr:cNvPr id="3" name="Group 2">
          <a:extLst>
            <a:ext uri="{FF2B5EF4-FFF2-40B4-BE49-F238E27FC236}">
              <a16:creationId xmlns:a16="http://schemas.microsoft.com/office/drawing/2014/main" xmlns="" id="{00000000-0008-0000-1300-000003000000}"/>
            </a:ext>
          </a:extLst>
        </xdr:cNvPr>
        <xdr:cNvGrpSpPr/>
      </xdr:nvGrpSpPr>
      <xdr:grpSpPr>
        <a:xfrm>
          <a:off x="3414954" y="811340"/>
          <a:ext cx="2729206" cy="2428197"/>
          <a:chOff x="3295684" y="1191835"/>
          <a:chExt cx="2179127" cy="2329862"/>
        </a:xfrm>
      </xdr:grpSpPr>
      <xdr:grpSp>
        <xdr:nvGrpSpPr>
          <xdr:cNvPr id="4" name="Group 24">
            <a:extLst>
              <a:ext uri="{FF2B5EF4-FFF2-40B4-BE49-F238E27FC236}">
                <a16:creationId xmlns:a16="http://schemas.microsoft.com/office/drawing/2014/main" xmlns="" id="{00000000-0008-0000-1300-000004000000}"/>
              </a:ext>
            </a:extLst>
          </xdr:cNvPr>
          <xdr:cNvGrpSpPr/>
        </xdr:nvGrpSpPr>
        <xdr:grpSpPr>
          <a:xfrm>
            <a:off x="3470421" y="1191835"/>
            <a:ext cx="2004390" cy="2121207"/>
            <a:chOff x="3321327" y="901944"/>
            <a:chExt cx="2004390" cy="1930707"/>
          </a:xfrm>
        </xdr:grpSpPr>
        <xdr:cxnSp macro="">
          <xdr:nvCxnSpPr>
            <xdr:cNvPr id="8" name="Straight Connector 7">
              <a:extLst>
                <a:ext uri="{FF2B5EF4-FFF2-40B4-BE49-F238E27FC236}">
                  <a16:creationId xmlns:a16="http://schemas.microsoft.com/office/drawing/2014/main" xmlns="" id="{00000000-0008-0000-1300-000008000000}"/>
                </a:ext>
              </a:extLst>
            </xdr:cNvPr>
            <xdr:cNvCxnSpPr/>
          </xdr:nvCxnSpPr>
          <xdr:spPr>
            <a:xfrm rot="5400000">
              <a:off x="4166152" y="1697935"/>
              <a:ext cx="1540565" cy="158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 name="Straight Connector 3">
              <a:extLst>
                <a:ext uri="{FF2B5EF4-FFF2-40B4-BE49-F238E27FC236}">
                  <a16:creationId xmlns:a16="http://schemas.microsoft.com/office/drawing/2014/main" xmlns="" id="{00000000-0008-0000-1300-000009000000}"/>
                </a:ext>
              </a:extLst>
            </xdr:cNvPr>
            <xdr:cNvCxnSpPr/>
          </xdr:nvCxnSpPr>
          <xdr:spPr>
            <a:xfrm rot="5400000">
              <a:off x="3805033" y="1701249"/>
              <a:ext cx="1540565" cy="158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xmlns="" id="{00000000-0008-0000-1300-00000A000000}"/>
                </a:ext>
              </a:extLst>
            </xdr:cNvPr>
            <xdr:cNvCxnSpPr/>
          </xdr:nvCxnSpPr>
          <xdr:spPr>
            <a:xfrm>
              <a:off x="4563717" y="935935"/>
              <a:ext cx="372718" cy="158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 name="Straight Connector 10">
              <a:extLst>
                <a:ext uri="{FF2B5EF4-FFF2-40B4-BE49-F238E27FC236}">
                  <a16:creationId xmlns:a16="http://schemas.microsoft.com/office/drawing/2014/main" xmlns="" id="{00000000-0008-0000-1300-00000B000000}"/>
                </a:ext>
              </a:extLst>
            </xdr:cNvPr>
            <xdr:cNvCxnSpPr/>
          </xdr:nvCxnSpPr>
          <xdr:spPr>
            <a:xfrm rot="10800000">
              <a:off x="3329609" y="2451652"/>
              <a:ext cx="1996108" cy="158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 name="Straight Connector 11">
              <a:extLst>
                <a:ext uri="{FF2B5EF4-FFF2-40B4-BE49-F238E27FC236}">
                  <a16:creationId xmlns:a16="http://schemas.microsoft.com/office/drawing/2014/main" xmlns="" id="{00000000-0008-0000-1300-00000C000000}"/>
                </a:ext>
              </a:extLst>
            </xdr:cNvPr>
            <xdr:cNvCxnSpPr/>
          </xdr:nvCxnSpPr>
          <xdr:spPr>
            <a:xfrm rot="5400000">
              <a:off x="3400014" y="1263099"/>
              <a:ext cx="1507431" cy="85310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a:extLst>
                <a:ext uri="{FF2B5EF4-FFF2-40B4-BE49-F238E27FC236}">
                  <a16:creationId xmlns:a16="http://schemas.microsoft.com/office/drawing/2014/main" xmlns="" id="{00000000-0008-0000-1300-00000D000000}"/>
                </a:ext>
              </a:extLst>
            </xdr:cNvPr>
            <xdr:cNvCxnSpPr/>
          </xdr:nvCxnSpPr>
          <xdr:spPr>
            <a:xfrm rot="10800000" flipV="1">
              <a:off x="3337891" y="2829270"/>
              <a:ext cx="1974574" cy="338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a:extLst>
                <a:ext uri="{FF2B5EF4-FFF2-40B4-BE49-F238E27FC236}">
                  <a16:creationId xmlns:a16="http://schemas.microsoft.com/office/drawing/2014/main" xmlns="" id="{00000000-0008-0000-1300-00000E000000}"/>
                </a:ext>
              </a:extLst>
            </xdr:cNvPr>
            <xdr:cNvCxnSpPr/>
          </xdr:nvCxnSpPr>
          <xdr:spPr>
            <a:xfrm rot="5400000" flipH="1" flipV="1">
              <a:off x="3163961" y="2642152"/>
              <a:ext cx="347870" cy="158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5" name="Straight Connector 14">
              <a:extLst>
                <a:ext uri="{FF2B5EF4-FFF2-40B4-BE49-F238E27FC236}">
                  <a16:creationId xmlns:a16="http://schemas.microsoft.com/office/drawing/2014/main" xmlns="" id="{00000000-0008-0000-1300-00000F000000}"/>
                </a:ext>
              </a:extLst>
            </xdr:cNvPr>
            <xdr:cNvCxnSpPr/>
          </xdr:nvCxnSpPr>
          <xdr:spPr>
            <a:xfrm rot="5400000" flipH="1" flipV="1">
              <a:off x="5102087" y="2633870"/>
              <a:ext cx="381000" cy="158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 name="Straight Connector 15">
              <a:extLst>
                <a:ext uri="{FF2B5EF4-FFF2-40B4-BE49-F238E27FC236}">
                  <a16:creationId xmlns:a16="http://schemas.microsoft.com/office/drawing/2014/main" xmlns="" id="{00000000-0008-0000-1300-000010000000}"/>
                </a:ext>
              </a:extLst>
            </xdr:cNvPr>
            <xdr:cNvCxnSpPr/>
          </xdr:nvCxnSpPr>
          <xdr:spPr>
            <a:xfrm rot="5400000">
              <a:off x="2938672" y="1671433"/>
              <a:ext cx="1540565" cy="1588"/>
            </a:xfrm>
            <a:prstGeom prst="line">
              <a:avLst/>
            </a:prstGeom>
            <a:ln>
              <a:prstDash val="lgDash"/>
            </a:ln>
          </xdr:spPr>
          <xdr:style>
            <a:lnRef idx="1">
              <a:schemeClr val="dk1"/>
            </a:lnRef>
            <a:fillRef idx="0">
              <a:schemeClr val="dk1"/>
            </a:fillRef>
            <a:effectRef idx="0">
              <a:schemeClr val="dk1"/>
            </a:effectRef>
            <a:fontRef idx="minor">
              <a:schemeClr val="tx1"/>
            </a:fontRef>
          </xdr:style>
        </xdr:cxnSp>
        <xdr:cxnSp macro="">
          <xdr:nvCxnSpPr>
            <xdr:cNvPr id="17" name="Straight Connector 16">
              <a:extLst>
                <a:ext uri="{FF2B5EF4-FFF2-40B4-BE49-F238E27FC236}">
                  <a16:creationId xmlns:a16="http://schemas.microsoft.com/office/drawing/2014/main" xmlns="" id="{00000000-0008-0000-1300-000011000000}"/>
                </a:ext>
              </a:extLst>
            </xdr:cNvPr>
            <xdr:cNvCxnSpPr/>
          </xdr:nvCxnSpPr>
          <xdr:spPr>
            <a:xfrm rot="5400000">
              <a:off x="2577550" y="1699595"/>
              <a:ext cx="1540565" cy="1588"/>
            </a:xfrm>
            <a:prstGeom prst="line">
              <a:avLst/>
            </a:prstGeom>
            <a:ln>
              <a:prstDash val="lgDash"/>
            </a:ln>
          </xdr:spPr>
          <xdr:style>
            <a:lnRef idx="1">
              <a:schemeClr val="dk1"/>
            </a:lnRef>
            <a:fillRef idx="0">
              <a:schemeClr val="dk1"/>
            </a:fillRef>
            <a:effectRef idx="0">
              <a:schemeClr val="dk1"/>
            </a:effectRef>
            <a:fontRef idx="minor">
              <a:schemeClr val="tx1"/>
            </a:fontRef>
          </xdr:style>
        </xdr:cxnSp>
        <xdr:cxnSp macro="">
          <xdr:nvCxnSpPr>
            <xdr:cNvPr id="18" name="Straight Connector 17">
              <a:extLst>
                <a:ext uri="{FF2B5EF4-FFF2-40B4-BE49-F238E27FC236}">
                  <a16:creationId xmlns:a16="http://schemas.microsoft.com/office/drawing/2014/main" xmlns="" id="{00000000-0008-0000-1300-000012000000}"/>
                </a:ext>
              </a:extLst>
            </xdr:cNvPr>
            <xdr:cNvCxnSpPr/>
          </xdr:nvCxnSpPr>
          <xdr:spPr>
            <a:xfrm rot="10800000">
              <a:off x="3321327" y="927651"/>
              <a:ext cx="1258957" cy="1588"/>
            </a:xfrm>
            <a:prstGeom prst="line">
              <a:avLst/>
            </a:prstGeom>
          </xdr:spPr>
          <xdr:style>
            <a:lnRef idx="1">
              <a:schemeClr val="dk1"/>
            </a:lnRef>
            <a:fillRef idx="0">
              <a:schemeClr val="dk1"/>
            </a:fillRef>
            <a:effectRef idx="0">
              <a:schemeClr val="dk1"/>
            </a:effectRef>
            <a:fontRef idx="minor">
              <a:schemeClr val="tx1"/>
            </a:fontRef>
          </xdr:style>
        </xdr:cxnSp>
      </xdr:grpSp>
      <xdr:cxnSp macro="">
        <xdr:nvCxnSpPr>
          <xdr:cNvPr id="5" name="Straight Arrow Connector 4">
            <a:extLst>
              <a:ext uri="{FF2B5EF4-FFF2-40B4-BE49-F238E27FC236}">
                <a16:creationId xmlns:a16="http://schemas.microsoft.com/office/drawing/2014/main" xmlns="" id="{00000000-0008-0000-1300-000005000000}"/>
              </a:ext>
            </a:extLst>
          </xdr:cNvPr>
          <xdr:cNvCxnSpPr/>
        </xdr:nvCxnSpPr>
        <xdr:spPr>
          <a:xfrm rot="5400000">
            <a:off x="2464076" y="2058228"/>
            <a:ext cx="1664804" cy="1588"/>
          </a:xfrm>
          <a:prstGeom prst="straightConnector1">
            <a:avLst/>
          </a:prstGeom>
          <a:ln>
            <a:headEnd type="triangle" w="med" len="med"/>
            <a:tailEnd type="triangle" w="med" len="med"/>
          </a:ln>
        </xdr:spPr>
        <xdr:style>
          <a:lnRef idx="1">
            <a:schemeClr val="dk1"/>
          </a:lnRef>
          <a:fillRef idx="0">
            <a:schemeClr val="dk1"/>
          </a:fillRef>
          <a:effectRef idx="0">
            <a:schemeClr val="dk1"/>
          </a:effectRef>
          <a:fontRef idx="minor">
            <a:schemeClr val="tx1"/>
          </a:fontRef>
        </xdr:style>
      </xdr:cxnSp>
      <xdr:cxnSp macro="">
        <xdr:nvCxnSpPr>
          <xdr:cNvPr id="6" name="Straight Arrow Connector 5">
            <a:extLst>
              <a:ext uri="{FF2B5EF4-FFF2-40B4-BE49-F238E27FC236}">
                <a16:creationId xmlns:a16="http://schemas.microsoft.com/office/drawing/2014/main" xmlns="" id="{00000000-0008-0000-1300-000006000000}"/>
              </a:ext>
            </a:extLst>
          </xdr:cNvPr>
          <xdr:cNvCxnSpPr/>
        </xdr:nvCxnSpPr>
        <xdr:spPr>
          <a:xfrm rot="5400000">
            <a:off x="3101838" y="3093553"/>
            <a:ext cx="389282" cy="1588"/>
          </a:xfrm>
          <a:prstGeom prst="straightConnector1">
            <a:avLst/>
          </a:prstGeom>
          <a:ln>
            <a:headEnd type="triangle" w="med" len="med"/>
            <a:tailEnd type="triangle" w="med" len="med"/>
          </a:ln>
        </xdr:spPr>
        <xdr:style>
          <a:lnRef idx="1">
            <a:schemeClr val="dk1"/>
          </a:lnRef>
          <a:fillRef idx="0">
            <a:schemeClr val="dk1"/>
          </a:fillRef>
          <a:effectRef idx="0">
            <a:schemeClr val="dk1"/>
          </a:effectRef>
          <a:fontRef idx="minor">
            <a:schemeClr val="tx1"/>
          </a:fontRef>
        </xdr:style>
      </xdr:cxnSp>
      <xdr:cxnSp macro="">
        <xdr:nvCxnSpPr>
          <xdr:cNvPr id="7" name="Straight Arrow Connector 6">
            <a:extLst>
              <a:ext uri="{FF2B5EF4-FFF2-40B4-BE49-F238E27FC236}">
                <a16:creationId xmlns:a16="http://schemas.microsoft.com/office/drawing/2014/main" xmlns="" id="{00000000-0008-0000-1300-000007000000}"/>
              </a:ext>
            </a:extLst>
          </xdr:cNvPr>
          <xdr:cNvCxnSpPr/>
        </xdr:nvCxnSpPr>
        <xdr:spPr>
          <a:xfrm>
            <a:off x="3511826" y="3520109"/>
            <a:ext cx="1921565" cy="1588"/>
          </a:xfrm>
          <a:prstGeom prst="straightConnector1">
            <a:avLst/>
          </a:prstGeom>
          <a:ln>
            <a:headEnd type="triangle" w="med" len="med"/>
            <a:tailEnd type="triangle" w="med"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281609</xdr:colOff>
      <xdr:row>6</xdr:row>
      <xdr:rowOff>140804</xdr:rowOff>
    </xdr:from>
    <xdr:to>
      <xdr:col>8</xdr:col>
      <xdr:colOff>289891</xdr:colOff>
      <xdr:row>8</xdr:row>
      <xdr:rowOff>115956</xdr:rowOff>
    </xdr:to>
    <xdr:cxnSp macro="">
      <xdr:nvCxnSpPr>
        <xdr:cNvPr id="19" name="Straight Arrow Connector 18">
          <a:extLst>
            <a:ext uri="{FF2B5EF4-FFF2-40B4-BE49-F238E27FC236}">
              <a16:creationId xmlns:a16="http://schemas.microsoft.com/office/drawing/2014/main" xmlns="" id="{00000000-0008-0000-1300-000013000000}"/>
            </a:ext>
          </a:extLst>
        </xdr:cNvPr>
        <xdr:cNvCxnSpPr/>
      </xdr:nvCxnSpPr>
      <xdr:spPr>
        <a:xfrm rot="16200000" flipH="1">
          <a:off x="3870049" y="1819689"/>
          <a:ext cx="394252" cy="8282"/>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202096</xdr:colOff>
      <xdr:row>6</xdr:row>
      <xdr:rowOff>69573</xdr:rowOff>
    </xdr:from>
    <xdr:to>
      <xdr:col>9</xdr:col>
      <xdr:colOff>210378</xdr:colOff>
      <xdr:row>8</xdr:row>
      <xdr:rowOff>44725</xdr:rowOff>
    </xdr:to>
    <xdr:cxnSp macro="">
      <xdr:nvCxnSpPr>
        <xdr:cNvPr id="20" name="Straight Arrow Connector 19">
          <a:extLst>
            <a:ext uri="{FF2B5EF4-FFF2-40B4-BE49-F238E27FC236}">
              <a16:creationId xmlns:a16="http://schemas.microsoft.com/office/drawing/2014/main" xmlns="" id="{00000000-0008-0000-1300-000014000000}"/>
            </a:ext>
          </a:extLst>
        </xdr:cNvPr>
        <xdr:cNvCxnSpPr/>
      </xdr:nvCxnSpPr>
      <xdr:spPr>
        <a:xfrm rot="16200000" flipH="1">
          <a:off x="4304886" y="1748458"/>
          <a:ext cx="394252" cy="8282"/>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31474</xdr:colOff>
      <xdr:row>8</xdr:row>
      <xdr:rowOff>114299</xdr:rowOff>
    </xdr:from>
    <xdr:to>
      <xdr:col>10</xdr:col>
      <xdr:colOff>39756</xdr:colOff>
      <xdr:row>10</xdr:row>
      <xdr:rowOff>89451</xdr:rowOff>
    </xdr:to>
    <xdr:cxnSp macro="">
      <xdr:nvCxnSpPr>
        <xdr:cNvPr id="21" name="Straight Arrow Connector 20">
          <a:extLst>
            <a:ext uri="{FF2B5EF4-FFF2-40B4-BE49-F238E27FC236}">
              <a16:creationId xmlns:a16="http://schemas.microsoft.com/office/drawing/2014/main" xmlns="" id="{00000000-0008-0000-1300-000015000000}"/>
            </a:ext>
          </a:extLst>
        </xdr:cNvPr>
        <xdr:cNvCxnSpPr/>
      </xdr:nvCxnSpPr>
      <xdr:spPr>
        <a:xfrm rot="16200000" flipH="1">
          <a:off x="4648614" y="2212284"/>
          <a:ext cx="394252" cy="8282"/>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490331</xdr:colOff>
      <xdr:row>7</xdr:row>
      <xdr:rowOff>18221</xdr:rowOff>
    </xdr:from>
    <xdr:to>
      <xdr:col>10</xdr:col>
      <xdr:colOff>498613</xdr:colOff>
      <xdr:row>8</xdr:row>
      <xdr:rowOff>183873</xdr:rowOff>
    </xdr:to>
    <xdr:cxnSp macro="">
      <xdr:nvCxnSpPr>
        <xdr:cNvPr id="22" name="Straight Arrow Connector 21">
          <a:extLst>
            <a:ext uri="{FF2B5EF4-FFF2-40B4-BE49-F238E27FC236}">
              <a16:creationId xmlns:a16="http://schemas.microsoft.com/office/drawing/2014/main" xmlns="" id="{00000000-0008-0000-1300-000016000000}"/>
            </a:ext>
          </a:extLst>
        </xdr:cNvPr>
        <xdr:cNvCxnSpPr/>
      </xdr:nvCxnSpPr>
      <xdr:spPr>
        <a:xfrm rot="16200000" flipH="1">
          <a:off x="5126521" y="1906656"/>
          <a:ext cx="356152" cy="8282"/>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13253</xdr:colOff>
      <xdr:row>12</xdr:row>
      <xdr:rowOff>178903</xdr:rowOff>
    </xdr:from>
    <xdr:to>
      <xdr:col>10</xdr:col>
      <xdr:colOff>21535</xdr:colOff>
      <xdr:row>14</xdr:row>
      <xdr:rowOff>154055</xdr:rowOff>
    </xdr:to>
    <xdr:cxnSp macro="">
      <xdr:nvCxnSpPr>
        <xdr:cNvPr id="23" name="Straight Arrow Connector 22">
          <a:extLst>
            <a:ext uri="{FF2B5EF4-FFF2-40B4-BE49-F238E27FC236}">
              <a16:creationId xmlns:a16="http://schemas.microsoft.com/office/drawing/2014/main" xmlns="" id="{00000000-0008-0000-1300-000017000000}"/>
            </a:ext>
          </a:extLst>
        </xdr:cNvPr>
        <xdr:cNvCxnSpPr/>
      </xdr:nvCxnSpPr>
      <xdr:spPr>
        <a:xfrm rot="16200000" flipH="1">
          <a:off x="4630393" y="3076988"/>
          <a:ext cx="394252" cy="8282"/>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390525</xdr:colOff>
      <xdr:row>41</xdr:row>
      <xdr:rowOff>19050</xdr:rowOff>
    </xdr:from>
    <xdr:to>
      <xdr:col>3</xdr:col>
      <xdr:colOff>485775</xdr:colOff>
      <xdr:row>41</xdr:row>
      <xdr:rowOff>19050</xdr:rowOff>
    </xdr:to>
    <xdr:sp macro="" textlink="">
      <xdr:nvSpPr>
        <xdr:cNvPr id="24" name="Line 178">
          <a:extLst>
            <a:ext uri="{FF2B5EF4-FFF2-40B4-BE49-F238E27FC236}">
              <a16:creationId xmlns:a16="http://schemas.microsoft.com/office/drawing/2014/main" xmlns="" id="{00000000-0008-0000-1300-000018000000}"/>
            </a:ext>
          </a:extLst>
        </xdr:cNvPr>
        <xdr:cNvSpPr>
          <a:spLocks noChangeShapeType="1"/>
        </xdr:cNvSpPr>
      </xdr:nvSpPr>
      <xdr:spPr bwMode="auto">
        <a:xfrm>
          <a:off x="1657350" y="8296275"/>
          <a:ext cx="95250" cy="0"/>
        </a:xfrm>
        <a:prstGeom prst="line">
          <a:avLst/>
        </a:prstGeom>
        <a:noFill/>
        <a:ln w="9525">
          <a:solidFill>
            <a:srgbClr val="000000"/>
          </a:solidFill>
          <a:round/>
          <a:headEnd/>
          <a:tailEnd/>
        </a:ln>
      </xdr:spPr>
    </xdr:sp>
    <xdr:clientData/>
  </xdr:twoCellAnchor>
  <xdr:twoCellAnchor>
    <xdr:from>
      <xdr:col>4</xdr:col>
      <xdr:colOff>123825</xdr:colOff>
      <xdr:row>42</xdr:row>
      <xdr:rowOff>0</xdr:rowOff>
    </xdr:from>
    <xdr:to>
      <xdr:col>4</xdr:col>
      <xdr:colOff>466725</xdr:colOff>
      <xdr:row>42</xdr:row>
      <xdr:rowOff>0</xdr:rowOff>
    </xdr:to>
    <xdr:sp macro="" textlink="">
      <xdr:nvSpPr>
        <xdr:cNvPr id="25" name="Line 179">
          <a:extLst>
            <a:ext uri="{FF2B5EF4-FFF2-40B4-BE49-F238E27FC236}">
              <a16:creationId xmlns:a16="http://schemas.microsoft.com/office/drawing/2014/main" xmlns="" id="{00000000-0008-0000-1300-000019000000}"/>
            </a:ext>
          </a:extLst>
        </xdr:cNvPr>
        <xdr:cNvSpPr>
          <a:spLocks noChangeShapeType="1"/>
        </xdr:cNvSpPr>
      </xdr:nvSpPr>
      <xdr:spPr bwMode="auto">
        <a:xfrm>
          <a:off x="2009775" y="8467725"/>
          <a:ext cx="200025" cy="0"/>
        </a:xfrm>
        <a:prstGeom prst="line">
          <a:avLst/>
        </a:prstGeom>
        <a:noFill/>
        <a:ln w="9525">
          <a:solidFill>
            <a:srgbClr val="000000"/>
          </a:solidFill>
          <a:round/>
          <a:headEnd/>
          <a:tailEnd/>
        </a:ln>
      </xdr:spPr>
    </xdr:sp>
    <xdr:clientData/>
  </xdr:twoCellAnchor>
  <xdr:twoCellAnchor>
    <xdr:from>
      <xdr:col>7</xdr:col>
      <xdr:colOff>57150</xdr:colOff>
      <xdr:row>42</xdr:row>
      <xdr:rowOff>0</xdr:rowOff>
    </xdr:from>
    <xdr:to>
      <xdr:col>7</xdr:col>
      <xdr:colOff>609600</xdr:colOff>
      <xdr:row>42</xdr:row>
      <xdr:rowOff>0</xdr:rowOff>
    </xdr:to>
    <xdr:sp macro="" textlink="">
      <xdr:nvSpPr>
        <xdr:cNvPr id="26" name="Line 180">
          <a:extLst>
            <a:ext uri="{FF2B5EF4-FFF2-40B4-BE49-F238E27FC236}">
              <a16:creationId xmlns:a16="http://schemas.microsoft.com/office/drawing/2014/main" xmlns="" id="{00000000-0008-0000-1300-00001A000000}"/>
            </a:ext>
          </a:extLst>
        </xdr:cNvPr>
        <xdr:cNvSpPr>
          <a:spLocks noChangeShapeType="1"/>
        </xdr:cNvSpPr>
      </xdr:nvSpPr>
      <xdr:spPr bwMode="auto">
        <a:xfrm>
          <a:off x="3038475" y="8467725"/>
          <a:ext cx="552450" cy="0"/>
        </a:xfrm>
        <a:prstGeom prst="line">
          <a:avLst/>
        </a:prstGeom>
        <a:noFill/>
        <a:ln w="9525">
          <a:solidFill>
            <a:srgbClr val="000000"/>
          </a:solidFill>
          <a:round/>
          <a:headEnd/>
          <a:tailEnd/>
        </a:ln>
      </xdr:spPr>
    </xdr:sp>
    <xdr:clientData/>
  </xdr:twoCellAnchor>
  <xdr:twoCellAnchor>
    <xdr:from>
      <xdr:col>5</xdr:col>
      <xdr:colOff>190500</xdr:colOff>
      <xdr:row>45</xdr:row>
      <xdr:rowOff>0</xdr:rowOff>
    </xdr:from>
    <xdr:to>
      <xdr:col>5</xdr:col>
      <xdr:colOff>438150</xdr:colOff>
      <xdr:row>45</xdr:row>
      <xdr:rowOff>0</xdr:rowOff>
    </xdr:to>
    <xdr:sp macro="" textlink="">
      <xdr:nvSpPr>
        <xdr:cNvPr id="27" name="Line 181">
          <a:extLst>
            <a:ext uri="{FF2B5EF4-FFF2-40B4-BE49-F238E27FC236}">
              <a16:creationId xmlns:a16="http://schemas.microsoft.com/office/drawing/2014/main" xmlns="" id="{00000000-0008-0000-1300-00001B000000}"/>
            </a:ext>
          </a:extLst>
        </xdr:cNvPr>
        <xdr:cNvSpPr>
          <a:spLocks noChangeShapeType="1"/>
        </xdr:cNvSpPr>
      </xdr:nvSpPr>
      <xdr:spPr bwMode="auto">
        <a:xfrm>
          <a:off x="2400300" y="9039225"/>
          <a:ext cx="247650" cy="0"/>
        </a:xfrm>
        <a:prstGeom prst="line">
          <a:avLst/>
        </a:prstGeom>
        <a:noFill/>
        <a:ln w="9525">
          <a:solidFill>
            <a:srgbClr val="000000"/>
          </a:solidFill>
          <a:round/>
          <a:headEnd/>
          <a:tailEnd/>
        </a:ln>
      </xdr:spPr>
    </xdr:sp>
    <xdr:clientData/>
  </xdr:twoCellAnchor>
  <xdr:twoCellAnchor>
    <xdr:from>
      <xdr:col>7</xdr:col>
      <xdr:colOff>19050</xdr:colOff>
      <xdr:row>44</xdr:row>
      <xdr:rowOff>28575</xdr:rowOff>
    </xdr:from>
    <xdr:to>
      <xdr:col>7</xdr:col>
      <xdr:colOff>95250</xdr:colOff>
      <xdr:row>44</xdr:row>
      <xdr:rowOff>28575</xdr:rowOff>
    </xdr:to>
    <xdr:sp macro="" textlink="">
      <xdr:nvSpPr>
        <xdr:cNvPr id="28" name="Line 182">
          <a:extLst>
            <a:ext uri="{FF2B5EF4-FFF2-40B4-BE49-F238E27FC236}">
              <a16:creationId xmlns:a16="http://schemas.microsoft.com/office/drawing/2014/main" xmlns="" id="{00000000-0008-0000-1300-00001C000000}"/>
            </a:ext>
          </a:extLst>
        </xdr:cNvPr>
        <xdr:cNvSpPr>
          <a:spLocks noChangeShapeType="1"/>
        </xdr:cNvSpPr>
      </xdr:nvSpPr>
      <xdr:spPr bwMode="auto">
        <a:xfrm>
          <a:off x="3000375" y="8877300"/>
          <a:ext cx="76200" cy="0"/>
        </a:xfrm>
        <a:prstGeom prst="line">
          <a:avLst/>
        </a:prstGeom>
        <a:noFill/>
        <a:ln w="9525">
          <a:solidFill>
            <a:srgbClr val="000000"/>
          </a:solidFill>
          <a:round/>
          <a:headEnd/>
          <a:tailEnd/>
        </a:ln>
      </xdr:spPr>
    </xdr:sp>
    <xdr:clientData/>
  </xdr:twoCellAnchor>
  <xdr:twoCellAnchor>
    <xdr:from>
      <xdr:col>5</xdr:col>
      <xdr:colOff>47625</xdr:colOff>
      <xdr:row>47</xdr:row>
      <xdr:rowOff>0</xdr:rowOff>
    </xdr:from>
    <xdr:to>
      <xdr:col>5</xdr:col>
      <xdr:colOff>609600</xdr:colOff>
      <xdr:row>47</xdr:row>
      <xdr:rowOff>0</xdr:rowOff>
    </xdr:to>
    <xdr:sp macro="" textlink="">
      <xdr:nvSpPr>
        <xdr:cNvPr id="29" name="Line 183">
          <a:extLst>
            <a:ext uri="{FF2B5EF4-FFF2-40B4-BE49-F238E27FC236}">
              <a16:creationId xmlns:a16="http://schemas.microsoft.com/office/drawing/2014/main" xmlns="" id="{00000000-0008-0000-1300-00001D000000}"/>
            </a:ext>
          </a:extLst>
        </xdr:cNvPr>
        <xdr:cNvSpPr>
          <a:spLocks noChangeShapeType="1"/>
        </xdr:cNvSpPr>
      </xdr:nvSpPr>
      <xdr:spPr bwMode="auto">
        <a:xfrm>
          <a:off x="2257425" y="9420225"/>
          <a:ext cx="428625" cy="0"/>
        </a:xfrm>
        <a:prstGeom prst="line">
          <a:avLst/>
        </a:prstGeom>
        <a:noFill/>
        <a:ln w="9525">
          <a:solidFill>
            <a:srgbClr val="000000"/>
          </a:solidFill>
          <a:round/>
          <a:headEnd/>
          <a:tailEnd/>
        </a:ln>
      </xdr:spPr>
    </xdr:sp>
    <xdr:clientData/>
  </xdr:twoCellAnchor>
  <xdr:twoCellAnchor>
    <xdr:from>
      <xdr:col>6</xdr:col>
      <xdr:colOff>95250</xdr:colOff>
      <xdr:row>50</xdr:row>
      <xdr:rowOff>182217</xdr:rowOff>
    </xdr:from>
    <xdr:to>
      <xdr:col>8</xdr:col>
      <xdr:colOff>168137</xdr:colOff>
      <xdr:row>52</xdr:row>
      <xdr:rowOff>163167</xdr:rowOff>
    </xdr:to>
    <xdr:sp macro="" textlink="">
      <xdr:nvSpPr>
        <xdr:cNvPr id="30" name="AutoShape 184">
          <a:extLst>
            <a:ext uri="{FF2B5EF4-FFF2-40B4-BE49-F238E27FC236}">
              <a16:creationId xmlns:a16="http://schemas.microsoft.com/office/drawing/2014/main" xmlns="" id="{00000000-0008-0000-1300-00001E000000}"/>
            </a:ext>
          </a:extLst>
        </xdr:cNvPr>
        <xdr:cNvSpPr>
          <a:spLocks noChangeArrowheads="1"/>
        </xdr:cNvSpPr>
      </xdr:nvSpPr>
      <xdr:spPr bwMode="auto">
        <a:xfrm>
          <a:off x="2781300" y="10173942"/>
          <a:ext cx="1168262" cy="361950"/>
        </a:xfrm>
        <a:prstGeom prst="bracketPair">
          <a:avLst>
            <a:gd name="adj" fmla="val 16667"/>
          </a:avLst>
        </a:prstGeom>
        <a:noFill/>
        <a:ln w="9525">
          <a:solidFill>
            <a:srgbClr val="000000"/>
          </a:solidFill>
          <a:round/>
          <a:headEnd/>
          <a:tailEnd/>
        </a:ln>
      </xdr:spPr>
    </xdr:sp>
    <xdr:clientData/>
  </xdr:twoCellAnchor>
  <xdr:twoCellAnchor>
    <xdr:from>
      <xdr:col>5</xdr:col>
      <xdr:colOff>28575</xdr:colOff>
      <xdr:row>52</xdr:row>
      <xdr:rowOff>0</xdr:rowOff>
    </xdr:from>
    <xdr:to>
      <xdr:col>5</xdr:col>
      <xdr:colOff>600075</xdr:colOff>
      <xdr:row>52</xdr:row>
      <xdr:rowOff>0</xdr:rowOff>
    </xdr:to>
    <xdr:sp macro="" textlink="">
      <xdr:nvSpPr>
        <xdr:cNvPr id="31" name="Line 186">
          <a:extLst>
            <a:ext uri="{FF2B5EF4-FFF2-40B4-BE49-F238E27FC236}">
              <a16:creationId xmlns:a16="http://schemas.microsoft.com/office/drawing/2014/main" xmlns="" id="{00000000-0008-0000-1300-00001F000000}"/>
            </a:ext>
          </a:extLst>
        </xdr:cNvPr>
        <xdr:cNvSpPr>
          <a:spLocks noChangeShapeType="1"/>
        </xdr:cNvSpPr>
      </xdr:nvSpPr>
      <xdr:spPr bwMode="auto">
        <a:xfrm>
          <a:off x="2238375" y="10372725"/>
          <a:ext cx="447675" cy="0"/>
        </a:xfrm>
        <a:prstGeom prst="line">
          <a:avLst/>
        </a:prstGeom>
        <a:noFill/>
        <a:ln w="9525">
          <a:solidFill>
            <a:srgbClr val="000000"/>
          </a:solidFill>
          <a:round/>
          <a:headEnd/>
          <a:tailEnd/>
        </a:ln>
      </xdr:spPr>
    </xdr:sp>
    <xdr:clientData/>
  </xdr:twoCellAnchor>
  <xdr:twoCellAnchor>
    <xdr:from>
      <xdr:col>6</xdr:col>
      <xdr:colOff>79927</xdr:colOff>
      <xdr:row>56</xdr:row>
      <xdr:rowOff>0</xdr:rowOff>
    </xdr:from>
    <xdr:to>
      <xdr:col>8</xdr:col>
      <xdr:colOff>152814</xdr:colOff>
      <xdr:row>57</xdr:row>
      <xdr:rowOff>171450</xdr:rowOff>
    </xdr:to>
    <xdr:sp macro="" textlink="">
      <xdr:nvSpPr>
        <xdr:cNvPr id="32" name="AutoShape 187">
          <a:extLst>
            <a:ext uri="{FF2B5EF4-FFF2-40B4-BE49-F238E27FC236}">
              <a16:creationId xmlns:a16="http://schemas.microsoft.com/office/drawing/2014/main" xmlns="" id="{00000000-0008-0000-1300-000020000000}"/>
            </a:ext>
          </a:extLst>
        </xdr:cNvPr>
        <xdr:cNvSpPr>
          <a:spLocks noChangeArrowheads="1"/>
        </xdr:cNvSpPr>
      </xdr:nvSpPr>
      <xdr:spPr bwMode="auto">
        <a:xfrm>
          <a:off x="2765977" y="11163300"/>
          <a:ext cx="1168262" cy="361950"/>
        </a:xfrm>
        <a:prstGeom prst="bracketPair">
          <a:avLst>
            <a:gd name="adj" fmla="val 16667"/>
          </a:avLst>
        </a:prstGeom>
        <a:noFill/>
        <a:ln w="9525">
          <a:solidFill>
            <a:srgbClr val="000000"/>
          </a:solidFill>
          <a:round/>
          <a:headEnd/>
          <a:tailEnd/>
        </a:ln>
      </xdr:spPr>
    </xdr:sp>
    <xdr:clientData/>
  </xdr:twoCellAnchor>
  <xdr:twoCellAnchor>
    <xdr:from>
      <xdr:col>5</xdr:col>
      <xdr:colOff>28575</xdr:colOff>
      <xdr:row>57</xdr:row>
      <xdr:rowOff>0</xdr:rowOff>
    </xdr:from>
    <xdr:to>
      <xdr:col>5</xdr:col>
      <xdr:colOff>600075</xdr:colOff>
      <xdr:row>57</xdr:row>
      <xdr:rowOff>0</xdr:rowOff>
    </xdr:to>
    <xdr:sp macro="" textlink="">
      <xdr:nvSpPr>
        <xdr:cNvPr id="33" name="Line 189">
          <a:extLst>
            <a:ext uri="{FF2B5EF4-FFF2-40B4-BE49-F238E27FC236}">
              <a16:creationId xmlns:a16="http://schemas.microsoft.com/office/drawing/2014/main" xmlns="" id="{00000000-0008-0000-1300-000021000000}"/>
            </a:ext>
          </a:extLst>
        </xdr:cNvPr>
        <xdr:cNvSpPr>
          <a:spLocks noChangeShapeType="1"/>
        </xdr:cNvSpPr>
      </xdr:nvSpPr>
      <xdr:spPr bwMode="auto">
        <a:xfrm>
          <a:off x="2238375" y="11353800"/>
          <a:ext cx="447675" cy="0"/>
        </a:xfrm>
        <a:prstGeom prst="line">
          <a:avLst/>
        </a:prstGeom>
        <a:noFill/>
        <a:ln w="9525">
          <a:solidFill>
            <a:srgbClr val="000000"/>
          </a:solidFill>
          <a:round/>
          <a:headEnd/>
          <a:tailEnd/>
        </a:ln>
      </xdr:spPr>
    </xdr:sp>
    <xdr:clientData/>
  </xdr:twoCellAnchor>
  <xdr:twoCellAnchor>
    <xdr:from>
      <xdr:col>4</xdr:col>
      <xdr:colOff>123825</xdr:colOff>
      <xdr:row>42</xdr:row>
      <xdr:rowOff>0</xdr:rowOff>
    </xdr:from>
    <xdr:to>
      <xdr:col>4</xdr:col>
      <xdr:colOff>466725</xdr:colOff>
      <xdr:row>42</xdr:row>
      <xdr:rowOff>0</xdr:rowOff>
    </xdr:to>
    <xdr:sp macro="" textlink="">
      <xdr:nvSpPr>
        <xdr:cNvPr id="34" name="Line 167">
          <a:extLst>
            <a:ext uri="{FF2B5EF4-FFF2-40B4-BE49-F238E27FC236}">
              <a16:creationId xmlns:a16="http://schemas.microsoft.com/office/drawing/2014/main" xmlns="" id="{00000000-0008-0000-1300-000022000000}"/>
            </a:ext>
          </a:extLst>
        </xdr:cNvPr>
        <xdr:cNvSpPr>
          <a:spLocks noChangeShapeType="1"/>
        </xdr:cNvSpPr>
      </xdr:nvSpPr>
      <xdr:spPr bwMode="auto">
        <a:xfrm>
          <a:off x="2009775" y="8467725"/>
          <a:ext cx="200025" cy="0"/>
        </a:xfrm>
        <a:prstGeom prst="line">
          <a:avLst/>
        </a:prstGeom>
        <a:noFill/>
        <a:ln w="9525">
          <a:solidFill>
            <a:srgbClr val="000000"/>
          </a:solidFill>
          <a:round/>
          <a:headEnd/>
          <a:tailEnd/>
        </a:ln>
      </xdr:spPr>
    </xdr:sp>
    <xdr:clientData/>
  </xdr:twoCellAnchor>
  <xdr:twoCellAnchor>
    <xdr:from>
      <xdr:col>3</xdr:col>
      <xdr:colOff>390525</xdr:colOff>
      <xdr:row>78</xdr:row>
      <xdr:rowOff>19050</xdr:rowOff>
    </xdr:from>
    <xdr:to>
      <xdr:col>3</xdr:col>
      <xdr:colOff>485775</xdr:colOff>
      <xdr:row>78</xdr:row>
      <xdr:rowOff>19050</xdr:rowOff>
    </xdr:to>
    <xdr:sp macro="" textlink="">
      <xdr:nvSpPr>
        <xdr:cNvPr id="35" name="Line 178">
          <a:extLst>
            <a:ext uri="{FF2B5EF4-FFF2-40B4-BE49-F238E27FC236}">
              <a16:creationId xmlns:a16="http://schemas.microsoft.com/office/drawing/2014/main" xmlns="" id="{00000000-0008-0000-1300-000023000000}"/>
            </a:ext>
          </a:extLst>
        </xdr:cNvPr>
        <xdr:cNvSpPr>
          <a:spLocks noChangeShapeType="1"/>
        </xdr:cNvSpPr>
      </xdr:nvSpPr>
      <xdr:spPr bwMode="auto">
        <a:xfrm>
          <a:off x="1657350" y="15411450"/>
          <a:ext cx="95250" cy="0"/>
        </a:xfrm>
        <a:prstGeom prst="line">
          <a:avLst/>
        </a:prstGeom>
        <a:noFill/>
        <a:ln w="9525">
          <a:solidFill>
            <a:srgbClr val="000000"/>
          </a:solidFill>
          <a:round/>
          <a:headEnd/>
          <a:tailEnd/>
        </a:ln>
      </xdr:spPr>
    </xdr:sp>
    <xdr:clientData/>
  </xdr:twoCellAnchor>
  <xdr:twoCellAnchor>
    <xdr:from>
      <xdr:col>4</xdr:col>
      <xdr:colOff>123825</xdr:colOff>
      <xdr:row>79</xdr:row>
      <xdr:rowOff>0</xdr:rowOff>
    </xdr:from>
    <xdr:to>
      <xdr:col>4</xdr:col>
      <xdr:colOff>466725</xdr:colOff>
      <xdr:row>79</xdr:row>
      <xdr:rowOff>0</xdr:rowOff>
    </xdr:to>
    <xdr:sp macro="" textlink="">
      <xdr:nvSpPr>
        <xdr:cNvPr id="36" name="Line 179">
          <a:extLst>
            <a:ext uri="{FF2B5EF4-FFF2-40B4-BE49-F238E27FC236}">
              <a16:creationId xmlns:a16="http://schemas.microsoft.com/office/drawing/2014/main" xmlns="" id="{00000000-0008-0000-1300-000024000000}"/>
            </a:ext>
          </a:extLst>
        </xdr:cNvPr>
        <xdr:cNvSpPr>
          <a:spLocks noChangeShapeType="1"/>
        </xdr:cNvSpPr>
      </xdr:nvSpPr>
      <xdr:spPr bwMode="auto">
        <a:xfrm>
          <a:off x="2009775" y="15582900"/>
          <a:ext cx="200025" cy="0"/>
        </a:xfrm>
        <a:prstGeom prst="line">
          <a:avLst/>
        </a:prstGeom>
        <a:noFill/>
        <a:ln w="9525">
          <a:solidFill>
            <a:srgbClr val="000000"/>
          </a:solidFill>
          <a:round/>
          <a:headEnd/>
          <a:tailEnd/>
        </a:ln>
      </xdr:spPr>
    </xdr:sp>
    <xdr:clientData/>
  </xdr:twoCellAnchor>
  <xdr:twoCellAnchor>
    <xdr:from>
      <xdr:col>7</xdr:col>
      <xdr:colOff>57150</xdr:colOff>
      <xdr:row>79</xdr:row>
      <xdr:rowOff>0</xdr:rowOff>
    </xdr:from>
    <xdr:to>
      <xdr:col>7</xdr:col>
      <xdr:colOff>609600</xdr:colOff>
      <xdr:row>79</xdr:row>
      <xdr:rowOff>0</xdr:rowOff>
    </xdr:to>
    <xdr:sp macro="" textlink="">
      <xdr:nvSpPr>
        <xdr:cNvPr id="37" name="Line 180">
          <a:extLst>
            <a:ext uri="{FF2B5EF4-FFF2-40B4-BE49-F238E27FC236}">
              <a16:creationId xmlns:a16="http://schemas.microsoft.com/office/drawing/2014/main" xmlns="" id="{00000000-0008-0000-1300-000025000000}"/>
            </a:ext>
          </a:extLst>
        </xdr:cNvPr>
        <xdr:cNvSpPr>
          <a:spLocks noChangeShapeType="1"/>
        </xdr:cNvSpPr>
      </xdr:nvSpPr>
      <xdr:spPr bwMode="auto">
        <a:xfrm>
          <a:off x="3038475" y="15582900"/>
          <a:ext cx="552450" cy="0"/>
        </a:xfrm>
        <a:prstGeom prst="line">
          <a:avLst/>
        </a:prstGeom>
        <a:noFill/>
        <a:ln w="9525">
          <a:solidFill>
            <a:srgbClr val="000000"/>
          </a:solidFill>
          <a:round/>
          <a:headEnd/>
          <a:tailEnd/>
        </a:ln>
      </xdr:spPr>
    </xdr:sp>
    <xdr:clientData/>
  </xdr:twoCellAnchor>
  <xdr:twoCellAnchor>
    <xdr:from>
      <xdr:col>5</xdr:col>
      <xdr:colOff>190500</xdr:colOff>
      <xdr:row>82</xdr:row>
      <xdr:rowOff>0</xdr:rowOff>
    </xdr:from>
    <xdr:to>
      <xdr:col>5</xdr:col>
      <xdr:colOff>438150</xdr:colOff>
      <xdr:row>82</xdr:row>
      <xdr:rowOff>0</xdr:rowOff>
    </xdr:to>
    <xdr:sp macro="" textlink="">
      <xdr:nvSpPr>
        <xdr:cNvPr id="38" name="Line 181">
          <a:extLst>
            <a:ext uri="{FF2B5EF4-FFF2-40B4-BE49-F238E27FC236}">
              <a16:creationId xmlns:a16="http://schemas.microsoft.com/office/drawing/2014/main" xmlns="" id="{00000000-0008-0000-1300-000026000000}"/>
            </a:ext>
          </a:extLst>
        </xdr:cNvPr>
        <xdr:cNvSpPr>
          <a:spLocks noChangeShapeType="1"/>
        </xdr:cNvSpPr>
      </xdr:nvSpPr>
      <xdr:spPr bwMode="auto">
        <a:xfrm>
          <a:off x="2400300" y="16154400"/>
          <a:ext cx="247650" cy="0"/>
        </a:xfrm>
        <a:prstGeom prst="line">
          <a:avLst/>
        </a:prstGeom>
        <a:noFill/>
        <a:ln w="9525">
          <a:solidFill>
            <a:srgbClr val="000000"/>
          </a:solidFill>
          <a:round/>
          <a:headEnd/>
          <a:tailEnd/>
        </a:ln>
      </xdr:spPr>
    </xdr:sp>
    <xdr:clientData/>
  </xdr:twoCellAnchor>
  <xdr:twoCellAnchor>
    <xdr:from>
      <xdr:col>7</xdr:col>
      <xdr:colOff>19050</xdr:colOff>
      <xdr:row>81</xdr:row>
      <xdr:rowOff>28575</xdr:rowOff>
    </xdr:from>
    <xdr:to>
      <xdr:col>7</xdr:col>
      <xdr:colOff>95250</xdr:colOff>
      <xdr:row>81</xdr:row>
      <xdr:rowOff>28575</xdr:rowOff>
    </xdr:to>
    <xdr:sp macro="" textlink="">
      <xdr:nvSpPr>
        <xdr:cNvPr id="39" name="Line 182">
          <a:extLst>
            <a:ext uri="{FF2B5EF4-FFF2-40B4-BE49-F238E27FC236}">
              <a16:creationId xmlns:a16="http://schemas.microsoft.com/office/drawing/2014/main" xmlns="" id="{00000000-0008-0000-1300-000027000000}"/>
            </a:ext>
          </a:extLst>
        </xdr:cNvPr>
        <xdr:cNvSpPr>
          <a:spLocks noChangeShapeType="1"/>
        </xdr:cNvSpPr>
      </xdr:nvSpPr>
      <xdr:spPr bwMode="auto">
        <a:xfrm>
          <a:off x="3000375" y="15992475"/>
          <a:ext cx="76200" cy="0"/>
        </a:xfrm>
        <a:prstGeom prst="line">
          <a:avLst/>
        </a:prstGeom>
        <a:noFill/>
        <a:ln w="9525">
          <a:solidFill>
            <a:srgbClr val="000000"/>
          </a:solidFill>
          <a:round/>
          <a:headEnd/>
          <a:tailEnd/>
        </a:ln>
      </xdr:spPr>
    </xdr:sp>
    <xdr:clientData/>
  </xdr:twoCellAnchor>
  <xdr:twoCellAnchor>
    <xdr:from>
      <xdr:col>5</xdr:col>
      <xdr:colOff>47625</xdr:colOff>
      <xdr:row>84</xdr:row>
      <xdr:rowOff>0</xdr:rowOff>
    </xdr:from>
    <xdr:to>
      <xdr:col>5</xdr:col>
      <xdr:colOff>609600</xdr:colOff>
      <xdr:row>84</xdr:row>
      <xdr:rowOff>0</xdr:rowOff>
    </xdr:to>
    <xdr:sp macro="" textlink="">
      <xdr:nvSpPr>
        <xdr:cNvPr id="40" name="Line 183">
          <a:extLst>
            <a:ext uri="{FF2B5EF4-FFF2-40B4-BE49-F238E27FC236}">
              <a16:creationId xmlns:a16="http://schemas.microsoft.com/office/drawing/2014/main" xmlns="" id="{00000000-0008-0000-1300-000028000000}"/>
            </a:ext>
          </a:extLst>
        </xdr:cNvPr>
        <xdr:cNvSpPr>
          <a:spLocks noChangeShapeType="1"/>
        </xdr:cNvSpPr>
      </xdr:nvSpPr>
      <xdr:spPr bwMode="auto">
        <a:xfrm>
          <a:off x="2257425" y="16535400"/>
          <a:ext cx="428625" cy="0"/>
        </a:xfrm>
        <a:prstGeom prst="line">
          <a:avLst/>
        </a:prstGeom>
        <a:noFill/>
        <a:ln w="9525">
          <a:solidFill>
            <a:srgbClr val="000000"/>
          </a:solidFill>
          <a:round/>
          <a:headEnd/>
          <a:tailEnd/>
        </a:ln>
      </xdr:spPr>
    </xdr:sp>
    <xdr:clientData/>
  </xdr:twoCellAnchor>
  <xdr:twoCellAnchor>
    <xdr:from>
      <xdr:col>6</xdr:col>
      <xdr:colOff>95250</xdr:colOff>
      <xdr:row>87</xdr:row>
      <xdr:rowOff>182217</xdr:rowOff>
    </xdr:from>
    <xdr:to>
      <xdr:col>8</xdr:col>
      <xdr:colOff>168137</xdr:colOff>
      <xdr:row>89</xdr:row>
      <xdr:rowOff>163167</xdr:rowOff>
    </xdr:to>
    <xdr:sp macro="" textlink="">
      <xdr:nvSpPr>
        <xdr:cNvPr id="41" name="AutoShape 184">
          <a:extLst>
            <a:ext uri="{FF2B5EF4-FFF2-40B4-BE49-F238E27FC236}">
              <a16:creationId xmlns:a16="http://schemas.microsoft.com/office/drawing/2014/main" xmlns="" id="{00000000-0008-0000-1300-000029000000}"/>
            </a:ext>
          </a:extLst>
        </xdr:cNvPr>
        <xdr:cNvSpPr>
          <a:spLocks noChangeArrowheads="1"/>
        </xdr:cNvSpPr>
      </xdr:nvSpPr>
      <xdr:spPr bwMode="auto">
        <a:xfrm>
          <a:off x="2781300" y="17289117"/>
          <a:ext cx="1168262" cy="361950"/>
        </a:xfrm>
        <a:prstGeom prst="bracketPair">
          <a:avLst>
            <a:gd name="adj" fmla="val 16667"/>
          </a:avLst>
        </a:prstGeom>
        <a:noFill/>
        <a:ln w="9525">
          <a:solidFill>
            <a:srgbClr val="000000"/>
          </a:solidFill>
          <a:round/>
          <a:headEnd/>
          <a:tailEnd/>
        </a:ln>
      </xdr:spPr>
    </xdr:sp>
    <xdr:clientData/>
  </xdr:twoCellAnchor>
  <xdr:twoCellAnchor>
    <xdr:from>
      <xdr:col>5</xdr:col>
      <xdr:colOff>28575</xdr:colOff>
      <xdr:row>89</xdr:row>
      <xdr:rowOff>0</xdr:rowOff>
    </xdr:from>
    <xdr:to>
      <xdr:col>5</xdr:col>
      <xdr:colOff>600075</xdr:colOff>
      <xdr:row>89</xdr:row>
      <xdr:rowOff>0</xdr:rowOff>
    </xdr:to>
    <xdr:sp macro="" textlink="">
      <xdr:nvSpPr>
        <xdr:cNvPr id="42" name="Line 186">
          <a:extLst>
            <a:ext uri="{FF2B5EF4-FFF2-40B4-BE49-F238E27FC236}">
              <a16:creationId xmlns:a16="http://schemas.microsoft.com/office/drawing/2014/main" xmlns="" id="{00000000-0008-0000-1300-00002A000000}"/>
            </a:ext>
          </a:extLst>
        </xdr:cNvPr>
        <xdr:cNvSpPr>
          <a:spLocks noChangeShapeType="1"/>
        </xdr:cNvSpPr>
      </xdr:nvSpPr>
      <xdr:spPr bwMode="auto">
        <a:xfrm>
          <a:off x="2238375" y="17487900"/>
          <a:ext cx="447675" cy="0"/>
        </a:xfrm>
        <a:prstGeom prst="line">
          <a:avLst/>
        </a:prstGeom>
        <a:noFill/>
        <a:ln w="9525">
          <a:solidFill>
            <a:srgbClr val="000000"/>
          </a:solidFill>
          <a:round/>
          <a:headEnd/>
          <a:tailEnd/>
        </a:ln>
      </xdr:spPr>
    </xdr:sp>
    <xdr:clientData/>
  </xdr:twoCellAnchor>
  <xdr:twoCellAnchor>
    <xdr:from>
      <xdr:col>6</xdr:col>
      <xdr:colOff>79927</xdr:colOff>
      <xdr:row>94</xdr:row>
      <xdr:rowOff>0</xdr:rowOff>
    </xdr:from>
    <xdr:to>
      <xdr:col>8</xdr:col>
      <xdr:colOff>152814</xdr:colOff>
      <xdr:row>95</xdr:row>
      <xdr:rowOff>171450</xdr:rowOff>
    </xdr:to>
    <xdr:sp macro="" textlink="">
      <xdr:nvSpPr>
        <xdr:cNvPr id="43" name="AutoShape 187">
          <a:extLst>
            <a:ext uri="{FF2B5EF4-FFF2-40B4-BE49-F238E27FC236}">
              <a16:creationId xmlns:a16="http://schemas.microsoft.com/office/drawing/2014/main" xmlns="" id="{00000000-0008-0000-1300-00002B000000}"/>
            </a:ext>
          </a:extLst>
        </xdr:cNvPr>
        <xdr:cNvSpPr>
          <a:spLocks noChangeArrowheads="1"/>
        </xdr:cNvSpPr>
      </xdr:nvSpPr>
      <xdr:spPr bwMode="auto">
        <a:xfrm>
          <a:off x="2765977" y="18468975"/>
          <a:ext cx="1168262" cy="361950"/>
        </a:xfrm>
        <a:prstGeom prst="bracketPair">
          <a:avLst>
            <a:gd name="adj" fmla="val 16667"/>
          </a:avLst>
        </a:prstGeom>
        <a:noFill/>
        <a:ln w="9525">
          <a:solidFill>
            <a:srgbClr val="000000"/>
          </a:solidFill>
          <a:round/>
          <a:headEnd/>
          <a:tailEnd/>
        </a:ln>
      </xdr:spPr>
    </xdr:sp>
    <xdr:clientData/>
  </xdr:twoCellAnchor>
  <xdr:twoCellAnchor>
    <xdr:from>
      <xdr:col>5</xdr:col>
      <xdr:colOff>28575</xdr:colOff>
      <xdr:row>95</xdr:row>
      <xdr:rowOff>0</xdr:rowOff>
    </xdr:from>
    <xdr:to>
      <xdr:col>5</xdr:col>
      <xdr:colOff>600075</xdr:colOff>
      <xdr:row>95</xdr:row>
      <xdr:rowOff>0</xdr:rowOff>
    </xdr:to>
    <xdr:sp macro="" textlink="">
      <xdr:nvSpPr>
        <xdr:cNvPr id="44" name="Line 189">
          <a:extLst>
            <a:ext uri="{FF2B5EF4-FFF2-40B4-BE49-F238E27FC236}">
              <a16:creationId xmlns:a16="http://schemas.microsoft.com/office/drawing/2014/main" xmlns="" id="{00000000-0008-0000-1300-00002C000000}"/>
            </a:ext>
          </a:extLst>
        </xdr:cNvPr>
        <xdr:cNvSpPr>
          <a:spLocks noChangeShapeType="1"/>
        </xdr:cNvSpPr>
      </xdr:nvSpPr>
      <xdr:spPr bwMode="auto">
        <a:xfrm>
          <a:off x="2238375" y="18659475"/>
          <a:ext cx="447675" cy="0"/>
        </a:xfrm>
        <a:prstGeom prst="line">
          <a:avLst/>
        </a:prstGeom>
        <a:noFill/>
        <a:ln w="9525">
          <a:solidFill>
            <a:srgbClr val="000000"/>
          </a:solidFill>
          <a:round/>
          <a:headEnd/>
          <a:tailEnd/>
        </a:ln>
      </xdr:spPr>
    </xdr:sp>
    <xdr:clientData/>
  </xdr:twoCellAnchor>
  <xdr:twoCellAnchor>
    <xdr:from>
      <xdr:col>4</xdr:col>
      <xdr:colOff>123825</xdr:colOff>
      <xdr:row>79</xdr:row>
      <xdr:rowOff>0</xdr:rowOff>
    </xdr:from>
    <xdr:to>
      <xdr:col>4</xdr:col>
      <xdr:colOff>466725</xdr:colOff>
      <xdr:row>79</xdr:row>
      <xdr:rowOff>0</xdr:rowOff>
    </xdr:to>
    <xdr:sp macro="" textlink="">
      <xdr:nvSpPr>
        <xdr:cNvPr id="45" name="Line 167">
          <a:extLst>
            <a:ext uri="{FF2B5EF4-FFF2-40B4-BE49-F238E27FC236}">
              <a16:creationId xmlns:a16="http://schemas.microsoft.com/office/drawing/2014/main" xmlns="" id="{00000000-0008-0000-1300-00002D000000}"/>
            </a:ext>
          </a:extLst>
        </xdr:cNvPr>
        <xdr:cNvSpPr>
          <a:spLocks noChangeShapeType="1"/>
        </xdr:cNvSpPr>
      </xdr:nvSpPr>
      <xdr:spPr bwMode="auto">
        <a:xfrm>
          <a:off x="2009775" y="15582900"/>
          <a:ext cx="200025" cy="0"/>
        </a:xfrm>
        <a:prstGeom prst="line">
          <a:avLst/>
        </a:prstGeom>
        <a:noFill/>
        <a:ln w="9525">
          <a:solidFill>
            <a:srgbClr val="000000"/>
          </a:solidFill>
          <a:round/>
          <a:headEnd/>
          <a:tailEnd/>
        </a:ln>
      </xdr:spPr>
    </xdr:sp>
    <xdr:clientData/>
  </xdr:twoCellAnchor>
  <xdr:twoCellAnchor>
    <xdr:from>
      <xdr:col>7</xdr:col>
      <xdr:colOff>619125</xdr:colOff>
      <xdr:row>15</xdr:row>
      <xdr:rowOff>5796</xdr:rowOff>
    </xdr:from>
    <xdr:to>
      <xdr:col>8</xdr:col>
      <xdr:colOff>19050</xdr:colOff>
      <xdr:row>16</xdr:row>
      <xdr:rowOff>55492</xdr:rowOff>
    </xdr:to>
    <xdr:sp macro="" textlink="">
      <xdr:nvSpPr>
        <xdr:cNvPr id="46" name="Oval 45">
          <a:extLst>
            <a:ext uri="{FF2B5EF4-FFF2-40B4-BE49-F238E27FC236}">
              <a16:creationId xmlns:a16="http://schemas.microsoft.com/office/drawing/2014/main" xmlns="" id="{00000000-0008-0000-1300-00002E000000}"/>
            </a:ext>
          </a:extLst>
        </xdr:cNvPr>
        <xdr:cNvSpPr/>
      </xdr:nvSpPr>
      <xdr:spPr>
        <a:xfrm>
          <a:off x="3600450" y="3320496"/>
          <a:ext cx="200025" cy="240196"/>
        </a:xfrm>
        <a:prstGeom prst="ellipse">
          <a:avLst/>
        </a:prstGeom>
        <a:solidFill>
          <a:schemeClr val="lt1">
            <a:alpha val="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16</xdr:row>
      <xdr:rowOff>0</xdr:rowOff>
    </xdr:from>
    <xdr:to>
      <xdr:col>6</xdr:col>
      <xdr:colOff>594360</xdr:colOff>
      <xdr:row>27</xdr:row>
      <xdr:rowOff>15240</xdr:rowOff>
    </xdr:to>
    <xdr:sp macro="" textlink="">
      <xdr:nvSpPr>
        <xdr:cNvPr id="2" name="Line 2">
          <a:extLst>
            <a:ext uri="{FF2B5EF4-FFF2-40B4-BE49-F238E27FC236}">
              <a16:creationId xmlns:a16="http://schemas.microsoft.com/office/drawing/2014/main" xmlns="" id="{729B6235-BABD-44F8-8E24-005C7DBFA595}"/>
            </a:ext>
          </a:extLst>
        </xdr:cNvPr>
        <xdr:cNvSpPr>
          <a:spLocks noChangeShapeType="1"/>
        </xdr:cNvSpPr>
      </xdr:nvSpPr>
      <xdr:spPr bwMode="auto">
        <a:xfrm flipH="1" flipV="1">
          <a:off x="3048000" y="1493520"/>
          <a:ext cx="1203960" cy="1866900"/>
        </a:xfrm>
        <a:prstGeom prst="line">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xdr:from>
      <xdr:col>7</xdr:col>
      <xdr:colOff>289560</xdr:colOff>
      <xdr:row>16</xdr:row>
      <xdr:rowOff>7620</xdr:rowOff>
    </xdr:from>
    <xdr:to>
      <xdr:col>7</xdr:col>
      <xdr:colOff>289560</xdr:colOff>
      <xdr:row>20</xdr:row>
      <xdr:rowOff>121920</xdr:rowOff>
    </xdr:to>
    <xdr:sp macro="" textlink="">
      <xdr:nvSpPr>
        <xdr:cNvPr id="3" name="Line 11">
          <a:extLst>
            <a:ext uri="{FF2B5EF4-FFF2-40B4-BE49-F238E27FC236}">
              <a16:creationId xmlns:a16="http://schemas.microsoft.com/office/drawing/2014/main" xmlns="" id="{D0BB8F7C-5C53-4B06-B57E-8D90D342872D}"/>
            </a:ext>
          </a:extLst>
        </xdr:cNvPr>
        <xdr:cNvSpPr>
          <a:spLocks noChangeShapeType="1"/>
        </xdr:cNvSpPr>
      </xdr:nvSpPr>
      <xdr:spPr bwMode="auto">
        <a:xfrm flipV="1">
          <a:off x="4556760" y="1501140"/>
          <a:ext cx="0" cy="78486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clientData/>
  </xdr:twoCellAnchor>
  <xdr:twoCellAnchor>
    <xdr:from>
      <xdr:col>7</xdr:col>
      <xdr:colOff>289560</xdr:colOff>
      <xdr:row>22</xdr:row>
      <xdr:rowOff>30480</xdr:rowOff>
    </xdr:from>
    <xdr:to>
      <xdr:col>7</xdr:col>
      <xdr:colOff>289560</xdr:colOff>
      <xdr:row>26</xdr:row>
      <xdr:rowOff>137160</xdr:rowOff>
    </xdr:to>
    <xdr:sp macro="" textlink="">
      <xdr:nvSpPr>
        <xdr:cNvPr id="4" name="Line 11">
          <a:extLst>
            <a:ext uri="{FF2B5EF4-FFF2-40B4-BE49-F238E27FC236}">
              <a16:creationId xmlns:a16="http://schemas.microsoft.com/office/drawing/2014/main" xmlns="" id="{3C7A1AEA-B7DB-4FDA-82EC-BFA3DB9DE5D7}"/>
            </a:ext>
          </a:extLst>
        </xdr:cNvPr>
        <xdr:cNvSpPr>
          <a:spLocks noChangeShapeType="1"/>
        </xdr:cNvSpPr>
      </xdr:nvSpPr>
      <xdr:spPr bwMode="auto">
        <a:xfrm>
          <a:off x="4556760" y="2529840"/>
          <a:ext cx="0" cy="77724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clientData/>
  </xdr:twoCellAnchor>
  <xdr:twoCellAnchor>
    <xdr:from>
      <xdr:col>3</xdr:col>
      <xdr:colOff>289560</xdr:colOff>
      <xdr:row>15</xdr:row>
      <xdr:rowOff>91440</xdr:rowOff>
    </xdr:from>
    <xdr:to>
      <xdr:col>3</xdr:col>
      <xdr:colOff>579120</xdr:colOff>
      <xdr:row>15</xdr:row>
      <xdr:rowOff>91440</xdr:rowOff>
    </xdr:to>
    <xdr:sp macro="" textlink="">
      <xdr:nvSpPr>
        <xdr:cNvPr id="5" name="Line 6">
          <a:extLst>
            <a:ext uri="{FF2B5EF4-FFF2-40B4-BE49-F238E27FC236}">
              <a16:creationId xmlns:a16="http://schemas.microsoft.com/office/drawing/2014/main" xmlns="" id="{188030B8-7DF4-467A-AEAB-4B2301E07B68}"/>
            </a:ext>
          </a:extLst>
        </xdr:cNvPr>
        <xdr:cNvSpPr>
          <a:spLocks noChangeShapeType="1"/>
        </xdr:cNvSpPr>
      </xdr:nvSpPr>
      <xdr:spPr bwMode="auto">
        <a:xfrm>
          <a:off x="2118360" y="1409700"/>
          <a:ext cx="289560" cy="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clientData/>
  </xdr:twoCellAnchor>
  <xdr:twoCellAnchor>
    <xdr:from>
      <xdr:col>5</xdr:col>
      <xdr:colOff>22860</xdr:colOff>
      <xdr:row>15</xdr:row>
      <xdr:rowOff>91440</xdr:rowOff>
    </xdr:from>
    <xdr:to>
      <xdr:col>5</xdr:col>
      <xdr:colOff>312420</xdr:colOff>
      <xdr:row>15</xdr:row>
      <xdr:rowOff>91440</xdr:rowOff>
    </xdr:to>
    <xdr:sp macro="" textlink="">
      <xdr:nvSpPr>
        <xdr:cNvPr id="6" name="Line 6">
          <a:extLst>
            <a:ext uri="{FF2B5EF4-FFF2-40B4-BE49-F238E27FC236}">
              <a16:creationId xmlns:a16="http://schemas.microsoft.com/office/drawing/2014/main" xmlns="" id="{99E35799-6242-4988-B985-3ED4367C54E2}"/>
            </a:ext>
          </a:extLst>
        </xdr:cNvPr>
        <xdr:cNvSpPr>
          <a:spLocks noChangeShapeType="1"/>
        </xdr:cNvSpPr>
      </xdr:nvSpPr>
      <xdr:spPr bwMode="auto">
        <a:xfrm flipH="1">
          <a:off x="3070860" y="1409700"/>
          <a:ext cx="289560" cy="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clientData/>
  </xdr:twoCellAnchor>
  <xdr:twoCellAnchor>
    <xdr:from>
      <xdr:col>5</xdr:col>
      <xdr:colOff>541020</xdr:colOff>
      <xdr:row>26</xdr:row>
      <xdr:rowOff>76200</xdr:rowOff>
    </xdr:from>
    <xdr:to>
      <xdr:col>6</xdr:col>
      <xdr:colOff>472440</xdr:colOff>
      <xdr:row>26</xdr:row>
      <xdr:rowOff>83820</xdr:rowOff>
    </xdr:to>
    <xdr:sp macro="" textlink="">
      <xdr:nvSpPr>
        <xdr:cNvPr id="7" name="Line 6">
          <a:extLst>
            <a:ext uri="{FF2B5EF4-FFF2-40B4-BE49-F238E27FC236}">
              <a16:creationId xmlns:a16="http://schemas.microsoft.com/office/drawing/2014/main" xmlns="" id="{7BE0CFC2-D94B-4692-90F0-E9A4E5EF848A}"/>
            </a:ext>
          </a:extLst>
        </xdr:cNvPr>
        <xdr:cNvSpPr>
          <a:spLocks noChangeShapeType="1"/>
        </xdr:cNvSpPr>
      </xdr:nvSpPr>
      <xdr:spPr bwMode="auto">
        <a:xfrm flipV="1">
          <a:off x="3589020" y="3246120"/>
          <a:ext cx="54102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clientData/>
  </xdr:twoCellAnchor>
  <xdr:twoCellAnchor>
    <xdr:from>
      <xdr:col>4</xdr:col>
      <xdr:colOff>0</xdr:colOff>
      <xdr:row>26</xdr:row>
      <xdr:rowOff>76200</xdr:rowOff>
    </xdr:from>
    <xdr:to>
      <xdr:col>4</xdr:col>
      <xdr:colOff>586740</xdr:colOff>
      <xdr:row>26</xdr:row>
      <xdr:rowOff>76200</xdr:rowOff>
    </xdr:to>
    <xdr:sp macro="" textlink="">
      <xdr:nvSpPr>
        <xdr:cNvPr id="8" name="Line 6">
          <a:extLst>
            <a:ext uri="{FF2B5EF4-FFF2-40B4-BE49-F238E27FC236}">
              <a16:creationId xmlns:a16="http://schemas.microsoft.com/office/drawing/2014/main" xmlns="" id="{3E4E014F-3B6A-4901-889A-A4C5D9CF1EE0}"/>
            </a:ext>
          </a:extLst>
        </xdr:cNvPr>
        <xdr:cNvSpPr>
          <a:spLocks noChangeShapeType="1"/>
        </xdr:cNvSpPr>
      </xdr:nvSpPr>
      <xdr:spPr bwMode="auto">
        <a:xfrm flipH="1" flipV="1">
          <a:off x="2438400" y="3246120"/>
          <a:ext cx="586740" cy="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clientData/>
  </xdr:twoCellAnchor>
  <xdr:twoCellAnchor editAs="oneCell">
    <xdr:from>
      <xdr:col>0</xdr:col>
      <xdr:colOff>0</xdr:colOff>
      <xdr:row>1</xdr:row>
      <xdr:rowOff>478464</xdr:rowOff>
    </xdr:from>
    <xdr:to>
      <xdr:col>10</xdr:col>
      <xdr:colOff>443024</xdr:colOff>
      <xdr:row>11</xdr:row>
      <xdr:rowOff>26580</xdr:rowOff>
    </xdr:to>
    <xdr:pic>
      <xdr:nvPicPr>
        <xdr:cNvPr id="10" name="Picture 9">
          <a:extLst>
            <a:ext uri="{FF2B5EF4-FFF2-40B4-BE49-F238E27FC236}">
              <a16:creationId xmlns:a16="http://schemas.microsoft.com/office/drawing/2014/main" xmlns="" id="{DFA684CA-E942-3C9E-5DFB-2BCB37927F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646813"/>
          <a:ext cx="6432698" cy="4332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12700</xdr:colOff>
      <xdr:row>30</xdr:row>
      <xdr:rowOff>24136</xdr:rowOff>
    </xdr:to>
    <xdr:pic>
      <xdr:nvPicPr>
        <xdr:cNvPr id="3" name="Picture 2">
          <a:extLst>
            <a:ext uri="{FF2B5EF4-FFF2-40B4-BE49-F238E27FC236}">
              <a16:creationId xmlns:a16="http://schemas.microsoft.com/office/drawing/2014/main" xmlns="" id="{27141517-1097-5695-C897-468F16EC9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7772400" cy="4885696"/>
        </a:xfrm>
        <a:prstGeom prst="rect">
          <a:avLst/>
        </a:prstGeom>
      </xdr:spPr>
    </xdr:pic>
    <xdr:clientData/>
  </xdr:twoCellAnchor>
  <xdr:twoCellAnchor editAs="oneCell">
    <xdr:from>
      <xdr:col>0</xdr:col>
      <xdr:colOff>0</xdr:colOff>
      <xdr:row>30</xdr:row>
      <xdr:rowOff>0</xdr:rowOff>
    </xdr:from>
    <xdr:to>
      <xdr:col>13</xdr:col>
      <xdr:colOff>12700</xdr:colOff>
      <xdr:row>63</xdr:row>
      <xdr:rowOff>36905</xdr:rowOff>
    </xdr:to>
    <xdr:pic>
      <xdr:nvPicPr>
        <xdr:cNvPr id="5" name="Picture 4">
          <a:extLst>
            <a:ext uri="{FF2B5EF4-FFF2-40B4-BE49-F238E27FC236}">
              <a16:creationId xmlns:a16="http://schemas.microsoft.com/office/drawing/2014/main" xmlns="" id="{F995652D-BB4A-101E-ACEC-B3ECF77071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5029200"/>
          <a:ext cx="7772400" cy="5401385"/>
        </a:xfrm>
        <a:prstGeom prst="rect">
          <a:avLst/>
        </a:prstGeom>
      </xdr:spPr>
    </xdr:pic>
    <xdr:clientData/>
  </xdr:twoCellAnchor>
  <xdr:twoCellAnchor editAs="oneCell">
    <xdr:from>
      <xdr:col>0</xdr:col>
      <xdr:colOff>0</xdr:colOff>
      <xdr:row>96</xdr:row>
      <xdr:rowOff>0</xdr:rowOff>
    </xdr:from>
    <xdr:to>
      <xdr:col>13</xdr:col>
      <xdr:colOff>31750</xdr:colOff>
      <xdr:row>132</xdr:row>
      <xdr:rowOff>69109</xdr:rowOff>
    </xdr:to>
    <xdr:pic>
      <xdr:nvPicPr>
        <xdr:cNvPr id="9" name="Picture 8">
          <a:extLst>
            <a:ext uri="{FF2B5EF4-FFF2-40B4-BE49-F238E27FC236}">
              <a16:creationId xmlns:a16="http://schemas.microsoft.com/office/drawing/2014/main" xmlns="" id="{A338E0E4-AE31-09C0-359E-766D909713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0" y="14795500"/>
          <a:ext cx="7715250" cy="5784109"/>
        </a:xfrm>
        <a:prstGeom prst="rect">
          <a:avLst/>
        </a:prstGeom>
      </xdr:spPr>
    </xdr:pic>
    <xdr:clientData/>
  </xdr:twoCellAnchor>
  <xdr:twoCellAnchor editAs="oneCell">
    <xdr:from>
      <xdr:col>0</xdr:col>
      <xdr:colOff>0</xdr:colOff>
      <xdr:row>63</xdr:row>
      <xdr:rowOff>31750</xdr:rowOff>
    </xdr:from>
    <xdr:to>
      <xdr:col>12</xdr:col>
      <xdr:colOff>435879</xdr:colOff>
      <xdr:row>96</xdr:row>
      <xdr:rowOff>55077</xdr:rowOff>
    </xdr:to>
    <xdr:pic>
      <xdr:nvPicPr>
        <xdr:cNvPr id="7" name="Picture 6">
          <a:extLst>
            <a:ext uri="{FF2B5EF4-FFF2-40B4-BE49-F238E27FC236}">
              <a16:creationId xmlns:a16="http://schemas.microsoft.com/office/drawing/2014/main" xmlns="" id="{20FD37B1-CB0B-E018-B596-FF62F6B2C1E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0" y="9715500"/>
          <a:ext cx="7674879" cy="51350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E%205/2012/March/user/ISRMC/Super%20Passage@159.700%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khada\Downloads\CBN%20GENL\NS%20DEE\Dat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ELL/Desktop/morthdrawingsslrbdesignandestimate/CBN%20GENL/NS%20DEE/Da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EE%205/2012/March/user/kuttiyadi%20hep/kutti%20trc/trc%20desig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AEE%205/2012/March/user/kuttiyadi%20hep/kutti%20trc/trc%20desig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rcdatacenter\ActivePrj\BandIP\CTI\Design\Geotech\KTS\turial%20hep\Sainj%20HEP\Sainj-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rcdatacenter\ActivePrj\BandIP\CTI\Design\Geotech\Bds\Operating\SALPG\Well%20Design\Wel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dell/Downloads/Documents%20and%20Settings/nid57201/Desktop/Copy%20of%20(F)%20Retaining%20%20Wall%20ROB%20I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dell\Downloads\Documents%20and%20Settings\nid57201\Desktop\Copy%20of%20(F)%20Retaining%20%20Wall%20ROB%20II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DELL/Desktop/morthdrawingsslrbdesignandestimate/Documents%20and%20Settings/nid57201/Desktop/Copy%20of%20(F)%20Retaining%20%20Wall%20ROB%20II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esign6\E\Godavari%20Westran%20Delta\Godawari%20Westran%20Delta\Direct%20%20Chinnamallam%20feild%20sluicel%20@%20km%2044.729(1.5x1.0)\Chinnamallam%20Feild%20direct%20pipe%20sluice%20at%20Km44.72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AEE%205/2012/March/user/ISRMC/Super%20Passage@159.700%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hri-j1\D\P%20R%20O%20J%20E%20C%20T%20S\LINGALA\D.L.B.%20AT%20Km.%2023.25\DLRB-DESIGN%20AT%20KM%2023.25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y%20Documents\docu\docu\R&amp;B%20Dept.%20Estimates\East-Se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khada\Downloads\type%20estim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ELL/Desktop/morthdrawingsslrbdesignandestimate/type%20estima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rcserver1\design\Infra\Geotech\BBR\references\KWA\ISO-2001\Manual%20of%20Standards\GN-ST-06(2)(Design%20Sheet-Ru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khada\Downloads\Documents%20and%20Settings\Happy\Desktop\Prof%20Tender%20works%20not%20ground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ELL/Desktop/morthdrawingsslrbdesignandestimate/Documents%20and%20Settings/Happy/Desktop/Prof%20Tender%20works%20not%20ground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sign%20&amp;%20Estimate\EWE%20STAETME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P"/>
      <sheetName val="wind for SP"/>
      <sheetName val="SP (4)"/>
      <sheetName val="wind for SP (4)"/>
      <sheetName val="footing Mx4"/>
      <sheetName val="footingMz4"/>
      <sheetName val="concrete ret wall"/>
      <sheetName val="Deck Slab"/>
      <sheetName val="concrete ret wall (2)"/>
      <sheetName val="footing (4)"/>
      <sheetName val="footing for SP"/>
      <sheetName val="footing for SP(2)"/>
      <sheetName val="Design Pad - 1"/>
      <sheetName val="Design Pad - 1 (2)"/>
      <sheetName val="slab bridge"/>
      <sheetName val="Box type"/>
      <sheetName val="pier"/>
      <sheetName val="footing"/>
      <sheetName val="Wind-old "/>
      <sheetName val="SP (2)"/>
      <sheetName val="SP (3)"/>
      <sheetName val="SP (with hloss for rec)"/>
      <sheetName val="Mason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
          <cell r="F10" t="str">
            <v>FOOTING</v>
          </cell>
        </row>
        <row r="11">
          <cell r="F11" t="str">
            <v>RECTANGULAR</v>
          </cell>
        </row>
        <row r="12">
          <cell r="F12" t="str">
            <v>TENSION NOT ALLOWED</v>
          </cell>
        </row>
        <row r="13">
          <cell r="F13">
            <v>0</v>
          </cell>
        </row>
        <row r="14">
          <cell r="F14" t="str">
            <v>FLAT</v>
          </cell>
        </row>
        <row r="15">
          <cell r="F15" t="str">
            <v>Limit-State of IS:456-2000</v>
          </cell>
        </row>
        <row r="16">
          <cell r="F16">
            <v>1.5</v>
          </cell>
        </row>
        <row r="17">
          <cell r="F17">
            <v>2305</v>
          </cell>
        </row>
        <row r="18">
          <cell r="F18">
            <v>932</v>
          </cell>
        </row>
        <row r="19">
          <cell r="F19">
            <v>0</v>
          </cell>
        </row>
        <row r="20">
          <cell r="F20">
            <v>4100</v>
          </cell>
        </row>
        <row r="21">
          <cell r="F21">
            <v>800</v>
          </cell>
        </row>
        <row r="22">
          <cell r="F22">
            <v>0</v>
          </cell>
        </row>
        <row r="23">
          <cell r="F23">
            <v>0</v>
          </cell>
        </row>
        <row r="24">
          <cell r="F24" t="str">
            <v>M20</v>
          </cell>
        </row>
        <row r="25">
          <cell r="F25" t="str">
            <v>Fe415</v>
          </cell>
        </row>
        <row r="26">
          <cell r="F26">
            <v>250</v>
          </cell>
        </row>
        <row r="27">
          <cell r="F27">
            <v>2</v>
          </cell>
        </row>
        <row r="28">
          <cell r="F28">
            <v>18</v>
          </cell>
        </row>
        <row r="29">
          <cell r="F29">
            <v>25</v>
          </cell>
        </row>
        <row r="30">
          <cell r="F30">
            <v>50</v>
          </cell>
        </row>
        <row r="31">
          <cell r="F31" t="str">
            <v>is considered</v>
          </cell>
        </row>
        <row r="32">
          <cell r="F32">
            <v>0</v>
          </cell>
        </row>
        <row r="33">
          <cell r="F33">
            <v>16</v>
          </cell>
        </row>
        <row r="34">
          <cell r="F34">
            <v>5</v>
          </cell>
        </row>
        <row r="35">
          <cell r="F35">
            <v>16</v>
          </cell>
        </row>
        <row r="36">
          <cell r="F36">
            <v>0</v>
          </cell>
        </row>
        <row r="37">
          <cell r="F37">
            <v>0</v>
          </cell>
        </row>
        <row r="40">
          <cell r="F40">
            <v>6.15</v>
          </cell>
        </row>
        <row r="41">
          <cell r="F41">
            <v>2.85</v>
          </cell>
        </row>
        <row r="42">
          <cell r="F42">
            <v>600</v>
          </cell>
        </row>
        <row r="43">
          <cell r="F43">
            <v>600</v>
          </cell>
        </row>
        <row r="44">
          <cell r="F44">
            <v>262.91300000000001</v>
          </cell>
        </row>
        <row r="45">
          <cell r="F45">
            <v>359.03699999999998</v>
          </cell>
        </row>
        <row r="46">
          <cell r="F46">
            <v>2926.95</v>
          </cell>
        </row>
        <row r="51">
          <cell r="B51" t="str">
            <v>( 0.000,0.000 )( 6.150,0.000 )( 6.150,2.850 )( 0.000,2.850 )( 0.000,0.000 )</v>
          </cell>
        </row>
        <row r="65">
          <cell r="B65" t="str">
            <v>L = 6150 mm</v>
          </cell>
          <cell r="D65" t="str">
            <v>B = 2850 mm</v>
          </cell>
        </row>
        <row r="66">
          <cell r="B66" t="str">
            <v>COLX = 4100 mm</v>
          </cell>
          <cell r="D66" t="str">
            <v>COLZ = 800 mm</v>
          </cell>
        </row>
        <row r="67">
          <cell r="B67" t="str">
            <v>X1 = 1.025 mm</v>
          </cell>
          <cell r="D67" t="str">
            <v>X2 = 1.025 mm</v>
          </cell>
        </row>
        <row r="68">
          <cell r="B68" t="str">
            <v>Z1 = 1.025 mm</v>
          </cell>
          <cell r="D68" t="str">
            <v>Z2 = 1.025 mm</v>
          </cell>
        </row>
        <row r="69">
          <cell r="F69">
            <v>0.52600000000000002</v>
          </cell>
        </row>
        <row r="70">
          <cell r="F70">
            <v>0.54200000000000004</v>
          </cell>
        </row>
        <row r="73">
          <cell r="B73" t="str">
            <v>Area of Footing</v>
          </cell>
          <cell r="E73" t="str">
            <v>=</v>
          </cell>
          <cell r="F73">
            <v>17.527999999999999</v>
          </cell>
          <cell r="G73" t="str">
            <v>m2</v>
          </cell>
        </row>
        <row r="74">
          <cell r="B74" t="str">
            <v>Ix = L x B3 / 12</v>
          </cell>
          <cell r="E74" t="str">
            <v>=</v>
          </cell>
          <cell r="F74">
            <v>11.864000000000001</v>
          </cell>
          <cell r="G74" t="str">
            <v>m4</v>
          </cell>
        </row>
        <row r="75">
          <cell r="B75" t="str">
            <v>Iz = B x L3 / 12</v>
          </cell>
          <cell r="E75" t="str">
            <v>=</v>
          </cell>
          <cell r="F75">
            <v>55.244</v>
          </cell>
          <cell r="G75" t="str">
            <v>m4</v>
          </cell>
        </row>
        <row r="77">
          <cell r="F77">
            <v>0</v>
          </cell>
        </row>
        <row r="79">
          <cell r="F79">
            <v>0.318</v>
          </cell>
        </row>
        <row r="80">
          <cell r="B80" t="str">
            <v>Maximum Gross Pressure under the Footing = P/A + Mx/Zx + Mz/Zz</v>
          </cell>
          <cell r="F80">
            <v>278.93599999999998</v>
          </cell>
        </row>
        <row r="81">
          <cell r="B81" t="str">
            <v>Minimum Gross Pressure under the Footing = P/A - Mx/Zx - Mz/Zz</v>
          </cell>
          <cell r="F81">
            <v>55.046999999999997</v>
          </cell>
        </row>
        <row r="83">
          <cell r="F83">
            <v>243.452</v>
          </cell>
        </row>
        <row r="87">
          <cell r="B87" t="str">
            <v>p1  =  278.936</v>
          </cell>
          <cell r="C87" t="str">
            <v>p6  =  278.936</v>
          </cell>
          <cell r="D87" t="str">
            <v>p11  =   55.047</v>
          </cell>
          <cell r="E87" t="str">
            <v>p16  =   55.047</v>
          </cell>
          <cell r="F87" t="str">
            <v>p21  =  198.415</v>
          </cell>
        </row>
        <row r="88">
          <cell r="B88" t="str">
            <v>p2  =  278.936</v>
          </cell>
          <cell r="C88" t="str">
            <v>p7  =  240.993</v>
          </cell>
          <cell r="D88" t="str">
            <v>p12  =   55.047</v>
          </cell>
          <cell r="E88" t="str">
            <v>p17  =   92.991</v>
          </cell>
          <cell r="F88" t="str">
            <v>p22  =  198.415</v>
          </cell>
        </row>
        <row r="89">
          <cell r="B89" t="str">
            <v>p3  =  278.936</v>
          </cell>
          <cell r="C89" t="str">
            <v>p8  =  198.415</v>
          </cell>
          <cell r="D89" t="str">
            <v>p13  =   55.047</v>
          </cell>
          <cell r="E89" t="str">
            <v>p18  =  135.569</v>
          </cell>
          <cell r="F89" t="str">
            <v>p23  =  135.569</v>
          </cell>
        </row>
        <row r="90">
          <cell r="B90" t="str">
            <v>p4  =  278.936</v>
          </cell>
          <cell r="C90" t="str">
            <v>p9  =  135.569</v>
          </cell>
          <cell r="D90" t="str">
            <v>p14  =   55.047</v>
          </cell>
          <cell r="E90" t="str">
            <v>p19  =  198.415</v>
          </cell>
          <cell r="F90" t="str">
            <v>p24  =  135.569</v>
          </cell>
        </row>
        <row r="91">
          <cell r="B91" t="str">
            <v>p5  =  278.936</v>
          </cell>
          <cell r="C91" t="str">
            <v>p10  =   92.991</v>
          </cell>
          <cell r="D91" t="str">
            <v>p15  =   55.047</v>
          </cell>
          <cell r="E91" t="str">
            <v>p20  =  240.993</v>
          </cell>
        </row>
        <row r="97">
          <cell r="F97">
            <v>297.05500000000001</v>
          </cell>
        </row>
        <row r="98">
          <cell r="B98" t="str">
            <v>Moment due to soilwt, Msoilx</v>
          </cell>
          <cell r="E98" t="str">
            <v>=</v>
          </cell>
          <cell r="F98">
            <v>37.728000000000002</v>
          </cell>
          <cell r="G98" t="str">
            <v>kNm</v>
          </cell>
        </row>
        <row r="99">
          <cell r="B99" t="str">
            <v>Moment due to surcharge,Msurx</v>
          </cell>
          <cell r="E99" t="str">
            <v>=</v>
          </cell>
          <cell r="F99">
            <v>0</v>
          </cell>
          <cell r="G99" t="str">
            <v>kNm</v>
          </cell>
        </row>
        <row r="100">
          <cell r="B100" t="str">
            <v>Moment due to selfweight, Mselfx</v>
          </cell>
          <cell r="E100" t="str">
            <v>=</v>
          </cell>
          <cell r="F100">
            <v>22.457000000000001</v>
          </cell>
          <cell r="G100" t="str">
            <v>kNm</v>
          </cell>
        </row>
        <row r="101">
          <cell r="B101" t="str">
            <v>Hence net Bending moment along Negative x</v>
          </cell>
          <cell r="E101" t="str">
            <v>=</v>
          </cell>
          <cell r="F101">
            <v>236.87</v>
          </cell>
          <cell r="G101" t="str">
            <v>kNm</v>
          </cell>
        </row>
        <row r="104">
          <cell r="F104">
            <v>297.05500000000001</v>
          </cell>
        </row>
        <row r="105">
          <cell r="B105" t="str">
            <v>Moment due to soilwt, Msoilx</v>
          </cell>
          <cell r="E105" t="str">
            <v>=</v>
          </cell>
          <cell r="F105">
            <v>37.728000000000002</v>
          </cell>
          <cell r="G105" t="str">
            <v>kNm</v>
          </cell>
        </row>
        <row r="106">
          <cell r="B106" t="str">
            <v>Moment due to surcharge,Msurx</v>
          </cell>
          <cell r="E106" t="str">
            <v>=</v>
          </cell>
          <cell r="F106">
            <v>0</v>
          </cell>
          <cell r="G106" t="str">
            <v>kNm</v>
          </cell>
        </row>
        <row r="107">
          <cell r="B107" t="str">
            <v>Moment due to selfweight, Mselfx</v>
          </cell>
          <cell r="E107" t="str">
            <v>=</v>
          </cell>
          <cell r="F107">
            <v>22.457000000000001</v>
          </cell>
          <cell r="G107" t="str">
            <v>kNm</v>
          </cell>
        </row>
        <row r="108">
          <cell r="B108" t="str">
            <v>Hence net Bending moment along Positive x</v>
          </cell>
          <cell r="E108" t="str">
            <v>=</v>
          </cell>
          <cell r="F108">
            <v>236.87</v>
          </cell>
          <cell r="G108" t="str">
            <v>kNm</v>
          </cell>
        </row>
        <row r="110">
          <cell r="F110">
            <v>236.87</v>
          </cell>
        </row>
        <row r="113">
          <cell r="F113">
            <v>355.30500000000001</v>
          </cell>
        </row>
        <row r="114">
          <cell r="F114">
            <v>2850</v>
          </cell>
        </row>
        <row r="115">
          <cell r="F115">
            <v>0.45100000000000001</v>
          </cell>
        </row>
        <row r="116">
          <cell r="F116">
            <v>1.2999999999999999E-3</v>
          </cell>
        </row>
        <row r="117">
          <cell r="F117">
            <v>1922</v>
          </cell>
        </row>
        <row r="118">
          <cell r="F118">
            <v>1710000</v>
          </cell>
        </row>
        <row r="119">
          <cell r="B119" t="str">
            <v xml:space="preserve">Minimum % of steel required = 0.12% of Gross area </v>
          </cell>
          <cell r="F119">
            <v>2052</v>
          </cell>
        </row>
        <row r="120">
          <cell r="F120">
            <v>2052</v>
          </cell>
        </row>
        <row r="122">
          <cell r="B122" t="str">
            <v>Provide Y16 @ 270 mm C/C (spacing for a width  = 2850 mm)</v>
          </cell>
        </row>
        <row r="125">
          <cell r="F125">
            <v>264.553</v>
          </cell>
        </row>
        <row r="126">
          <cell r="B126" t="str">
            <v>Moment due to soilwt, Msoilz</v>
          </cell>
          <cell r="E126" t="str">
            <v>=</v>
          </cell>
          <cell r="F126">
            <v>81.412999999999997</v>
          </cell>
          <cell r="G126" t="str">
            <v>kNm</v>
          </cell>
        </row>
        <row r="127">
          <cell r="B127" t="str">
            <v>Moment due to surcharge,Msurz</v>
          </cell>
          <cell r="E127" t="str">
            <v>=</v>
          </cell>
          <cell r="F127">
            <v>0</v>
          </cell>
          <cell r="G127" t="str">
            <v>kNm</v>
          </cell>
        </row>
        <row r="128">
          <cell r="B128" t="str">
            <v>Moment due to selfweight, Mselfz</v>
          </cell>
          <cell r="E128" t="str">
            <v>=</v>
          </cell>
          <cell r="F128">
            <v>48.46</v>
          </cell>
          <cell r="G128" t="str">
            <v>kNm</v>
          </cell>
        </row>
        <row r="129">
          <cell r="B129" t="str">
            <v>Hence net Bending moment along Negative z</v>
          </cell>
          <cell r="E129" t="str">
            <v>=</v>
          </cell>
          <cell r="F129">
            <v>134.67999999999998</v>
          </cell>
          <cell r="G129" t="str">
            <v>kNm</v>
          </cell>
        </row>
        <row r="132">
          <cell r="F132">
            <v>814.43899999999996</v>
          </cell>
        </row>
        <row r="133">
          <cell r="B133" t="str">
            <v>Moment due to soilwt, Msoilz</v>
          </cell>
          <cell r="E133" t="str">
            <v>=</v>
          </cell>
          <cell r="F133">
            <v>81.412999999999997</v>
          </cell>
          <cell r="G133" t="str">
            <v>kNm</v>
          </cell>
        </row>
        <row r="134">
          <cell r="B134" t="str">
            <v>Moment due to surcharge,Msurz</v>
          </cell>
          <cell r="E134" t="str">
            <v>=</v>
          </cell>
          <cell r="F134">
            <v>0</v>
          </cell>
          <cell r="G134" t="str">
            <v>kNm</v>
          </cell>
        </row>
        <row r="135">
          <cell r="B135" t="str">
            <v>Moment due to selfweight, Mselfz</v>
          </cell>
          <cell r="E135" t="str">
            <v>=</v>
          </cell>
          <cell r="F135">
            <v>48.46</v>
          </cell>
          <cell r="G135" t="str">
            <v>kNm</v>
          </cell>
        </row>
        <row r="136">
          <cell r="B136" t="str">
            <v>Hence net Bending moment along Positive z</v>
          </cell>
          <cell r="E136" t="str">
            <v>=</v>
          </cell>
          <cell r="F136">
            <v>684.56599999999992</v>
          </cell>
          <cell r="G136" t="str">
            <v>kNm</v>
          </cell>
        </row>
        <row r="138">
          <cell r="F138">
            <v>684.56600000000003</v>
          </cell>
        </row>
        <row r="141">
          <cell r="F141">
            <v>1026.8489999999999</v>
          </cell>
        </row>
        <row r="142">
          <cell r="F142">
            <v>6150</v>
          </cell>
        </row>
        <row r="143">
          <cell r="F143">
            <v>0.56799999999999995</v>
          </cell>
        </row>
        <row r="144">
          <cell r="F144">
            <v>1.6000000000000001E-3</v>
          </cell>
        </row>
        <row r="145">
          <cell r="F145">
            <v>5431</v>
          </cell>
        </row>
        <row r="146">
          <cell r="F146">
            <v>3690000</v>
          </cell>
        </row>
        <row r="147">
          <cell r="B147" t="str">
            <v>Minimum % of steel required = 0.12% of Gross area =</v>
          </cell>
          <cell r="F147">
            <v>4428</v>
          </cell>
        </row>
        <row r="148">
          <cell r="F148">
            <v>5431</v>
          </cell>
        </row>
        <row r="150">
          <cell r="B150" t="str">
            <v>Provide Y16 @ 330 mm C/C in the end band (spacing for a width  = 3300 mm)</v>
          </cell>
        </row>
        <row r="152">
          <cell r="B152" t="str">
            <v>Negative Bending Moment Due to Uplift</v>
          </cell>
        </row>
        <row r="154">
          <cell r="B154" t="str">
            <v xml:space="preserve">Area not in contact with soil </v>
          </cell>
          <cell r="E154" t="str">
            <v>=</v>
          </cell>
          <cell r="F154">
            <v>0</v>
          </cell>
          <cell r="G154" t="str">
            <v>m2</v>
          </cell>
        </row>
        <row r="155">
          <cell r="B155" t="str">
            <v>Weight of Soil +Footing above this Area</v>
          </cell>
          <cell r="E155" t="str">
            <v>=</v>
          </cell>
          <cell r="F155">
            <v>0</v>
          </cell>
          <cell r="G155" t="str">
            <v>kN</v>
          </cell>
        </row>
        <row r="156">
          <cell r="B156" t="str">
            <v>Steel Required along X(TOP)</v>
          </cell>
        </row>
        <row r="157">
          <cell r="B157" t="str">
            <v>Approximate Bending moment along X,(Mxn)</v>
          </cell>
          <cell r="E157" t="str">
            <v>=</v>
          </cell>
          <cell r="F157">
            <v>0</v>
          </cell>
          <cell r="G157" t="str">
            <v>kNm</v>
          </cell>
        </row>
        <row r="158">
          <cell r="B158" t="str">
            <v>Mu/bd2</v>
          </cell>
          <cell r="E158" t="str">
            <v>=</v>
          </cell>
          <cell r="F158">
            <v>0</v>
          </cell>
        </row>
        <row r="159">
          <cell r="B159" t="str">
            <v>Gross Area</v>
          </cell>
          <cell r="E159" t="str">
            <v>=</v>
          </cell>
          <cell r="F159">
            <v>1710000</v>
          </cell>
          <cell r="G159" t="str">
            <v>mm2</v>
          </cell>
        </row>
        <row r="160">
          <cell r="B160" t="str">
            <v>Ast required</v>
          </cell>
          <cell r="E160" t="str">
            <v>=</v>
          </cell>
          <cell r="F160">
            <v>0</v>
          </cell>
          <cell r="G160" t="str">
            <v>mm2</v>
          </cell>
        </row>
        <row r="161">
          <cell r="B161" t="str">
            <v xml:space="preserve">Minimum % of steel required = 0.06% of Gross area </v>
          </cell>
          <cell r="E161" t="str">
            <v>=</v>
          </cell>
          <cell r="F161">
            <v>1026</v>
          </cell>
          <cell r="G161" t="str">
            <v>mm2</v>
          </cell>
        </row>
        <row r="162">
          <cell r="B162" t="str">
            <v xml:space="preserve">Hence Area of Steel Provided </v>
          </cell>
          <cell r="E162" t="str">
            <v>=</v>
          </cell>
          <cell r="F162">
            <v>1026</v>
          </cell>
          <cell r="G162" t="str">
            <v>mm2</v>
          </cell>
        </row>
        <row r="163">
          <cell r="B163" t="str">
            <v>Hence percentage of steel provided</v>
          </cell>
          <cell r="E163" t="str">
            <v>=</v>
          </cell>
          <cell r="F163">
            <v>0.06</v>
          </cell>
          <cell r="G163" t="str">
            <v>%</v>
          </cell>
        </row>
        <row r="165">
          <cell r="A165" t="str">
            <v>Cl. 34.3.1</v>
          </cell>
          <cell r="B165" t="str">
            <v>Provide Y5 @  50 mm C/C (spacing for a width = 2850 mm)</v>
          </cell>
        </row>
        <row r="166">
          <cell r="B166" t="str">
            <v>Steel Required along Z(TOP)</v>
          </cell>
        </row>
        <row r="167">
          <cell r="B167" t="str">
            <v>Approximate Bending moment along Z,(Mzn)</v>
          </cell>
          <cell r="E167" t="str">
            <v>=</v>
          </cell>
          <cell r="F167">
            <v>0</v>
          </cell>
          <cell r="G167" t="str">
            <v>kNm</v>
          </cell>
        </row>
        <row r="168">
          <cell r="B168" t="str">
            <v>Mu/bd2</v>
          </cell>
          <cell r="E168" t="str">
            <v>=</v>
          </cell>
          <cell r="F168">
            <v>0</v>
          </cell>
        </row>
        <row r="169">
          <cell r="B169" t="str">
            <v>Gross Area</v>
          </cell>
          <cell r="E169" t="str">
            <v>=</v>
          </cell>
          <cell r="F169">
            <v>3690000</v>
          </cell>
          <cell r="G169" t="str">
            <v>mm2</v>
          </cell>
        </row>
        <row r="170">
          <cell r="B170" t="str">
            <v>Ast required</v>
          </cell>
          <cell r="E170" t="str">
            <v>=</v>
          </cell>
          <cell r="F170">
            <v>0</v>
          </cell>
          <cell r="G170" t="str">
            <v>mm2</v>
          </cell>
        </row>
        <row r="171">
          <cell r="B171" t="str">
            <v xml:space="preserve">Minimum % of steel required = 0.06% of Gross area </v>
          </cell>
          <cell r="E171" t="str">
            <v>=</v>
          </cell>
          <cell r="F171">
            <v>2214</v>
          </cell>
          <cell r="G171" t="str">
            <v>mm2</v>
          </cell>
        </row>
        <row r="172">
          <cell r="B172" t="str">
            <v>Hence Area of Steel provided</v>
          </cell>
          <cell r="E172" t="str">
            <v>=</v>
          </cell>
          <cell r="F172">
            <v>2214</v>
          </cell>
          <cell r="G172" t="str">
            <v>mm2</v>
          </cell>
        </row>
        <row r="173">
          <cell r="B173" t="str">
            <v>Hence percentage of steel provided</v>
          </cell>
          <cell r="E173" t="str">
            <v>=</v>
          </cell>
          <cell r="F173">
            <v>0.06</v>
          </cell>
          <cell r="G173" t="str">
            <v>%</v>
          </cell>
        </row>
        <row r="175">
          <cell r="B175" t="str">
            <v>Provide Y0 @   0 mm C/C (spacing for a width = 6150 mm)</v>
          </cell>
        </row>
        <row r="179">
          <cell r="B179" t="str">
            <v>Gross Shear, SFx1 =  (p1 + p2 + p15 + p16) x B x ( X1 - d) / 4                      =</v>
          </cell>
          <cell r="F179">
            <v>237.48699999999999</v>
          </cell>
          <cell r="G179" t="str">
            <v>kN</v>
          </cell>
        </row>
        <row r="180">
          <cell r="B180" t="str">
            <v>Net Shear Vx1 = SFx1 - (Vsoilx1 + Vselfx1 + Vsurx1)</v>
          </cell>
          <cell r="E180" t="str">
            <v>=</v>
          </cell>
          <cell r="F180">
            <v>180.31700000000001</v>
          </cell>
          <cell r="G180" t="str">
            <v>kN</v>
          </cell>
        </row>
        <row r="182">
          <cell r="B182" t="str">
            <v>Gross Shear SFx2 = (p5 + p6 + p11 + p12) x B x ( X2 - d) / 4                        =</v>
          </cell>
          <cell r="F182">
            <v>237.48699999999999</v>
          </cell>
          <cell r="G182" t="str">
            <v>kN</v>
          </cell>
        </row>
        <row r="183">
          <cell r="B183" t="str">
            <v>Net Shear Vx2 = SFx2 - (Vsoilx2 + Vselfx2 + Vsurx2)</v>
          </cell>
          <cell r="E183" t="str">
            <v>=</v>
          </cell>
          <cell r="F183" t="str">
            <v>180.317 kN</v>
          </cell>
          <cell r="G183" t="str">
            <v>kN</v>
          </cell>
        </row>
        <row r="185">
          <cell r="B185" t="str">
            <v xml:space="preserve">Hence maximum shear force,V along X=MAX(Vx1,Vx2) </v>
          </cell>
          <cell r="E185" t="str">
            <v>=</v>
          </cell>
          <cell r="F185">
            <v>180.31700000000001</v>
          </cell>
          <cell r="G185" t="str">
            <v>kN</v>
          </cell>
        </row>
        <row r="186">
          <cell r="B186" t="str">
            <v>Shear area @ a distance d from the face of the column ,As</v>
          </cell>
          <cell r="F186">
            <v>1499100</v>
          </cell>
          <cell r="G186" t="str">
            <v>mm2</v>
          </cell>
        </row>
        <row r="187">
          <cell r="B187" t="str">
            <v>tv   = Vu / As</v>
          </cell>
          <cell r="E187" t="str">
            <v>=</v>
          </cell>
          <cell r="F187">
            <v>0.18</v>
          </cell>
          <cell r="G187" t="str">
            <v>N/mm2</v>
          </cell>
        </row>
        <row r="188">
          <cell r="B188" t="str">
            <v>% of Steel provided p = 100 x Astx / As</v>
          </cell>
          <cell r="E188" t="str">
            <v>=</v>
          </cell>
          <cell r="F188">
            <v>1.3699999999999999E-3</v>
          </cell>
        </row>
        <row r="189">
          <cell r="A189" t="str">
            <v>Table 19</v>
          </cell>
          <cell r="B189" t="str">
            <v xml:space="preserve">Allowable shear stress tc </v>
          </cell>
          <cell r="E189" t="str">
            <v>=</v>
          </cell>
          <cell r="F189">
            <v>0.27600000000000002</v>
          </cell>
          <cell r="G189" t="str">
            <v>N/mm2</v>
          </cell>
        </row>
        <row r="190">
          <cell r="D190" t="str">
            <v>Hence Safe In Shear</v>
          </cell>
          <cell r="F190" t="str">
            <v>.</v>
          </cell>
        </row>
        <row r="194">
          <cell r="B194" t="str">
            <v>Gross Shear SFz1 =  (p1 + p6 + p7 + p20) x L x ( Z1 - d) / 4</v>
          </cell>
          <cell r="E194" t="str">
            <v>=</v>
          </cell>
          <cell r="F194">
            <v>772.21199999999999</v>
          </cell>
          <cell r="G194" t="str">
            <v>kN</v>
          </cell>
        </row>
        <row r="195">
          <cell r="B195" t="str">
            <v>Net Shear Vz1 = SFz1 - (Vsoilz1 + Vselfz1 + Vsurz1)</v>
          </cell>
          <cell r="E195" t="str">
            <v>=</v>
          </cell>
          <cell r="F195">
            <v>652.79999999999995</v>
          </cell>
          <cell r="G195" t="str">
            <v>kN</v>
          </cell>
        </row>
        <row r="197">
          <cell r="B197" t="str">
            <v>SFz2 =(p11 + p16 + p10 + p17) x L x ( Y2 - d) / 4</v>
          </cell>
          <cell r="E197" t="str">
            <v>=</v>
          </cell>
          <cell r="F197">
            <v>219.87</v>
          </cell>
          <cell r="G197" t="str">
            <v>kN</v>
          </cell>
        </row>
        <row r="198">
          <cell r="B198" t="str">
            <v>Net Shear Vz2 = SFz2 - (Vsoilz2 + Vselfz2 + Vsurz2)</v>
          </cell>
          <cell r="E198" t="str">
            <v>=</v>
          </cell>
          <cell r="F198">
            <v>100.458</v>
          </cell>
          <cell r="G198" t="str">
            <v>kN</v>
          </cell>
        </row>
        <row r="200">
          <cell r="B200" t="str">
            <v xml:space="preserve">Hence maximum shear force,V along X = MAX(Vz1,Vz2) </v>
          </cell>
          <cell r="E200" t="str">
            <v>=</v>
          </cell>
          <cell r="F200">
            <v>652.79999999999995</v>
          </cell>
          <cell r="G200" t="str">
            <v>kN</v>
          </cell>
        </row>
        <row r="201">
          <cell r="B201" t="str">
            <v>Shear area @ a distance d from the face of the column ,As</v>
          </cell>
          <cell r="F201">
            <v>3333300</v>
          </cell>
          <cell r="G201" t="str">
            <v>mm2</v>
          </cell>
        </row>
        <row r="202">
          <cell r="B202" t="str">
            <v>tv   = Vu / As</v>
          </cell>
          <cell r="E202" t="str">
            <v>=</v>
          </cell>
          <cell r="F202">
            <v>0.29399999999999998</v>
          </cell>
          <cell r="G202" t="str">
            <v>N/mm2</v>
          </cell>
        </row>
        <row r="203">
          <cell r="B203" t="str">
            <v>% of Steel provided p    = 100 x Astz / As</v>
          </cell>
          <cell r="E203" t="str">
            <v>=</v>
          </cell>
          <cell r="F203">
            <v>1.6299999999999999E-3</v>
          </cell>
        </row>
        <row r="204">
          <cell r="A204" t="str">
            <v>Table 19</v>
          </cell>
          <cell r="B204" t="str">
            <v xml:space="preserve">Allowable shear stress tc </v>
          </cell>
          <cell r="E204" t="str">
            <v>=</v>
          </cell>
          <cell r="F204">
            <v>0.29799999999999999</v>
          </cell>
          <cell r="G204" t="str">
            <v>N/mm2</v>
          </cell>
        </row>
        <row r="205">
          <cell r="D205" t="str">
            <v xml:space="preserve"> Hence Safe In Shear</v>
          </cell>
        </row>
        <row r="209">
          <cell r="F209">
            <v>17.527999999999999</v>
          </cell>
        </row>
        <row r="210">
          <cell r="F210">
            <v>6.2080000000000002</v>
          </cell>
        </row>
        <row r="211">
          <cell r="F211">
            <v>11.319000000000001</v>
          </cell>
        </row>
        <row r="212">
          <cell r="F212">
            <v>1432.6659999999999</v>
          </cell>
        </row>
        <row r="213">
          <cell r="F213">
            <v>526</v>
          </cell>
        </row>
        <row r="214">
          <cell r="F214">
            <v>526</v>
          </cell>
        </row>
        <row r="215">
          <cell r="F215">
            <v>542</v>
          </cell>
        </row>
        <row r="216">
          <cell r="F216">
            <v>542</v>
          </cell>
        </row>
        <row r="217">
          <cell r="F217">
            <v>534</v>
          </cell>
        </row>
        <row r="218">
          <cell r="F218">
            <v>6373825</v>
          </cell>
        </row>
        <row r="219">
          <cell r="F219">
            <v>2148.9989999999998</v>
          </cell>
        </row>
        <row r="220">
          <cell r="F220">
            <v>0.33700000000000002</v>
          </cell>
        </row>
        <row r="221">
          <cell r="F221">
            <v>1.1180000000000001</v>
          </cell>
        </row>
        <row r="225">
          <cell r="F225">
            <v>17527500</v>
          </cell>
        </row>
        <row r="226">
          <cell r="F226">
            <v>3280000</v>
          </cell>
        </row>
        <row r="227">
          <cell r="F227">
            <v>2</v>
          </cell>
        </row>
        <row r="228">
          <cell r="F228">
            <v>3457.5</v>
          </cell>
        </row>
        <row r="229">
          <cell r="F229">
            <v>1.054</v>
          </cell>
        </row>
        <row r="230">
          <cell r="F230">
            <v>18</v>
          </cell>
        </row>
        <row r="234">
          <cell r="F234">
            <v>1004.374</v>
          </cell>
        </row>
        <row r="235">
          <cell r="F235">
            <v>10.516999999999999</v>
          </cell>
        </row>
        <row r="236">
          <cell r="F236">
            <v>10.8</v>
          </cell>
        </row>
        <row r="237">
          <cell r="F237">
            <v>95.504999999999995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M &amp; L.C"/>
      <sheetName val="USER1"/>
      <sheetName val="Data"/>
      <sheetName val="Data 1"/>
      <sheetName val="SSR 04-05"/>
      <sheetName val="Data (2)"/>
      <sheetName val="Sheet1"/>
      <sheetName val="Sheet2"/>
      <sheetName val="Sheet3"/>
    </sheetNames>
    <sheetDataSet>
      <sheetData sheetId="0" refreshError="1"/>
      <sheetData sheetId="1" refreshError="1"/>
      <sheetData sheetId="2" refreshError="1"/>
      <sheetData sheetId="3" refreshError="1"/>
      <sheetData sheetId="4" refreshError="1">
        <row r="3">
          <cell r="K3">
            <v>80</v>
          </cell>
          <cell r="O3">
            <v>73.27</v>
          </cell>
          <cell r="P3">
            <v>1.65</v>
          </cell>
          <cell r="Q3">
            <v>0.1</v>
          </cell>
          <cell r="R3">
            <v>11.5</v>
          </cell>
          <cell r="X3">
            <v>17.25</v>
          </cell>
          <cell r="AB3">
            <v>10</v>
          </cell>
        </row>
        <row r="4">
          <cell r="K4">
            <v>100</v>
          </cell>
          <cell r="O4">
            <v>80.84</v>
          </cell>
          <cell r="P4">
            <v>1.9</v>
          </cell>
          <cell r="Q4">
            <v>0.11</v>
          </cell>
          <cell r="R4">
            <v>11.5</v>
          </cell>
          <cell r="X4">
            <v>17.25</v>
          </cell>
          <cell r="AB4">
            <v>12</v>
          </cell>
        </row>
        <row r="5">
          <cell r="K5">
            <v>150</v>
          </cell>
          <cell r="O5">
            <v>97.9</v>
          </cell>
          <cell r="P5">
            <v>2.65</v>
          </cell>
          <cell r="Q5">
            <v>0.15</v>
          </cell>
          <cell r="R5">
            <v>11.5</v>
          </cell>
          <cell r="X5">
            <v>17.25</v>
          </cell>
          <cell r="AB5">
            <v>21</v>
          </cell>
        </row>
        <row r="6">
          <cell r="K6">
            <v>200</v>
          </cell>
          <cell r="O6">
            <v>119.37</v>
          </cell>
          <cell r="P6">
            <v>3.4</v>
          </cell>
          <cell r="Q6">
            <v>0.25</v>
          </cell>
          <cell r="R6">
            <v>11.5</v>
          </cell>
          <cell r="X6">
            <v>17.25</v>
          </cell>
          <cell r="AB6">
            <v>25</v>
          </cell>
        </row>
        <row r="7">
          <cell r="B7">
            <v>0</v>
          </cell>
          <cell r="C7" t="str">
            <v>km</v>
          </cell>
          <cell r="D7" t="str">
            <v>cum</v>
          </cell>
          <cell r="E7">
            <v>32.5</v>
          </cell>
          <cell r="K7">
            <v>225</v>
          </cell>
          <cell r="O7">
            <v>130.11000000000001</v>
          </cell>
          <cell r="P7">
            <v>4.0999999999999996</v>
          </cell>
          <cell r="Q7">
            <v>0.3</v>
          </cell>
          <cell r="R7">
            <v>11.5</v>
          </cell>
          <cell r="X7">
            <v>17.25</v>
          </cell>
          <cell r="AB7">
            <v>27</v>
          </cell>
        </row>
        <row r="8">
          <cell r="B8">
            <v>0.25</v>
          </cell>
          <cell r="C8" t="str">
            <v>km</v>
          </cell>
          <cell r="D8" t="str">
            <v>cum</v>
          </cell>
          <cell r="E8">
            <v>32.5</v>
          </cell>
          <cell r="F8">
            <v>80.900000000000006</v>
          </cell>
          <cell r="H8">
            <v>91.2</v>
          </cell>
          <cell r="K8">
            <v>250</v>
          </cell>
          <cell r="O8">
            <v>138.96</v>
          </cell>
          <cell r="P8">
            <v>4.5999999999999996</v>
          </cell>
          <cell r="Q8">
            <v>0.36</v>
          </cell>
          <cell r="R8">
            <v>11.5</v>
          </cell>
          <cell r="X8">
            <v>17.25</v>
          </cell>
          <cell r="AB8">
            <v>31</v>
          </cell>
        </row>
        <row r="9">
          <cell r="B9">
            <v>0.251</v>
          </cell>
          <cell r="C9" t="str">
            <v>km</v>
          </cell>
          <cell r="D9" t="str">
            <v>cum</v>
          </cell>
          <cell r="E9">
            <v>54.6</v>
          </cell>
          <cell r="F9">
            <v>80.900000000000006</v>
          </cell>
          <cell r="H9">
            <v>91.2</v>
          </cell>
          <cell r="K9">
            <v>300</v>
          </cell>
          <cell r="O9">
            <v>194.95</v>
          </cell>
          <cell r="P9">
            <v>6.8</v>
          </cell>
          <cell r="Q9">
            <v>0.4</v>
          </cell>
          <cell r="R9">
            <v>15.5</v>
          </cell>
          <cell r="X9">
            <v>23.25</v>
          </cell>
          <cell r="AB9">
            <v>38</v>
          </cell>
        </row>
        <row r="10">
          <cell r="B10">
            <v>0.5</v>
          </cell>
          <cell r="C10" t="str">
            <v>km</v>
          </cell>
          <cell r="D10" t="str">
            <v>cum</v>
          </cell>
          <cell r="E10">
            <v>54.6</v>
          </cell>
          <cell r="F10">
            <v>80.900000000000006</v>
          </cell>
          <cell r="G10" t="str">
            <v>Tonne</v>
          </cell>
          <cell r="H10">
            <v>91.2</v>
          </cell>
          <cell r="K10">
            <v>350</v>
          </cell>
          <cell r="O10">
            <v>250</v>
          </cell>
          <cell r="P10">
            <v>8.5</v>
          </cell>
          <cell r="Q10">
            <v>0.5</v>
          </cell>
          <cell r="R10">
            <v>15.5</v>
          </cell>
          <cell r="U10">
            <v>598</v>
          </cell>
          <cell r="V10">
            <v>20</v>
          </cell>
          <cell r="W10">
            <v>0.7</v>
          </cell>
          <cell r="X10">
            <v>23.25</v>
          </cell>
          <cell r="AB10">
            <v>44</v>
          </cell>
          <cell r="AE10">
            <v>58</v>
          </cell>
        </row>
        <row r="11">
          <cell r="B11">
            <v>0.6</v>
          </cell>
          <cell r="C11" t="str">
            <v>km</v>
          </cell>
          <cell r="D11" t="str">
            <v>cum</v>
          </cell>
          <cell r="E11">
            <v>69.5</v>
          </cell>
          <cell r="F11">
            <v>84.2</v>
          </cell>
          <cell r="G11" t="str">
            <v>Tonne</v>
          </cell>
          <cell r="H11">
            <v>92.5</v>
          </cell>
          <cell r="K11">
            <v>400</v>
          </cell>
          <cell r="O11">
            <v>276.64999999999998</v>
          </cell>
          <cell r="P11">
            <v>10.3</v>
          </cell>
          <cell r="Q11">
            <v>0.65</v>
          </cell>
          <cell r="R11">
            <v>21.5</v>
          </cell>
          <cell r="U11">
            <v>663</v>
          </cell>
          <cell r="V11">
            <v>25</v>
          </cell>
          <cell r="W11">
            <v>1.22</v>
          </cell>
          <cell r="X11">
            <v>32.25</v>
          </cell>
          <cell r="AB11">
            <v>48</v>
          </cell>
          <cell r="AE11">
            <v>66</v>
          </cell>
        </row>
        <row r="12">
          <cell r="B12">
            <v>1</v>
          </cell>
          <cell r="C12" t="str">
            <v>km</v>
          </cell>
          <cell r="D12" t="str">
            <v>cum</v>
          </cell>
          <cell r="E12">
            <v>69.5</v>
          </cell>
          <cell r="F12">
            <v>84.2</v>
          </cell>
          <cell r="G12" t="str">
            <v>Tonne</v>
          </cell>
          <cell r="H12">
            <v>92.5</v>
          </cell>
          <cell r="K12">
            <v>450</v>
          </cell>
          <cell r="O12">
            <v>344</v>
          </cell>
          <cell r="P12">
            <v>11.8</v>
          </cell>
          <cell r="Q12">
            <v>0.7</v>
          </cell>
          <cell r="R12">
            <v>21.5</v>
          </cell>
          <cell r="U12">
            <v>732</v>
          </cell>
          <cell r="V12">
            <v>27.5</v>
          </cell>
          <cell r="W12">
            <v>1.25</v>
          </cell>
          <cell r="X12">
            <v>32.25</v>
          </cell>
          <cell r="AB12">
            <v>55</v>
          </cell>
          <cell r="AE12">
            <v>75</v>
          </cell>
        </row>
        <row r="13">
          <cell r="B13">
            <v>2</v>
          </cell>
          <cell r="C13" t="str">
            <v>km</v>
          </cell>
          <cell r="D13" t="str">
            <v>cum</v>
          </cell>
          <cell r="E13">
            <v>72.8</v>
          </cell>
          <cell r="F13">
            <v>86.3</v>
          </cell>
          <cell r="G13" t="str">
            <v>Tonne</v>
          </cell>
          <cell r="H13">
            <v>96.2</v>
          </cell>
          <cell r="K13">
            <v>500</v>
          </cell>
          <cell r="O13">
            <v>396</v>
          </cell>
          <cell r="P13">
            <v>13.25</v>
          </cell>
          <cell r="Q13">
            <v>0.75</v>
          </cell>
          <cell r="R13">
            <v>21.5</v>
          </cell>
          <cell r="U13">
            <v>837</v>
          </cell>
          <cell r="V13">
            <v>30</v>
          </cell>
          <cell r="W13">
            <v>1.3</v>
          </cell>
          <cell r="X13">
            <v>32.25</v>
          </cell>
          <cell r="AB13">
            <v>72</v>
          </cell>
          <cell r="AE13">
            <v>86</v>
          </cell>
        </row>
        <row r="14">
          <cell r="B14">
            <v>3</v>
          </cell>
          <cell r="C14" t="str">
            <v>km</v>
          </cell>
          <cell r="D14" t="str">
            <v>cum</v>
          </cell>
          <cell r="E14">
            <v>77.099999999999994</v>
          </cell>
          <cell r="F14">
            <v>90.7</v>
          </cell>
          <cell r="G14" t="str">
            <v>Tonne</v>
          </cell>
          <cell r="H14">
            <v>100.3</v>
          </cell>
          <cell r="K14">
            <v>600</v>
          </cell>
          <cell r="O14">
            <v>558</v>
          </cell>
          <cell r="P14">
            <v>17.5</v>
          </cell>
          <cell r="Q14">
            <v>1.21</v>
          </cell>
          <cell r="R14">
            <v>34.5</v>
          </cell>
          <cell r="U14">
            <v>1173</v>
          </cell>
          <cell r="V14">
            <v>41</v>
          </cell>
          <cell r="W14">
            <v>1.85</v>
          </cell>
          <cell r="X14">
            <v>51.75</v>
          </cell>
          <cell r="AB14">
            <v>94</v>
          </cell>
          <cell r="AE14">
            <v>125</v>
          </cell>
        </row>
        <row r="15">
          <cell r="B15">
            <v>4</v>
          </cell>
          <cell r="C15" t="str">
            <v>km</v>
          </cell>
          <cell r="D15" t="str">
            <v>cum</v>
          </cell>
          <cell r="E15">
            <v>80.5</v>
          </cell>
          <cell r="F15">
            <v>94.3</v>
          </cell>
          <cell r="G15" t="str">
            <v>Tonne</v>
          </cell>
          <cell r="H15">
            <v>104</v>
          </cell>
          <cell r="K15">
            <v>700</v>
          </cell>
          <cell r="O15">
            <v>723</v>
          </cell>
          <cell r="P15">
            <v>21.25</v>
          </cell>
          <cell r="Q15">
            <v>1.3</v>
          </cell>
          <cell r="R15">
            <v>51</v>
          </cell>
          <cell r="U15">
            <v>1497</v>
          </cell>
          <cell r="V15">
            <v>55</v>
          </cell>
          <cell r="W15">
            <v>3.68</v>
          </cell>
          <cell r="X15">
            <v>76.5</v>
          </cell>
          <cell r="AB15">
            <v>129</v>
          </cell>
          <cell r="AE15">
            <v>150</v>
          </cell>
        </row>
        <row r="16">
          <cell r="B16">
            <v>5</v>
          </cell>
          <cell r="C16" t="str">
            <v>km</v>
          </cell>
          <cell r="D16" t="str">
            <v>cum</v>
          </cell>
          <cell r="E16">
            <v>83.9</v>
          </cell>
          <cell r="F16">
            <v>97.6</v>
          </cell>
          <cell r="G16" t="str">
            <v>Tonne</v>
          </cell>
          <cell r="H16">
            <v>107.6</v>
          </cell>
          <cell r="K16">
            <v>800</v>
          </cell>
          <cell r="O16">
            <v>927</v>
          </cell>
          <cell r="P16">
            <v>29.5</v>
          </cell>
          <cell r="Q16">
            <v>2</v>
          </cell>
          <cell r="R16">
            <v>51</v>
          </cell>
          <cell r="U16">
            <v>1980</v>
          </cell>
          <cell r="V16">
            <v>65</v>
          </cell>
          <cell r="W16">
            <v>3.7</v>
          </cell>
          <cell r="X16">
            <v>76.5</v>
          </cell>
          <cell r="AB16">
            <v>163</v>
          </cell>
          <cell r="AE16">
            <v>182</v>
          </cell>
        </row>
        <row r="17">
          <cell r="B17">
            <v>6</v>
          </cell>
          <cell r="C17" t="str">
            <v>km</v>
          </cell>
          <cell r="D17" t="str">
            <v>cum</v>
          </cell>
          <cell r="E17">
            <v>87.1</v>
          </cell>
          <cell r="F17">
            <v>103.1</v>
          </cell>
          <cell r="G17" t="str">
            <v>Tonne</v>
          </cell>
          <cell r="H17">
            <v>111.8</v>
          </cell>
          <cell r="K17">
            <v>900</v>
          </cell>
          <cell r="O17">
            <v>1170</v>
          </cell>
          <cell r="P17">
            <v>44</v>
          </cell>
          <cell r="Q17">
            <v>3.65</v>
          </cell>
          <cell r="R17">
            <v>57</v>
          </cell>
          <cell r="U17">
            <v>2488</v>
          </cell>
          <cell r="V17">
            <v>75</v>
          </cell>
          <cell r="W17">
            <v>3.7</v>
          </cell>
          <cell r="X17">
            <v>85.5</v>
          </cell>
          <cell r="AB17">
            <v>204</v>
          </cell>
          <cell r="AE17">
            <v>246</v>
          </cell>
        </row>
        <row r="18">
          <cell r="B18">
            <v>7</v>
          </cell>
          <cell r="C18" t="str">
            <v>km</v>
          </cell>
          <cell r="D18" t="str">
            <v>cum</v>
          </cell>
          <cell r="E18">
            <v>91.5</v>
          </cell>
          <cell r="F18">
            <v>105.5</v>
          </cell>
          <cell r="G18" t="str">
            <v>Tonne</v>
          </cell>
          <cell r="H18">
            <v>114.9</v>
          </cell>
          <cell r="K18">
            <v>1000</v>
          </cell>
          <cell r="O18">
            <v>1419</v>
          </cell>
          <cell r="P18">
            <v>50</v>
          </cell>
          <cell r="Q18">
            <v>3.65</v>
          </cell>
          <cell r="R18">
            <v>57</v>
          </cell>
          <cell r="U18">
            <v>2818</v>
          </cell>
          <cell r="V18">
            <v>79</v>
          </cell>
          <cell r="W18">
            <v>3.7</v>
          </cell>
          <cell r="X18">
            <v>85.5</v>
          </cell>
          <cell r="AB18">
            <v>239</v>
          </cell>
          <cell r="AE18">
            <v>297</v>
          </cell>
        </row>
        <row r="19">
          <cell r="B19">
            <v>8</v>
          </cell>
          <cell r="C19" t="str">
            <v>km</v>
          </cell>
          <cell r="D19" t="str">
            <v>cum</v>
          </cell>
          <cell r="E19">
            <v>94.9</v>
          </cell>
          <cell r="F19">
            <v>107.6</v>
          </cell>
          <cell r="G19" t="str">
            <v>Tonne</v>
          </cell>
          <cell r="H19">
            <v>118.9</v>
          </cell>
          <cell r="K19">
            <v>1100</v>
          </cell>
          <cell r="O19">
            <v>1668</v>
          </cell>
          <cell r="P19">
            <v>56.5</v>
          </cell>
          <cell r="Q19">
            <v>3.65</v>
          </cell>
          <cell r="R19">
            <v>72.5</v>
          </cell>
          <cell r="U19">
            <v>3324</v>
          </cell>
          <cell r="V19">
            <v>85</v>
          </cell>
          <cell r="W19">
            <v>3.7</v>
          </cell>
          <cell r="X19">
            <v>108.75</v>
          </cell>
          <cell r="AB19">
            <v>288</v>
          </cell>
          <cell r="AE19">
            <v>380</v>
          </cell>
        </row>
        <row r="20">
          <cell r="B20">
            <v>9</v>
          </cell>
          <cell r="C20" t="str">
            <v>km</v>
          </cell>
          <cell r="D20" t="str">
            <v>cum</v>
          </cell>
          <cell r="E20">
            <v>99.1</v>
          </cell>
          <cell r="F20">
            <v>113.2</v>
          </cell>
          <cell r="G20" t="str">
            <v>Tonne</v>
          </cell>
          <cell r="H20">
            <v>122.2</v>
          </cell>
          <cell r="K20">
            <v>1200</v>
          </cell>
          <cell r="O20">
            <v>1893</v>
          </cell>
          <cell r="P20">
            <v>63</v>
          </cell>
          <cell r="Q20">
            <v>3.7</v>
          </cell>
          <cell r="R20">
            <v>72.5</v>
          </cell>
          <cell r="U20">
            <v>3921</v>
          </cell>
          <cell r="V20">
            <v>95</v>
          </cell>
          <cell r="W20">
            <v>3.75</v>
          </cell>
          <cell r="X20">
            <v>108.75</v>
          </cell>
          <cell r="AB20">
            <v>460</v>
          </cell>
          <cell r="AE20">
            <v>478</v>
          </cell>
        </row>
        <row r="21">
          <cell r="B21">
            <v>10</v>
          </cell>
          <cell r="C21" t="str">
            <v>km</v>
          </cell>
          <cell r="D21" t="str">
            <v>cum</v>
          </cell>
          <cell r="E21">
            <v>102.6</v>
          </cell>
          <cell r="F21">
            <v>115.6</v>
          </cell>
          <cell r="G21" t="str">
            <v>Tonne</v>
          </cell>
          <cell r="H21">
            <v>126.5</v>
          </cell>
          <cell r="K21">
            <v>1400</v>
          </cell>
          <cell r="O21">
            <v>2688</v>
          </cell>
          <cell r="P21">
            <v>78</v>
          </cell>
          <cell r="Q21">
            <v>3.7</v>
          </cell>
          <cell r="R21">
            <v>72.5</v>
          </cell>
          <cell r="U21">
            <v>5193</v>
          </cell>
          <cell r="V21">
            <v>127</v>
          </cell>
          <cell r="W21">
            <v>3.75</v>
          </cell>
          <cell r="X21">
            <v>108.75</v>
          </cell>
          <cell r="AB21">
            <v>506</v>
          </cell>
          <cell r="AE21">
            <v>526</v>
          </cell>
        </row>
        <row r="22">
          <cell r="B22">
            <v>11</v>
          </cell>
          <cell r="C22" t="str">
            <v>km</v>
          </cell>
          <cell r="D22" t="str">
            <v>cum</v>
          </cell>
          <cell r="E22">
            <v>107.8</v>
          </cell>
          <cell r="F22">
            <v>119.6</v>
          </cell>
          <cell r="G22" t="str">
            <v>Tonne</v>
          </cell>
          <cell r="H22">
            <v>130.4</v>
          </cell>
          <cell r="K22">
            <v>1600</v>
          </cell>
          <cell r="O22">
            <v>3325</v>
          </cell>
          <cell r="P22">
            <v>93</v>
          </cell>
          <cell r="Q22">
            <v>3.75</v>
          </cell>
          <cell r="R22">
            <v>72.5</v>
          </cell>
          <cell r="U22">
            <v>6738</v>
          </cell>
          <cell r="V22">
            <v>150</v>
          </cell>
          <cell r="W22">
            <v>4</v>
          </cell>
          <cell r="X22">
            <v>108.75</v>
          </cell>
          <cell r="AB22">
            <v>630</v>
          </cell>
          <cell r="AE22">
            <v>642</v>
          </cell>
        </row>
        <row r="23">
          <cell r="B23">
            <v>12</v>
          </cell>
          <cell r="C23" t="str">
            <v>km</v>
          </cell>
          <cell r="D23" t="str">
            <v>cum</v>
          </cell>
          <cell r="E23">
            <v>110.2</v>
          </cell>
          <cell r="F23">
            <v>124.4</v>
          </cell>
          <cell r="G23" t="str">
            <v>Tonne</v>
          </cell>
          <cell r="H23">
            <v>133.69999999999999</v>
          </cell>
          <cell r="K23">
            <v>1800</v>
          </cell>
          <cell r="O23">
            <v>3745</v>
          </cell>
          <cell r="P23">
            <v>115</v>
          </cell>
          <cell r="Q23">
            <v>3.75</v>
          </cell>
          <cell r="R23">
            <v>72.5</v>
          </cell>
          <cell r="U23">
            <v>8928</v>
          </cell>
          <cell r="V23">
            <v>200</v>
          </cell>
          <cell r="W23">
            <v>5.5</v>
          </cell>
          <cell r="X23">
            <v>108.75</v>
          </cell>
          <cell r="AB23">
            <v>785</v>
          </cell>
          <cell r="AE23">
            <v>820</v>
          </cell>
        </row>
        <row r="24">
          <cell r="B24">
            <v>13</v>
          </cell>
          <cell r="C24" t="str">
            <v>km</v>
          </cell>
          <cell r="D24" t="str">
            <v>cum</v>
          </cell>
          <cell r="E24">
            <v>113.6</v>
          </cell>
          <cell r="F24">
            <v>127.8</v>
          </cell>
          <cell r="G24" t="str">
            <v>Tonne</v>
          </cell>
          <cell r="H24">
            <v>137.69999999999999</v>
          </cell>
          <cell r="K24">
            <v>2000</v>
          </cell>
        </row>
        <row r="25">
          <cell r="B25">
            <v>14</v>
          </cell>
          <cell r="C25" t="str">
            <v>km</v>
          </cell>
          <cell r="D25" t="str">
            <v>cum</v>
          </cell>
          <cell r="E25">
            <v>117.7</v>
          </cell>
          <cell r="F25">
            <v>132.19999999999999</v>
          </cell>
          <cell r="G25" t="str">
            <v>Tonne</v>
          </cell>
          <cell r="H25">
            <v>140.9</v>
          </cell>
          <cell r="K25">
            <v>2200</v>
          </cell>
        </row>
        <row r="26">
          <cell r="B26">
            <v>15</v>
          </cell>
          <cell r="C26" t="str">
            <v>km</v>
          </cell>
          <cell r="D26" t="str">
            <v>cum</v>
          </cell>
          <cell r="E26">
            <v>121.3</v>
          </cell>
          <cell r="F26">
            <v>134.5</v>
          </cell>
          <cell r="G26" t="str">
            <v>Tonne</v>
          </cell>
          <cell r="H26">
            <v>145</v>
          </cell>
          <cell r="K26">
            <v>2400</v>
          </cell>
        </row>
        <row r="27">
          <cell r="B27">
            <v>16</v>
          </cell>
          <cell r="C27" t="str">
            <v>km</v>
          </cell>
          <cell r="D27" t="str">
            <v>cum</v>
          </cell>
          <cell r="E27">
            <v>123.6</v>
          </cell>
          <cell r="F27">
            <v>137.9</v>
          </cell>
          <cell r="G27" t="str">
            <v>Tonne</v>
          </cell>
          <cell r="H27">
            <v>148.19999999999999</v>
          </cell>
          <cell r="K27">
            <v>2600</v>
          </cell>
        </row>
        <row r="28">
          <cell r="B28">
            <v>17</v>
          </cell>
          <cell r="C28" t="str">
            <v>km</v>
          </cell>
          <cell r="D28" t="str">
            <v>cum</v>
          </cell>
          <cell r="E28">
            <v>128.80000000000001</v>
          </cell>
          <cell r="F28">
            <v>142.30000000000001</v>
          </cell>
          <cell r="G28" t="str">
            <v>Tonne</v>
          </cell>
          <cell r="H28">
            <v>151.69999999999999</v>
          </cell>
          <cell r="K28">
            <v>2800</v>
          </cell>
        </row>
        <row r="29">
          <cell r="B29">
            <v>18</v>
          </cell>
          <cell r="C29" t="str">
            <v>km</v>
          </cell>
          <cell r="D29" t="str">
            <v>cum</v>
          </cell>
          <cell r="E29">
            <v>132.4</v>
          </cell>
          <cell r="F29">
            <v>145.80000000000001</v>
          </cell>
          <cell r="G29" t="str">
            <v>Tonne</v>
          </cell>
          <cell r="H29">
            <v>155.5</v>
          </cell>
          <cell r="K29">
            <v>3000</v>
          </cell>
        </row>
        <row r="30">
          <cell r="B30">
            <v>19</v>
          </cell>
          <cell r="C30" t="str">
            <v>km</v>
          </cell>
          <cell r="D30" t="str">
            <v>cum</v>
          </cell>
          <cell r="E30">
            <v>135.6</v>
          </cell>
          <cell r="F30">
            <v>148</v>
          </cell>
          <cell r="G30" t="str">
            <v>Tonne</v>
          </cell>
          <cell r="H30">
            <v>159</v>
          </cell>
          <cell r="K30">
            <v>3200</v>
          </cell>
        </row>
        <row r="31">
          <cell r="B31">
            <v>20</v>
          </cell>
          <cell r="C31" t="str">
            <v>km</v>
          </cell>
          <cell r="D31" t="str">
            <v>cum</v>
          </cell>
          <cell r="E31">
            <v>139.9</v>
          </cell>
          <cell r="F31">
            <v>153.5</v>
          </cell>
          <cell r="G31" t="str">
            <v>Tonne</v>
          </cell>
          <cell r="H31">
            <v>163.80000000000001</v>
          </cell>
          <cell r="K31">
            <v>3400</v>
          </cell>
        </row>
        <row r="32">
          <cell r="B32">
            <v>21</v>
          </cell>
          <cell r="E32">
            <v>142.9</v>
          </cell>
          <cell r="F32">
            <v>157.30000000000001</v>
          </cell>
          <cell r="H32">
            <v>167.20000000000002</v>
          </cell>
          <cell r="K32">
            <v>3600</v>
          </cell>
        </row>
        <row r="33">
          <cell r="B33">
            <v>22</v>
          </cell>
          <cell r="E33">
            <v>145.9</v>
          </cell>
          <cell r="F33">
            <v>161.10000000000002</v>
          </cell>
          <cell r="H33">
            <v>170.60000000000002</v>
          </cell>
          <cell r="K33">
            <v>3800</v>
          </cell>
        </row>
        <row r="34">
          <cell r="B34">
            <v>23</v>
          </cell>
          <cell r="E34">
            <v>148.9</v>
          </cell>
          <cell r="F34">
            <v>164.90000000000003</v>
          </cell>
          <cell r="H34">
            <v>174.00000000000003</v>
          </cell>
          <cell r="K34">
            <v>4000</v>
          </cell>
        </row>
        <row r="35">
          <cell r="B35">
            <v>24</v>
          </cell>
          <cell r="E35">
            <v>151.9</v>
          </cell>
          <cell r="F35">
            <v>168.70000000000005</v>
          </cell>
          <cell r="H35">
            <v>177.40000000000003</v>
          </cell>
          <cell r="K35">
            <v>4200</v>
          </cell>
        </row>
        <row r="36">
          <cell r="B36">
            <v>25</v>
          </cell>
          <cell r="E36">
            <v>154.9</v>
          </cell>
          <cell r="F36">
            <v>172.50000000000006</v>
          </cell>
          <cell r="H36">
            <v>180.80000000000004</v>
          </cell>
          <cell r="K36">
            <v>4400</v>
          </cell>
        </row>
        <row r="37">
          <cell r="B37">
            <v>26</v>
          </cell>
          <cell r="E37">
            <v>157.9</v>
          </cell>
          <cell r="F37">
            <v>176.30000000000007</v>
          </cell>
          <cell r="H37">
            <v>184.20000000000005</v>
          </cell>
          <cell r="K37">
            <v>4600</v>
          </cell>
        </row>
        <row r="38">
          <cell r="B38">
            <v>27</v>
          </cell>
          <cell r="E38">
            <v>160.9</v>
          </cell>
          <cell r="F38">
            <v>180.10000000000008</v>
          </cell>
          <cell r="H38">
            <v>187.60000000000005</v>
          </cell>
          <cell r="K38">
            <v>4800</v>
          </cell>
        </row>
        <row r="39">
          <cell r="B39">
            <v>28</v>
          </cell>
          <cell r="E39">
            <v>163.9</v>
          </cell>
          <cell r="F39">
            <v>183.90000000000009</v>
          </cell>
          <cell r="H39">
            <v>191.00000000000006</v>
          </cell>
          <cell r="K39">
            <v>5000</v>
          </cell>
        </row>
        <row r="40">
          <cell r="B40">
            <v>29</v>
          </cell>
          <cell r="E40">
            <v>166.9</v>
          </cell>
          <cell r="F40">
            <v>187.7000000000001</v>
          </cell>
          <cell r="H40">
            <v>194.40000000000006</v>
          </cell>
          <cell r="K40">
            <v>5200</v>
          </cell>
        </row>
        <row r="41">
          <cell r="B41">
            <v>30</v>
          </cell>
          <cell r="E41">
            <v>169.9</v>
          </cell>
          <cell r="F41">
            <v>191.50000000000011</v>
          </cell>
          <cell r="H41">
            <v>197.80000000000007</v>
          </cell>
          <cell r="K41">
            <v>5400</v>
          </cell>
        </row>
        <row r="42">
          <cell r="B42">
            <v>31</v>
          </cell>
          <cell r="E42">
            <v>172.8</v>
          </cell>
          <cell r="F42">
            <v>195.00000000000011</v>
          </cell>
          <cell r="H42">
            <v>200.60000000000008</v>
          </cell>
          <cell r="K42">
            <v>5600</v>
          </cell>
        </row>
        <row r="43">
          <cell r="B43">
            <v>32</v>
          </cell>
          <cell r="E43">
            <v>175.70000000000002</v>
          </cell>
          <cell r="F43">
            <v>198.50000000000011</v>
          </cell>
          <cell r="H43">
            <v>203.40000000000009</v>
          </cell>
          <cell r="K43">
            <v>5800</v>
          </cell>
        </row>
        <row r="44">
          <cell r="B44">
            <v>33</v>
          </cell>
          <cell r="E44">
            <v>178.60000000000002</v>
          </cell>
          <cell r="F44">
            <v>202.00000000000011</v>
          </cell>
          <cell r="H44">
            <v>206.2000000000001</v>
          </cell>
          <cell r="K44">
            <v>6000</v>
          </cell>
        </row>
        <row r="45">
          <cell r="B45">
            <v>34</v>
          </cell>
          <cell r="E45">
            <v>181.50000000000003</v>
          </cell>
          <cell r="F45">
            <v>205.50000000000011</v>
          </cell>
          <cell r="H45">
            <v>209.00000000000011</v>
          </cell>
          <cell r="K45">
            <v>6200</v>
          </cell>
        </row>
        <row r="46">
          <cell r="B46">
            <v>35</v>
          </cell>
          <cell r="E46">
            <v>184.40000000000003</v>
          </cell>
          <cell r="F46">
            <v>209.00000000000011</v>
          </cell>
          <cell r="H46">
            <v>211.80000000000013</v>
          </cell>
          <cell r="K46">
            <v>6400</v>
          </cell>
        </row>
        <row r="47">
          <cell r="B47">
            <v>36</v>
          </cell>
          <cell r="E47">
            <v>187.30000000000004</v>
          </cell>
          <cell r="F47">
            <v>212.50000000000011</v>
          </cell>
          <cell r="H47">
            <v>214.60000000000014</v>
          </cell>
          <cell r="K47">
            <v>6600</v>
          </cell>
        </row>
        <row r="48">
          <cell r="B48">
            <v>37</v>
          </cell>
          <cell r="E48">
            <v>190.20000000000005</v>
          </cell>
          <cell r="F48">
            <v>216.00000000000011</v>
          </cell>
          <cell r="H48">
            <v>217.40000000000015</v>
          </cell>
          <cell r="K48">
            <v>6800</v>
          </cell>
        </row>
        <row r="49">
          <cell r="B49">
            <v>38</v>
          </cell>
          <cell r="E49">
            <v>193.10000000000005</v>
          </cell>
          <cell r="F49">
            <v>219.50000000000011</v>
          </cell>
          <cell r="H49">
            <v>220.20000000000016</v>
          </cell>
          <cell r="K49">
            <v>7000</v>
          </cell>
        </row>
        <row r="50">
          <cell r="B50">
            <v>39</v>
          </cell>
          <cell r="E50">
            <v>196.00000000000006</v>
          </cell>
          <cell r="F50">
            <v>223.00000000000011</v>
          </cell>
          <cell r="H50">
            <v>223.00000000000017</v>
          </cell>
          <cell r="K50">
            <v>7200</v>
          </cell>
        </row>
        <row r="51">
          <cell r="B51">
            <v>40</v>
          </cell>
          <cell r="E51">
            <v>198.90000000000006</v>
          </cell>
          <cell r="F51">
            <v>226.50000000000011</v>
          </cell>
          <cell r="H51">
            <v>225.80000000000018</v>
          </cell>
          <cell r="K51">
            <v>7400</v>
          </cell>
        </row>
        <row r="52">
          <cell r="B52">
            <v>41</v>
          </cell>
          <cell r="E52">
            <v>201.80000000000007</v>
          </cell>
          <cell r="F52">
            <v>230.00000000000011</v>
          </cell>
          <cell r="H52">
            <v>228.60000000000019</v>
          </cell>
          <cell r="K52">
            <v>7600</v>
          </cell>
        </row>
        <row r="53">
          <cell r="B53">
            <v>42</v>
          </cell>
          <cell r="E53">
            <v>204.70000000000007</v>
          </cell>
          <cell r="F53">
            <v>233.50000000000011</v>
          </cell>
          <cell r="H53">
            <v>231.4000000000002</v>
          </cell>
          <cell r="K53">
            <v>7800</v>
          </cell>
        </row>
        <row r="54">
          <cell r="B54">
            <v>43</v>
          </cell>
          <cell r="E54">
            <v>207.60000000000008</v>
          </cell>
          <cell r="F54">
            <v>237.00000000000011</v>
          </cell>
          <cell r="H54">
            <v>234.20000000000022</v>
          </cell>
          <cell r="K54">
            <v>8000</v>
          </cell>
        </row>
        <row r="55">
          <cell r="B55">
            <v>44</v>
          </cell>
          <cell r="E55">
            <v>210.50000000000009</v>
          </cell>
          <cell r="F55">
            <v>240.50000000000011</v>
          </cell>
          <cell r="H55">
            <v>237.00000000000023</v>
          </cell>
          <cell r="K55">
            <v>8200</v>
          </cell>
        </row>
        <row r="56">
          <cell r="B56">
            <v>45</v>
          </cell>
          <cell r="E56">
            <v>213.40000000000009</v>
          </cell>
          <cell r="F56">
            <v>244.00000000000011</v>
          </cell>
          <cell r="H56">
            <v>239.80000000000024</v>
          </cell>
          <cell r="K56">
            <v>8400</v>
          </cell>
        </row>
        <row r="57">
          <cell r="B57">
            <v>46</v>
          </cell>
          <cell r="E57">
            <v>216.3000000000001</v>
          </cell>
          <cell r="F57">
            <v>247.50000000000011</v>
          </cell>
          <cell r="H57">
            <v>242.60000000000025</v>
          </cell>
          <cell r="K57">
            <v>8600</v>
          </cell>
        </row>
        <row r="58">
          <cell r="B58">
            <v>47</v>
          </cell>
          <cell r="E58">
            <v>219.2000000000001</v>
          </cell>
          <cell r="F58">
            <v>251.00000000000011</v>
          </cell>
          <cell r="H58">
            <v>245.40000000000026</v>
          </cell>
          <cell r="K58">
            <v>8800</v>
          </cell>
        </row>
        <row r="59">
          <cell r="B59">
            <v>48</v>
          </cell>
          <cell r="E59">
            <v>222.10000000000011</v>
          </cell>
          <cell r="F59">
            <v>254.50000000000011</v>
          </cell>
          <cell r="H59">
            <v>248.20000000000027</v>
          </cell>
          <cell r="K59">
            <v>9000</v>
          </cell>
        </row>
        <row r="60">
          <cell r="B60">
            <v>49</v>
          </cell>
          <cell r="E60">
            <v>225.00000000000011</v>
          </cell>
          <cell r="F60">
            <v>258.00000000000011</v>
          </cell>
          <cell r="H60">
            <v>251.00000000000028</v>
          </cell>
          <cell r="K60">
            <v>9200</v>
          </cell>
        </row>
        <row r="61">
          <cell r="B61">
            <v>50</v>
          </cell>
          <cell r="E61">
            <v>227.90000000000012</v>
          </cell>
          <cell r="F61">
            <v>261.50000000000011</v>
          </cell>
          <cell r="H61">
            <v>253.8000000000003</v>
          </cell>
          <cell r="K61">
            <v>9400</v>
          </cell>
        </row>
        <row r="62">
          <cell r="B62">
            <v>51</v>
          </cell>
          <cell r="E62">
            <v>230.70000000000013</v>
          </cell>
          <cell r="F62">
            <v>264.60000000000014</v>
          </cell>
          <cell r="H62">
            <v>256.60000000000031</v>
          </cell>
          <cell r="K62">
            <v>9600</v>
          </cell>
        </row>
        <row r="63">
          <cell r="B63">
            <v>52</v>
          </cell>
          <cell r="E63">
            <v>233.50000000000014</v>
          </cell>
          <cell r="F63">
            <v>267.70000000000016</v>
          </cell>
          <cell r="H63">
            <v>259.40000000000032</v>
          </cell>
          <cell r="K63">
            <v>9800</v>
          </cell>
        </row>
        <row r="64">
          <cell r="B64">
            <v>53</v>
          </cell>
          <cell r="E64">
            <v>236.30000000000015</v>
          </cell>
          <cell r="F64">
            <v>270.80000000000018</v>
          </cell>
          <cell r="H64">
            <v>262.20000000000033</v>
          </cell>
          <cell r="K64">
            <v>10000</v>
          </cell>
        </row>
        <row r="65">
          <cell r="B65">
            <v>54</v>
          </cell>
          <cell r="E65">
            <v>239.10000000000016</v>
          </cell>
          <cell r="F65">
            <v>273.9000000000002</v>
          </cell>
          <cell r="H65">
            <v>265.00000000000034</v>
          </cell>
          <cell r="K65">
            <v>10200</v>
          </cell>
        </row>
        <row r="66">
          <cell r="B66">
            <v>55</v>
          </cell>
          <cell r="E66">
            <v>241.90000000000018</v>
          </cell>
          <cell r="F66">
            <v>277.00000000000023</v>
          </cell>
          <cell r="H66">
            <v>267.80000000000035</v>
          </cell>
          <cell r="K66">
            <v>10400</v>
          </cell>
        </row>
        <row r="67">
          <cell r="B67">
            <v>56</v>
          </cell>
          <cell r="E67">
            <v>244.70000000000019</v>
          </cell>
          <cell r="F67">
            <v>280.10000000000025</v>
          </cell>
          <cell r="H67">
            <v>270.60000000000036</v>
          </cell>
          <cell r="K67">
            <v>10600</v>
          </cell>
        </row>
        <row r="68">
          <cell r="B68">
            <v>57</v>
          </cell>
          <cell r="E68">
            <v>247.5000000000002</v>
          </cell>
          <cell r="F68">
            <v>283.20000000000027</v>
          </cell>
          <cell r="H68">
            <v>273.40000000000038</v>
          </cell>
          <cell r="K68">
            <v>10800</v>
          </cell>
        </row>
        <row r="69">
          <cell r="B69">
            <v>58</v>
          </cell>
          <cell r="E69">
            <v>250.30000000000021</v>
          </cell>
          <cell r="F69">
            <v>286.3000000000003</v>
          </cell>
          <cell r="H69">
            <v>276.20000000000039</v>
          </cell>
          <cell r="K69">
            <v>11000</v>
          </cell>
        </row>
        <row r="70">
          <cell r="B70">
            <v>59</v>
          </cell>
          <cell r="E70">
            <v>253.10000000000022</v>
          </cell>
          <cell r="F70">
            <v>289.40000000000032</v>
          </cell>
          <cell r="H70">
            <v>279.0000000000004</v>
          </cell>
          <cell r="K70">
            <v>11200</v>
          </cell>
        </row>
        <row r="71">
          <cell r="B71">
            <v>60</v>
          </cell>
          <cell r="E71">
            <v>255.90000000000023</v>
          </cell>
          <cell r="F71">
            <v>292.50000000000034</v>
          </cell>
          <cell r="H71">
            <v>281.80000000000041</v>
          </cell>
          <cell r="K71">
            <v>11400</v>
          </cell>
        </row>
        <row r="72">
          <cell r="B72">
            <v>61</v>
          </cell>
          <cell r="E72">
            <v>258.70000000000022</v>
          </cell>
          <cell r="F72">
            <v>295.60000000000036</v>
          </cell>
          <cell r="H72">
            <v>284.60000000000042</v>
          </cell>
          <cell r="K72">
            <v>11600</v>
          </cell>
        </row>
        <row r="73">
          <cell r="B73">
            <v>62</v>
          </cell>
          <cell r="E73">
            <v>261.50000000000023</v>
          </cell>
          <cell r="F73">
            <v>298.70000000000039</v>
          </cell>
          <cell r="H73">
            <v>287.40000000000043</v>
          </cell>
          <cell r="K73">
            <v>11800</v>
          </cell>
        </row>
        <row r="74">
          <cell r="B74">
            <v>63</v>
          </cell>
          <cell r="E74">
            <v>264.30000000000024</v>
          </cell>
          <cell r="F74">
            <v>301.80000000000041</v>
          </cell>
          <cell r="H74">
            <v>290.20000000000044</v>
          </cell>
          <cell r="K74">
            <v>12000</v>
          </cell>
        </row>
        <row r="75">
          <cell r="B75">
            <v>64</v>
          </cell>
          <cell r="E75">
            <v>267.10000000000025</v>
          </cell>
          <cell r="F75">
            <v>304.90000000000043</v>
          </cell>
          <cell r="H75">
            <v>293.00000000000045</v>
          </cell>
          <cell r="K75">
            <v>12200</v>
          </cell>
        </row>
        <row r="76">
          <cell r="B76">
            <v>65</v>
          </cell>
          <cell r="E76">
            <v>269.90000000000026</v>
          </cell>
          <cell r="F76">
            <v>308.00000000000045</v>
          </cell>
          <cell r="H76">
            <v>295.80000000000047</v>
          </cell>
          <cell r="K76">
            <v>12400</v>
          </cell>
        </row>
        <row r="77">
          <cell r="B77">
            <v>66</v>
          </cell>
          <cell r="E77">
            <v>272.70000000000027</v>
          </cell>
          <cell r="F77">
            <v>311.10000000000048</v>
          </cell>
          <cell r="H77">
            <v>298.60000000000048</v>
          </cell>
          <cell r="K77">
            <v>12600</v>
          </cell>
        </row>
        <row r="78">
          <cell r="B78">
            <v>67</v>
          </cell>
          <cell r="E78">
            <v>275.50000000000028</v>
          </cell>
          <cell r="F78">
            <v>314.2000000000005</v>
          </cell>
          <cell r="H78">
            <v>301.40000000000049</v>
          </cell>
          <cell r="K78">
            <v>12800</v>
          </cell>
        </row>
        <row r="79">
          <cell r="B79">
            <v>68</v>
          </cell>
          <cell r="E79">
            <v>278.3000000000003</v>
          </cell>
          <cell r="F79">
            <v>317.30000000000052</v>
          </cell>
          <cell r="H79">
            <v>304.2000000000005</v>
          </cell>
          <cell r="K79">
            <v>13000</v>
          </cell>
        </row>
        <row r="80">
          <cell r="B80">
            <v>69</v>
          </cell>
          <cell r="E80">
            <v>281.10000000000031</v>
          </cell>
          <cell r="F80">
            <v>320.40000000000055</v>
          </cell>
          <cell r="H80">
            <v>307.00000000000051</v>
          </cell>
          <cell r="K80">
            <v>13200</v>
          </cell>
        </row>
        <row r="81">
          <cell r="B81">
            <v>70</v>
          </cell>
          <cell r="E81">
            <v>283.90000000000032</v>
          </cell>
          <cell r="F81">
            <v>323.50000000000057</v>
          </cell>
          <cell r="H81">
            <v>309.80000000000052</v>
          </cell>
          <cell r="K81">
            <v>13400</v>
          </cell>
        </row>
        <row r="82">
          <cell r="B82">
            <v>71</v>
          </cell>
          <cell r="E82">
            <v>286.70000000000033</v>
          </cell>
          <cell r="F82">
            <v>326.60000000000059</v>
          </cell>
          <cell r="H82">
            <v>312.60000000000053</v>
          </cell>
          <cell r="K82">
            <v>13600</v>
          </cell>
        </row>
        <row r="83">
          <cell r="B83">
            <v>72</v>
          </cell>
          <cell r="E83">
            <v>289.50000000000034</v>
          </cell>
          <cell r="F83">
            <v>329.70000000000061</v>
          </cell>
          <cell r="H83">
            <v>315.40000000000055</v>
          </cell>
          <cell r="K83">
            <v>13800</v>
          </cell>
        </row>
        <row r="84">
          <cell r="B84">
            <v>73</v>
          </cell>
          <cell r="E84">
            <v>292.30000000000035</v>
          </cell>
          <cell r="F84">
            <v>332.80000000000064</v>
          </cell>
          <cell r="H84">
            <v>318.20000000000056</v>
          </cell>
          <cell r="K84">
            <v>14000</v>
          </cell>
        </row>
        <row r="85">
          <cell r="B85">
            <v>74</v>
          </cell>
          <cell r="E85">
            <v>295.10000000000036</v>
          </cell>
          <cell r="F85">
            <v>335.90000000000066</v>
          </cell>
          <cell r="H85">
            <v>321.00000000000057</v>
          </cell>
          <cell r="K85">
            <v>14200</v>
          </cell>
        </row>
        <row r="86">
          <cell r="B86">
            <v>75</v>
          </cell>
          <cell r="E86">
            <v>297.90000000000038</v>
          </cell>
          <cell r="F86">
            <v>339.00000000000068</v>
          </cell>
          <cell r="H86">
            <v>323.80000000000058</v>
          </cell>
          <cell r="K86">
            <v>14400</v>
          </cell>
        </row>
        <row r="87">
          <cell r="B87">
            <v>76</v>
          </cell>
          <cell r="E87">
            <v>300.70000000000039</v>
          </cell>
          <cell r="F87">
            <v>342.1000000000007</v>
          </cell>
          <cell r="H87">
            <v>326.60000000000059</v>
          </cell>
          <cell r="K87">
            <v>14600</v>
          </cell>
        </row>
        <row r="88">
          <cell r="B88">
            <v>77</v>
          </cell>
          <cell r="E88">
            <v>303.5000000000004</v>
          </cell>
          <cell r="F88">
            <v>345.20000000000073</v>
          </cell>
          <cell r="H88">
            <v>329.4000000000006</v>
          </cell>
          <cell r="K88">
            <v>14800</v>
          </cell>
        </row>
        <row r="89">
          <cell r="B89">
            <v>78</v>
          </cell>
          <cell r="E89">
            <v>306.30000000000041</v>
          </cell>
          <cell r="F89">
            <v>348.30000000000075</v>
          </cell>
          <cell r="H89">
            <v>332.20000000000061</v>
          </cell>
          <cell r="K89">
            <v>15000</v>
          </cell>
        </row>
        <row r="90">
          <cell r="B90">
            <v>79</v>
          </cell>
          <cell r="E90">
            <v>309.10000000000042</v>
          </cell>
          <cell r="F90">
            <v>351.40000000000077</v>
          </cell>
          <cell r="H90">
            <v>335.00000000000063</v>
          </cell>
          <cell r="K90">
            <v>15200</v>
          </cell>
        </row>
        <row r="91">
          <cell r="B91">
            <v>80</v>
          </cell>
          <cell r="E91">
            <v>311.90000000000043</v>
          </cell>
          <cell r="F91">
            <v>354.5000000000008</v>
          </cell>
          <cell r="H91">
            <v>337.80000000000064</v>
          </cell>
          <cell r="K91">
            <v>15400</v>
          </cell>
        </row>
        <row r="92">
          <cell r="B92">
            <v>81</v>
          </cell>
          <cell r="E92">
            <v>314.60000000000042</v>
          </cell>
          <cell r="F92">
            <v>357.5000000000008</v>
          </cell>
          <cell r="H92">
            <v>340.20000000000061</v>
          </cell>
          <cell r="K92">
            <v>15600</v>
          </cell>
        </row>
        <row r="93">
          <cell r="B93">
            <v>82</v>
          </cell>
          <cell r="E93">
            <v>317.30000000000041</v>
          </cell>
          <cell r="F93">
            <v>360.5000000000008</v>
          </cell>
          <cell r="H93">
            <v>342.60000000000059</v>
          </cell>
          <cell r="K93">
            <v>15800</v>
          </cell>
        </row>
        <row r="94">
          <cell r="B94">
            <v>83</v>
          </cell>
          <cell r="E94">
            <v>320.0000000000004</v>
          </cell>
          <cell r="F94">
            <v>363.5000000000008</v>
          </cell>
          <cell r="H94">
            <v>345.00000000000057</v>
          </cell>
          <cell r="K94">
            <v>16000</v>
          </cell>
        </row>
        <row r="95">
          <cell r="B95">
            <v>84</v>
          </cell>
          <cell r="E95">
            <v>322.70000000000039</v>
          </cell>
          <cell r="F95">
            <v>366.5000000000008</v>
          </cell>
          <cell r="H95">
            <v>347.40000000000055</v>
          </cell>
          <cell r="K95">
            <v>16200</v>
          </cell>
        </row>
        <row r="96">
          <cell r="B96">
            <v>85</v>
          </cell>
          <cell r="E96">
            <v>325.40000000000038</v>
          </cell>
          <cell r="F96">
            <v>369.5000000000008</v>
          </cell>
          <cell r="H96">
            <v>349.80000000000052</v>
          </cell>
          <cell r="K96">
            <v>16400</v>
          </cell>
        </row>
        <row r="97">
          <cell r="B97">
            <v>86</v>
          </cell>
          <cell r="E97">
            <v>328.10000000000036</v>
          </cell>
          <cell r="F97">
            <v>372.5000000000008</v>
          </cell>
          <cell r="H97">
            <v>352.2000000000005</v>
          </cell>
          <cell r="K97">
            <v>16600</v>
          </cell>
        </row>
        <row r="98">
          <cell r="B98">
            <v>87</v>
          </cell>
          <cell r="E98">
            <v>330.80000000000035</v>
          </cell>
          <cell r="F98">
            <v>375.5000000000008</v>
          </cell>
          <cell r="H98">
            <v>354.60000000000048</v>
          </cell>
          <cell r="K98">
            <v>16800</v>
          </cell>
        </row>
        <row r="99">
          <cell r="B99">
            <v>88</v>
          </cell>
          <cell r="E99">
            <v>333.50000000000034</v>
          </cell>
          <cell r="F99">
            <v>378.5000000000008</v>
          </cell>
          <cell r="H99">
            <v>357.00000000000045</v>
          </cell>
          <cell r="K99">
            <v>17000</v>
          </cell>
        </row>
        <row r="100">
          <cell r="B100">
            <v>89</v>
          </cell>
          <cell r="E100">
            <v>336.20000000000033</v>
          </cell>
          <cell r="F100">
            <v>381.5000000000008</v>
          </cell>
          <cell r="H100">
            <v>359.40000000000043</v>
          </cell>
          <cell r="K100">
            <v>17200</v>
          </cell>
        </row>
        <row r="101">
          <cell r="B101">
            <v>90</v>
          </cell>
          <cell r="E101">
            <v>338.90000000000032</v>
          </cell>
          <cell r="F101">
            <v>384.5000000000008</v>
          </cell>
          <cell r="H101">
            <v>361.80000000000041</v>
          </cell>
          <cell r="K101">
            <v>17400</v>
          </cell>
        </row>
        <row r="102">
          <cell r="B102">
            <v>91</v>
          </cell>
          <cell r="E102">
            <v>341.60000000000031</v>
          </cell>
          <cell r="F102">
            <v>387.5000000000008</v>
          </cell>
          <cell r="H102">
            <v>364.20000000000039</v>
          </cell>
          <cell r="K102">
            <v>17600</v>
          </cell>
        </row>
        <row r="103">
          <cell r="B103">
            <v>92</v>
          </cell>
          <cell r="E103">
            <v>344.3000000000003</v>
          </cell>
          <cell r="F103">
            <v>390.5000000000008</v>
          </cell>
          <cell r="H103">
            <v>366.60000000000036</v>
          </cell>
          <cell r="K103">
            <v>17800</v>
          </cell>
        </row>
        <row r="104">
          <cell r="B104">
            <v>93</v>
          </cell>
          <cell r="E104">
            <v>347.00000000000028</v>
          </cell>
          <cell r="F104">
            <v>393.5000000000008</v>
          </cell>
          <cell r="H104">
            <v>369.00000000000034</v>
          </cell>
          <cell r="K104">
            <v>18000</v>
          </cell>
        </row>
        <row r="105">
          <cell r="B105">
            <v>94</v>
          </cell>
          <cell r="E105">
            <v>349.70000000000027</v>
          </cell>
          <cell r="F105">
            <v>396.5000000000008</v>
          </cell>
          <cell r="H105">
            <v>371.40000000000032</v>
          </cell>
          <cell r="K105">
            <v>18200</v>
          </cell>
        </row>
        <row r="106">
          <cell r="B106">
            <v>95</v>
          </cell>
          <cell r="E106">
            <v>352.40000000000026</v>
          </cell>
          <cell r="F106">
            <v>399.5000000000008</v>
          </cell>
          <cell r="H106">
            <v>373.8000000000003</v>
          </cell>
          <cell r="K106">
            <v>18400</v>
          </cell>
        </row>
        <row r="107">
          <cell r="B107">
            <v>96</v>
          </cell>
          <cell r="E107">
            <v>355.10000000000025</v>
          </cell>
          <cell r="F107">
            <v>402.5000000000008</v>
          </cell>
          <cell r="H107">
            <v>376.20000000000027</v>
          </cell>
          <cell r="K107">
            <v>18600</v>
          </cell>
        </row>
        <row r="108">
          <cell r="B108">
            <v>97</v>
          </cell>
          <cell r="E108">
            <v>357.80000000000024</v>
          </cell>
          <cell r="F108">
            <v>405.5000000000008</v>
          </cell>
          <cell r="H108">
            <v>378.60000000000025</v>
          </cell>
          <cell r="K108">
            <v>18800</v>
          </cell>
        </row>
        <row r="109">
          <cell r="B109">
            <v>98</v>
          </cell>
          <cell r="E109">
            <v>360.50000000000023</v>
          </cell>
          <cell r="F109">
            <v>408.5000000000008</v>
          </cell>
          <cell r="H109">
            <v>381.00000000000023</v>
          </cell>
          <cell r="K109">
            <v>19000</v>
          </cell>
        </row>
        <row r="110">
          <cell r="B110">
            <v>99</v>
          </cell>
          <cell r="E110">
            <v>363.20000000000022</v>
          </cell>
          <cell r="F110">
            <v>411.5000000000008</v>
          </cell>
          <cell r="H110">
            <v>383.4000000000002</v>
          </cell>
          <cell r="K110">
            <v>19200</v>
          </cell>
        </row>
        <row r="111">
          <cell r="B111">
            <v>100</v>
          </cell>
          <cell r="E111">
            <v>365.9000000000002</v>
          </cell>
          <cell r="F111">
            <v>414.5000000000008</v>
          </cell>
          <cell r="H111">
            <v>385.80000000000018</v>
          </cell>
          <cell r="K111">
            <v>19400</v>
          </cell>
        </row>
        <row r="112">
          <cell r="B112">
            <v>101</v>
          </cell>
          <cell r="E112">
            <v>368.4000000000002</v>
          </cell>
          <cell r="F112">
            <v>417.30000000000081</v>
          </cell>
          <cell r="H112">
            <v>388.00000000000017</v>
          </cell>
          <cell r="K112">
            <v>19600</v>
          </cell>
        </row>
        <row r="113">
          <cell r="B113">
            <v>102</v>
          </cell>
          <cell r="E113">
            <v>370.9000000000002</v>
          </cell>
          <cell r="F113">
            <v>420.10000000000082</v>
          </cell>
          <cell r="H113">
            <v>390.20000000000016</v>
          </cell>
          <cell r="K113">
            <v>19800</v>
          </cell>
        </row>
        <row r="114">
          <cell r="B114">
            <v>103</v>
          </cell>
          <cell r="E114">
            <v>373.4000000000002</v>
          </cell>
          <cell r="F114">
            <v>422.90000000000083</v>
          </cell>
          <cell r="H114">
            <v>392.40000000000015</v>
          </cell>
          <cell r="K114">
            <v>20000</v>
          </cell>
        </row>
        <row r="115">
          <cell r="B115">
            <v>104</v>
          </cell>
          <cell r="E115">
            <v>375.9000000000002</v>
          </cell>
          <cell r="F115">
            <v>425.70000000000084</v>
          </cell>
          <cell r="H115">
            <v>394.60000000000014</v>
          </cell>
          <cell r="K115">
            <v>20200</v>
          </cell>
        </row>
        <row r="116">
          <cell r="B116">
            <v>105</v>
          </cell>
          <cell r="E116">
            <v>378.4000000000002</v>
          </cell>
          <cell r="F116">
            <v>428.50000000000085</v>
          </cell>
          <cell r="H116">
            <v>396.80000000000013</v>
          </cell>
          <cell r="K116">
            <v>20400</v>
          </cell>
        </row>
        <row r="117">
          <cell r="B117">
            <v>106</v>
          </cell>
          <cell r="E117">
            <v>380.9000000000002</v>
          </cell>
          <cell r="F117">
            <v>431.30000000000086</v>
          </cell>
          <cell r="H117">
            <v>399.00000000000011</v>
          </cell>
          <cell r="K117">
            <v>20600</v>
          </cell>
        </row>
        <row r="118">
          <cell r="B118">
            <v>107</v>
          </cell>
          <cell r="E118">
            <v>383.4000000000002</v>
          </cell>
          <cell r="F118">
            <v>434.10000000000088</v>
          </cell>
          <cell r="H118">
            <v>401.2000000000001</v>
          </cell>
          <cell r="K118">
            <v>20800</v>
          </cell>
        </row>
        <row r="119">
          <cell r="B119">
            <v>108</v>
          </cell>
          <cell r="E119">
            <v>385.9000000000002</v>
          </cell>
          <cell r="F119">
            <v>436.90000000000089</v>
          </cell>
          <cell r="H119">
            <v>403.40000000000009</v>
          </cell>
          <cell r="K119">
            <v>21000</v>
          </cell>
        </row>
        <row r="120">
          <cell r="B120">
            <v>109</v>
          </cell>
          <cell r="E120">
            <v>388.4000000000002</v>
          </cell>
          <cell r="F120">
            <v>439.7000000000009</v>
          </cell>
          <cell r="H120">
            <v>405.60000000000008</v>
          </cell>
          <cell r="K120">
            <v>21200</v>
          </cell>
        </row>
        <row r="121">
          <cell r="B121">
            <v>110</v>
          </cell>
          <cell r="E121">
            <v>390.9000000000002</v>
          </cell>
          <cell r="F121">
            <v>442.50000000000091</v>
          </cell>
          <cell r="H121">
            <v>407.80000000000007</v>
          </cell>
          <cell r="K121">
            <v>21400</v>
          </cell>
        </row>
        <row r="122">
          <cell r="B122">
            <v>111</v>
          </cell>
          <cell r="E122">
            <v>393.4000000000002</v>
          </cell>
          <cell r="F122">
            <v>445.30000000000092</v>
          </cell>
          <cell r="H122">
            <v>410.00000000000006</v>
          </cell>
          <cell r="K122">
            <v>21600</v>
          </cell>
        </row>
        <row r="123">
          <cell r="B123">
            <v>112</v>
          </cell>
          <cell r="E123">
            <v>395.9000000000002</v>
          </cell>
          <cell r="F123">
            <v>448.10000000000093</v>
          </cell>
          <cell r="H123">
            <v>412.20000000000005</v>
          </cell>
          <cell r="K123">
            <v>21800</v>
          </cell>
        </row>
        <row r="124">
          <cell r="B124">
            <v>113</v>
          </cell>
          <cell r="E124">
            <v>398.4000000000002</v>
          </cell>
          <cell r="F124">
            <v>450.90000000000094</v>
          </cell>
          <cell r="H124">
            <v>414.40000000000003</v>
          </cell>
          <cell r="K124">
            <v>22000</v>
          </cell>
        </row>
        <row r="125">
          <cell r="B125">
            <v>114</v>
          </cell>
          <cell r="E125">
            <v>400.9000000000002</v>
          </cell>
          <cell r="F125">
            <v>453.70000000000095</v>
          </cell>
          <cell r="H125">
            <v>416.6</v>
          </cell>
          <cell r="K125">
            <v>22200</v>
          </cell>
        </row>
        <row r="126">
          <cell r="B126">
            <v>115</v>
          </cell>
          <cell r="E126">
            <v>403.4000000000002</v>
          </cell>
          <cell r="F126">
            <v>456.50000000000097</v>
          </cell>
          <cell r="H126">
            <v>418.8</v>
          </cell>
          <cell r="K126">
            <v>22400</v>
          </cell>
        </row>
        <row r="127">
          <cell r="B127">
            <v>116</v>
          </cell>
          <cell r="E127">
            <v>405.9000000000002</v>
          </cell>
          <cell r="F127">
            <v>459.30000000000098</v>
          </cell>
          <cell r="H127">
            <v>421</v>
          </cell>
          <cell r="K127">
            <v>22600</v>
          </cell>
        </row>
        <row r="128">
          <cell r="B128">
            <v>117</v>
          </cell>
          <cell r="E128">
            <v>408.4000000000002</v>
          </cell>
          <cell r="F128">
            <v>462.10000000000099</v>
          </cell>
          <cell r="H128">
            <v>423.2</v>
          </cell>
          <cell r="K128">
            <v>22800</v>
          </cell>
        </row>
        <row r="129">
          <cell r="B129">
            <v>118</v>
          </cell>
          <cell r="E129">
            <v>410.9000000000002</v>
          </cell>
          <cell r="F129">
            <v>464.900000000001</v>
          </cell>
          <cell r="H129">
            <v>425.4</v>
          </cell>
          <cell r="K129">
            <v>23000</v>
          </cell>
        </row>
        <row r="130">
          <cell r="B130">
            <v>119</v>
          </cell>
          <cell r="E130">
            <v>413.4000000000002</v>
          </cell>
          <cell r="F130">
            <v>467.70000000000101</v>
          </cell>
          <cell r="H130">
            <v>427.59999999999997</v>
          </cell>
          <cell r="K130">
            <v>23200</v>
          </cell>
        </row>
        <row r="131">
          <cell r="B131">
            <v>120</v>
          </cell>
          <cell r="E131">
            <v>415.9000000000002</v>
          </cell>
          <cell r="F131">
            <v>470.50000000000102</v>
          </cell>
          <cell r="H131">
            <v>429.79999999999995</v>
          </cell>
          <cell r="K131">
            <v>23400</v>
          </cell>
        </row>
        <row r="132">
          <cell r="B132">
            <v>121</v>
          </cell>
          <cell r="E132">
            <v>418.4000000000002</v>
          </cell>
          <cell r="F132">
            <v>473.30000000000103</v>
          </cell>
          <cell r="H132">
            <v>431.99999999999994</v>
          </cell>
          <cell r="K132">
            <v>23600</v>
          </cell>
        </row>
        <row r="133">
          <cell r="B133">
            <v>122</v>
          </cell>
          <cell r="E133">
            <v>420.9000000000002</v>
          </cell>
          <cell r="F133">
            <v>476.10000000000105</v>
          </cell>
          <cell r="H133">
            <v>434.19999999999993</v>
          </cell>
          <cell r="K133">
            <v>23800</v>
          </cell>
        </row>
        <row r="134">
          <cell r="B134">
            <v>123</v>
          </cell>
          <cell r="E134">
            <v>423.4000000000002</v>
          </cell>
          <cell r="F134">
            <v>478.90000000000106</v>
          </cell>
          <cell r="H134">
            <v>436.39999999999992</v>
          </cell>
          <cell r="K134">
            <v>24000</v>
          </cell>
        </row>
        <row r="135">
          <cell r="B135">
            <v>124</v>
          </cell>
          <cell r="E135">
            <v>425.9000000000002</v>
          </cell>
          <cell r="F135">
            <v>481.70000000000107</v>
          </cell>
          <cell r="H135">
            <v>438.59999999999991</v>
          </cell>
          <cell r="K135">
            <v>24200</v>
          </cell>
        </row>
        <row r="136">
          <cell r="B136">
            <v>125</v>
          </cell>
          <cell r="E136">
            <v>428.4000000000002</v>
          </cell>
          <cell r="F136">
            <v>484.50000000000108</v>
          </cell>
          <cell r="H136">
            <v>440.7999999999999</v>
          </cell>
          <cell r="K136">
            <v>24400</v>
          </cell>
        </row>
        <row r="137">
          <cell r="B137">
            <v>126</v>
          </cell>
          <cell r="E137">
            <v>430.9000000000002</v>
          </cell>
          <cell r="F137">
            <v>487.30000000000109</v>
          </cell>
          <cell r="H137">
            <v>442.99999999999989</v>
          </cell>
          <cell r="K137">
            <v>24600</v>
          </cell>
        </row>
        <row r="138">
          <cell r="B138">
            <v>127</v>
          </cell>
          <cell r="E138">
            <v>433.4000000000002</v>
          </cell>
          <cell r="F138">
            <v>490.1000000000011</v>
          </cell>
          <cell r="H138">
            <v>445.19999999999987</v>
          </cell>
          <cell r="K138">
            <v>24800</v>
          </cell>
        </row>
        <row r="139">
          <cell r="B139">
            <v>128</v>
          </cell>
          <cell r="E139">
            <v>435.9000000000002</v>
          </cell>
          <cell r="F139">
            <v>492.90000000000111</v>
          </cell>
          <cell r="H139">
            <v>447.39999999999986</v>
          </cell>
          <cell r="K139">
            <v>25000</v>
          </cell>
        </row>
        <row r="140">
          <cell r="B140">
            <v>129</v>
          </cell>
          <cell r="E140">
            <v>438.4000000000002</v>
          </cell>
          <cell r="F140">
            <v>495.70000000000113</v>
          </cell>
          <cell r="H140">
            <v>449.59999999999985</v>
          </cell>
          <cell r="K140">
            <v>25200</v>
          </cell>
        </row>
        <row r="141">
          <cell r="B141">
            <v>130</v>
          </cell>
          <cell r="E141">
            <v>440.9000000000002</v>
          </cell>
          <cell r="F141">
            <v>498.50000000000114</v>
          </cell>
          <cell r="H141">
            <v>451.79999999999984</v>
          </cell>
          <cell r="K141">
            <v>25400</v>
          </cell>
        </row>
        <row r="142">
          <cell r="B142">
            <v>131</v>
          </cell>
          <cell r="E142">
            <v>443.4000000000002</v>
          </cell>
          <cell r="F142">
            <v>501.30000000000115</v>
          </cell>
          <cell r="H142">
            <v>453.99999999999983</v>
          </cell>
          <cell r="K142">
            <v>25600</v>
          </cell>
        </row>
        <row r="143">
          <cell r="B143">
            <v>132</v>
          </cell>
          <cell r="E143">
            <v>445.9000000000002</v>
          </cell>
          <cell r="F143">
            <v>504.10000000000116</v>
          </cell>
          <cell r="H143">
            <v>456.19999999999982</v>
          </cell>
          <cell r="K143">
            <v>25800</v>
          </cell>
        </row>
        <row r="144">
          <cell r="B144">
            <v>133</v>
          </cell>
          <cell r="E144">
            <v>448.4000000000002</v>
          </cell>
          <cell r="F144">
            <v>506.90000000000117</v>
          </cell>
          <cell r="H144">
            <v>458.39999999999981</v>
          </cell>
          <cell r="K144">
            <v>26000</v>
          </cell>
        </row>
        <row r="145">
          <cell r="B145">
            <v>134</v>
          </cell>
          <cell r="E145">
            <v>450.9000000000002</v>
          </cell>
          <cell r="F145">
            <v>509.70000000000118</v>
          </cell>
          <cell r="H145">
            <v>460.5999999999998</v>
          </cell>
          <cell r="K145">
            <v>26200</v>
          </cell>
        </row>
        <row r="146">
          <cell r="B146">
            <v>135</v>
          </cell>
          <cell r="E146">
            <v>453.4000000000002</v>
          </cell>
          <cell r="F146">
            <v>512.50000000000114</v>
          </cell>
          <cell r="H146">
            <v>462.79999999999978</v>
          </cell>
          <cell r="K146">
            <v>26400</v>
          </cell>
        </row>
        <row r="147">
          <cell r="B147">
            <v>136</v>
          </cell>
          <cell r="E147">
            <v>455.9000000000002</v>
          </cell>
          <cell r="F147">
            <v>515.30000000000109</v>
          </cell>
          <cell r="H147">
            <v>464.99999999999977</v>
          </cell>
          <cell r="K147">
            <v>26600</v>
          </cell>
        </row>
        <row r="148">
          <cell r="B148">
            <v>137</v>
          </cell>
          <cell r="E148">
            <v>458.4000000000002</v>
          </cell>
          <cell r="F148">
            <v>518.10000000000105</v>
          </cell>
          <cell r="H148">
            <v>467.19999999999976</v>
          </cell>
          <cell r="K148">
            <v>26800</v>
          </cell>
        </row>
        <row r="149">
          <cell r="B149">
            <v>138</v>
          </cell>
          <cell r="E149">
            <v>460.9000000000002</v>
          </cell>
          <cell r="F149">
            <v>520.900000000001</v>
          </cell>
          <cell r="H149">
            <v>469.39999999999975</v>
          </cell>
          <cell r="K149">
            <v>27000</v>
          </cell>
        </row>
        <row r="150">
          <cell r="B150">
            <v>139</v>
          </cell>
          <cell r="E150">
            <v>463.4000000000002</v>
          </cell>
          <cell r="F150">
            <v>523.70000000000095</v>
          </cell>
          <cell r="H150">
            <v>471.59999999999974</v>
          </cell>
          <cell r="K150">
            <v>27200</v>
          </cell>
        </row>
        <row r="151">
          <cell r="B151">
            <v>140</v>
          </cell>
          <cell r="E151">
            <v>465.9000000000002</v>
          </cell>
          <cell r="F151">
            <v>526.50000000000091</v>
          </cell>
          <cell r="H151">
            <v>473.79999999999973</v>
          </cell>
          <cell r="K151">
            <v>27400</v>
          </cell>
        </row>
        <row r="152">
          <cell r="B152">
            <v>141</v>
          </cell>
          <cell r="E152">
            <v>468.4000000000002</v>
          </cell>
          <cell r="F152">
            <v>529.30000000000086</v>
          </cell>
          <cell r="H152">
            <v>475.99999999999972</v>
          </cell>
          <cell r="K152">
            <v>27600</v>
          </cell>
        </row>
        <row r="153">
          <cell r="B153">
            <v>142</v>
          </cell>
          <cell r="E153">
            <v>470.9000000000002</v>
          </cell>
          <cell r="F153">
            <v>532.10000000000082</v>
          </cell>
          <cell r="H153">
            <v>478.1999999999997</v>
          </cell>
          <cell r="K153">
            <v>27800</v>
          </cell>
        </row>
        <row r="154">
          <cell r="B154">
            <v>143</v>
          </cell>
          <cell r="E154">
            <v>473.4000000000002</v>
          </cell>
          <cell r="F154">
            <v>534.90000000000077</v>
          </cell>
          <cell r="H154">
            <v>480.39999999999969</v>
          </cell>
          <cell r="K154">
            <v>28000</v>
          </cell>
        </row>
        <row r="155">
          <cell r="B155">
            <v>144</v>
          </cell>
          <cell r="E155">
            <v>475.9000000000002</v>
          </cell>
          <cell r="F155">
            <v>537.70000000000073</v>
          </cell>
          <cell r="H155">
            <v>482.59999999999968</v>
          </cell>
          <cell r="K155">
            <v>28200</v>
          </cell>
        </row>
        <row r="156">
          <cell r="B156">
            <v>145</v>
          </cell>
          <cell r="E156">
            <v>478.4000000000002</v>
          </cell>
          <cell r="F156">
            <v>540.50000000000068</v>
          </cell>
          <cell r="H156">
            <v>484.79999999999967</v>
          </cell>
          <cell r="K156">
            <v>28400</v>
          </cell>
        </row>
        <row r="157">
          <cell r="B157">
            <v>146</v>
          </cell>
          <cell r="E157">
            <v>480.9000000000002</v>
          </cell>
          <cell r="F157">
            <v>543.30000000000064</v>
          </cell>
          <cell r="H157">
            <v>486.99999999999966</v>
          </cell>
          <cell r="K157">
            <v>28600</v>
          </cell>
        </row>
        <row r="158">
          <cell r="B158">
            <v>147</v>
          </cell>
          <cell r="E158">
            <v>483.4000000000002</v>
          </cell>
          <cell r="F158">
            <v>546.10000000000059</v>
          </cell>
          <cell r="H158">
            <v>489.19999999999965</v>
          </cell>
          <cell r="K158">
            <v>28800</v>
          </cell>
        </row>
        <row r="159">
          <cell r="B159">
            <v>148</v>
          </cell>
          <cell r="E159">
            <v>485.9000000000002</v>
          </cell>
          <cell r="F159">
            <v>548.90000000000055</v>
          </cell>
          <cell r="H159">
            <v>491.39999999999964</v>
          </cell>
          <cell r="K159">
            <v>29000</v>
          </cell>
        </row>
        <row r="160">
          <cell r="B160">
            <v>149</v>
          </cell>
          <cell r="E160">
            <v>488.4000000000002</v>
          </cell>
          <cell r="F160">
            <v>551.7000000000005</v>
          </cell>
          <cell r="H160">
            <v>493.59999999999962</v>
          </cell>
          <cell r="K160">
            <v>29200</v>
          </cell>
        </row>
        <row r="161">
          <cell r="B161">
            <v>150</v>
          </cell>
          <cell r="E161">
            <v>490.9000000000002</v>
          </cell>
          <cell r="F161">
            <v>554.50000000000045</v>
          </cell>
          <cell r="H161">
            <v>495.79999999999961</v>
          </cell>
          <cell r="K161">
            <v>29400</v>
          </cell>
        </row>
        <row r="162">
          <cell r="B162">
            <v>151</v>
          </cell>
          <cell r="E162">
            <v>493.4000000000002</v>
          </cell>
          <cell r="F162">
            <v>557.30000000000041</v>
          </cell>
          <cell r="H162">
            <v>497.9999999999996</v>
          </cell>
          <cell r="K162">
            <v>29600</v>
          </cell>
        </row>
        <row r="163">
          <cell r="B163">
            <v>152</v>
          </cell>
          <cell r="E163">
            <v>495.9000000000002</v>
          </cell>
          <cell r="F163">
            <v>560.10000000000036</v>
          </cell>
          <cell r="H163">
            <v>500.19999999999959</v>
          </cell>
          <cell r="K163">
            <v>29800</v>
          </cell>
        </row>
        <row r="164">
          <cell r="B164">
            <v>153</v>
          </cell>
          <cell r="E164">
            <v>498.4000000000002</v>
          </cell>
          <cell r="F164">
            <v>562.90000000000032</v>
          </cell>
          <cell r="H164">
            <v>502.39999999999958</v>
          </cell>
          <cell r="K164">
            <v>30000</v>
          </cell>
        </row>
        <row r="165">
          <cell r="B165">
            <v>154</v>
          </cell>
          <cell r="E165">
            <v>500.9000000000002</v>
          </cell>
          <cell r="F165">
            <v>565.70000000000027</v>
          </cell>
          <cell r="H165">
            <v>504.59999999999957</v>
          </cell>
          <cell r="K165">
            <v>30200</v>
          </cell>
        </row>
        <row r="166">
          <cell r="B166">
            <v>155</v>
          </cell>
          <cell r="E166">
            <v>503.4000000000002</v>
          </cell>
          <cell r="F166">
            <v>568.50000000000023</v>
          </cell>
          <cell r="H166">
            <v>506.79999999999956</v>
          </cell>
          <cell r="K166">
            <v>30400</v>
          </cell>
        </row>
        <row r="167">
          <cell r="B167">
            <v>156</v>
          </cell>
          <cell r="E167">
            <v>505.9000000000002</v>
          </cell>
          <cell r="F167">
            <v>571.30000000000018</v>
          </cell>
          <cell r="H167">
            <v>508.99999999999955</v>
          </cell>
          <cell r="K167">
            <v>30600</v>
          </cell>
        </row>
        <row r="168">
          <cell r="B168">
            <v>157</v>
          </cell>
          <cell r="E168">
            <v>508.4000000000002</v>
          </cell>
          <cell r="F168">
            <v>574.10000000000014</v>
          </cell>
          <cell r="H168">
            <v>511.19999999999953</v>
          </cell>
          <cell r="K168">
            <v>30800</v>
          </cell>
        </row>
        <row r="169">
          <cell r="B169">
            <v>158</v>
          </cell>
          <cell r="E169">
            <v>510.9000000000002</v>
          </cell>
          <cell r="F169">
            <v>576.90000000000009</v>
          </cell>
          <cell r="H169">
            <v>513.39999999999952</v>
          </cell>
          <cell r="K169">
            <v>31000</v>
          </cell>
        </row>
        <row r="170">
          <cell r="B170">
            <v>159</v>
          </cell>
          <cell r="E170">
            <v>513.4000000000002</v>
          </cell>
          <cell r="F170">
            <v>579.70000000000005</v>
          </cell>
          <cell r="H170">
            <v>515.59999999999957</v>
          </cell>
          <cell r="K170">
            <v>31200</v>
          </cell>
        </row>
        <row r="171">
          <cell r="B171">
            <v>160</v>
          </cell>
          <cell r="E171">
            <v>515.9000000000002</v>
          </cell>
          <cell r="F171">
            <v>582.5</v>
          </cell>
          <cell r="H171">
            <v>517.79999999999961</v>
          </cell>
          <cell r="K171">
            <v>31400</v>
          </cell>
        </row>
        <row r="172">
          <cell r="B172">
            <v>161</v>
          </cell>
          <cell r="E172">
            <v>518.4000000000002</v>
          </cell>
          <cell r="F172">
            <v>585.29999999999995</v>
          </cell>
          <cell r="H172">
            <v>519.99999999999966</v>
          </cell>
          <cell r="K172">
            <v>31600</v>
          </cell>
        </row>
        <row r="173">
          <cell r="B173">
            <v>162</v>
          </cell>
          <cell r="E173">
            <v>520.9000000000002</v>
          </cell>
          <cell r="F173">
            <v>588.09999999999991</v>
          </cell>
          <cell r="H173">
            <v>522.1999999999997</v>
          </cell>
          <cell r="K173">
            <v>31800</v>
          </cell>
        </row>
        <row r="174">
          <cell r="B174">
            <v>163</v>
          </cell>
          <cell r="E174">
            <v>523.4000000000002</v>
          </cell>
          <cell r="F174">
            <v>590.89999999999986</v>
          </cell>
          <cell r="H174">
            <v>524.39999999999975</v>
          </cell>
          <cell r="K174">
            <v>32000</v>
          </cell>
        </row>
        <row r="175">
          <cell r="B175">
            <v>164</v>
          </cell>
          <cell r="E175">
            <v>525.9000000000002</v>
          </cell>
          <cell r="F175">
            <v>593.69999999999982</v>
          </cell>
          <cell r="H175">
            <v>526.5999999999998</v>
          </cell>
          <cell r="K175">
            <v>32200</v>
          </cell>
        </row>
        <row r="176">
          <cell r="B176">
            <v>165</v>
          </cell>
          <cell r="E176">
            <v>528.4000000000002</v>
          </cell>
          <cell r="F176">
            <v>596.49999999999977</v>
          </cell>
          <cell r="H176">
            <v>528.79999999999984</v>
          </cell>
          <cell r="K176">
            <v>32400</v>
          </cell>
        </row>
        <row r="177">
          <cell r="B177">
            <v>166</v>
          </cell>
          <cell r="E177">
            <v>530.9000000000002</v>
          </cell>
          <cell r="F177">
            <v>599.29999999999973</v>
          </cell>
          <cell r="H177">
            <v>530.99999999999989</v>
          </cell>
          <cell r="K177">
            <v>32600</v>
          </cell>
        </row>
        <row r="178">
          <cell r="B178">
            <v>167</v>
          </cell>
          <cell r="E178">
            <v>533.4000000000002</v>
          </cell>
          <cell r="F178">
            <v>602.09999999999968</v>
          </cell>
          <cell r="H178">
            <v>533.19999999999993</v>
          </cell>
          <cell r="K178">
            <v>32800</v>
          </cell>
        </row>
        <row r="179">
          <cell r="B179">
            <v>168</v>
          </cell>
          <cell r="E179">
            <v>535.9000000000002</v>
          </cell>
          <cell r="F179">
            <v>604.89999999999964</v>
          </cell>
          <cell r="H179">
            <v>535.4</v>
          </cell>
          <cell r="K179">
            <v>33000</v>
          </cell>
        </row>
        <row r="180">
          <cell r="B180">
            <v>169</v>
          </cell>
          <cell r="E180">
            <v>538.4000000000002</v>
          </cell>
          <cell r="F180">
            <v>607.69999999999959</v>
          </cell>
          <cell r="H180">
            <v>537.6</v>
          </cell>
          <cell r="K180">
            <v>33200</v>
          </cell>
        </row>
        <row r="181">
          <cell r="B181">
            <v>170</v>
          </cell>
          <cell r="E181">
            <v>540.9000000000002</v>
          </cell>
          <cell r="F181">
            <v>610.49999999999955</v>
          </cell>
          <cell r="H181">
            <v>539.80000000000007</v>
          </cell>
          <cell r="K181">
            <v>33400</v>
          </cell>
        </row>
        <row r="182">
          <cell r="B182">
            <v>171</v>
          </cell>
          <cell r="E182">
            <v>543.4000000000002</v>
          </cell>
          <cell r="F182">
            <v>613.2999999999995</v>
          </cell>
          <cell r="H182">
            <v>542.00000000000011</v>
          </cell>
          <cell r="K182">
            <v>33600</v>
          </cell>
        </row>
        <row r="183">
          <cell r="B183">
            <v>172</v>
          </cell>
          <cell r="E183">
            <v>545.9000000000002</v>
          </cell>
          <cell r="F183">
            <v>616.09999999999945</v>
          </cell>
          <cell r="H183">
            <v>544.20000000000016</v>
          </cell>
          <cell r="K183">
            <v>33800</v>
          </cell>
        </row>
        <row r="184">
          <cell r="B184">
            <v>173</v>
          </cell>
          <cell r="E184">
            <v>548.4000000000002</v>
          </cell>
          <cell r="F184">
            <v>618.89999999999941</v>
          </cell>
          <cell r="H184">
            <v>546.4000000000002</v>
          </cell>
          <cell r="K184">
            <v>34000</v>
          </cell>
        </row>
        <row r="185">
          <cell r="B185">
            <v>174</v>
          </cell>
          <cell r="E185">
            <v>550.9000000000002</v>
          </cell>
          <cell r="F185">
            <v>621.69999999999936</v>
          </cell>
          <cell r="H185">
            <v>548.60000000000025</v>
          </cell>
          <cell r="K185">
            <v>34200</v>
          </cell>
        </row>
        <row r="186">
          <cell r="B186">
            <v>175</v>
          </cell>
          <cell r="E186">
            <v>553.4000000000002</v>
          </cell>
          <cell r="F186">
            <v>624.49999999999932</v>
          </cell>
          <cell r="H186">
            <v>550.8000000000003</v>
          </cell>
          <cell r="K186">
            <v>34400</v>
          </cell>
        </row>
        <row r="187">
          <cell r="B187">
            <v>176</v>
          </cell>
          <cell r="E187">
            <v>555.9000000000002</v>
          </cell>
          <cell r="F187">
            <v>627.29999999999927</v>
          </cell>
          <cell r="H187">
            <v>553.00000000000034</v>
          </cell>
          <cell r="K187">
            <v>34600</v>
          </cell>
        </row>
        <row r="188">
          <cell r="B188">
            <v>177</v>
          </cell>
          <cell r="E188">
            <v>558.4000000000002</v>
          </cell>
          <cell r="F188">
            <v>630.09999999999923</v>
          </cell>
          <cell r="H188">
            <v>555.20000000000039</v>
          </cell>
          <cell r="K188">
            <v>34800</v>
          </cell>
        </row>
        <row r="189">
          <cell r="B189">
            <v>178</v>
          </cell>
          <cell r="E189">
            <v>560.9000000000002</v>
          </cell>
          <cell r="F189">
            <v>632.89999999999918</v>
          </cell>
          <cell r="H189">
            <v>557.40000000000043</v>
          </cell>
          <cell r="K189">
            <v>35000</v>
          </cell>
        </row>
        <row r="190">
          <cell r="B190">
            <v>179</v>
          </cell>
          <cell r="E190">
            <v>563.4000000000002</v>
          </cell>
          <cell r="F190">
            <v>635.69999999999914</v>
          </cell>
          <cell r="H190">
            <v>559.60000000000048</v>
          </cell>
          <cell r="K190">
            <v>35200</v>
          </cell>
        </row>
        <row r="191">
          <cell r="B191">
            <v>180</v>
          </cell>
          <cell r="E191">
            <v>565.9000000000002</v>
          </cell>
          <cell r="F191">
            <v>638.49999999999909</v>
          </cell>
          <cell r="H191">
            <v>561.80000000000052</v>
          </cell>
          <cell r="K191">
            <v>35400</v>
          </cell>
        </row>
        <row r="192">
          <cell r="B192">
            <v>181</v>
          </cell>
          <cell r="E192">
            <v>568.4000000000002</v>
          </cell>
          <cell r="F192">
            <v>641.29999999999905</v>
          </cell>
          <cell r="H192">
            <v>564.00000000000057</v>
          </cell>
          <cell r="K192">
            <v>35600</v>
          </cell>
        </row>
        <row r="193">
          <cell r="B193">
            <v>182</v>
          </cell>
          <cell r="E193">
            <v>570.9000000000002</v>
          </cell>
          <cell r="F193">
            <v>644.099999999999</v>
          </cell>
          <cell r="H193">
            <v>566.20000000000061</v>
          </cell>
          <cell r="K193">
            <v>35800</v>
          </cell>
        </row>
        <row r="194">
          <cell r="B194">
            <v>183</v>
          </cell>
          <cell r="E194">
            <v>573.4000000000002</v>
          </cell>
          <cell r="F194">
            <v>646.89999999999895</v>
          </cell>
          <cell r="H194">
            <v>568.40000000000066</v>
          </cell>
          <cell r="K194">
            <v>36000</v>
          </cell>
        </row>
        <row r="195">
          <cell r="B195">
            <v>184</v>
          </cell>
          <cell r="E195">
            <v>575.9000000000002</v>
          </cell>
          <cell r="F195">
            <v>649.69999999999891</v>
          </cell>
          <cell r="H195">
            <v>570.6000000000007</v>
          </cell>
          <cell r="K195">
            <v>36200</v>
          </cell>
        </row>
        <row r="196">
          <cell r="B196">
            <v>185</v>
          </cell>
          <cell r="E196">
            <v>578.4000000000002</v>
          </cell>
          <cell r="F196">
            <v>652.49999999999886</v>
          </cell>
          <cell r="H196">
            <v>572.80000000000075</v>
          </cell>
          <cell r="K196">
            <v>36400</v>
          </cell>
        </row>
        <row r="197">
          <cell r="B197">
            <v>186</v>
          </cell>
          <cell r="E197">
            <v>580.9000000000002</v>
          </cell>
          <cell r="F197">
            <v>655.29999999999882</v>
          </cell>
          <cell r="H197">
            <v>575.0000000000008</v>
          </cell>
          <cell r="K197">
            <v>36600</v>
          </cell>
        </row>
        <row r="198">
          <cell r="B198">
            <v>187</v>
          </cell>
          <cell r="E198">
            <v>583.4000000000002</v>
          </cell>
          <cell r="F198">
            <v>658.09999999999877</v>
          </cell>
          <cell r="H198">
            <v>577.20000000000084</v>
          </cell>
          <cell r="K198">
            <v>36800</v>
          </cell>
        </row>
        <row r="199">
          <cell r="B199">
            <v>188</v>
          </cell>
          <cell r="E199">
            <v>585.9000000000002</v>
          </cell>
          <cell r="F199">
            <v>660.89999999999873</v>
          </cell>
          <cell r="H199">
            <v>579.40000000000089</v>
          </cell>
          <cell r="K199">
            <v>37000</v>
          </cell>
        </row>
        <row r="200">
          <cell r="B200">
            <v>189</v>
          </cell>
          <cell r="E200">
            <v>588.4000000000002</v>
          </cell>
          <cell r="F200">
            <v>663.69999999999868</v>
          </cell>
          <cell r="H200">
            <v>581.60000000000093</v>
          </cell>
          <cell r="K200">
            <v>37200</v>
          </cell>
        </row>
        <row r="201">
          <cell r="B201">
            <v>190</v>
          </cell>
          <cell r="E201">
            <v>590.9000000000002</v>
          </cell>
          <cell r="F201">
            <v>666.49999999999864</v>
          </cell>
          <cell r="H201">
            <v>583.80000000000098</v>
          </cell>
          <cell r="K201">
            <v>37400</v>
          </cell>
        </row>
        <row r="202">
          <cell r="B202">
            <v>191</v>
          </cell>
          <cell r="E202">
            <v>593.4000000000002</v>
          </cell>
          <cell r="F202">
            <v>669.29999999999859</v>
          </cell>
          <cell r="H202">
            <v>586.00000000000102</v>
          </cell>
          <cell r="K202">
            <v>37600</v>
          </cell>
        </row>
        <row r="203">
          <cell r="B203">
            <v>192</v>
          </cell>
          <cell r="E203">
            <v>595.9000000000002</v>
          </cell>
          <cell r="F203">
            <v>672.09999999999854</v>
          </cell>
          <cell r="H203">
            <v>588.20000000000107</v>
          </cell>
          <cell r="K203">
            <v>37800</v>
          </cell>
        </row>
        <row r="204">
          <cell r="B204">
            <v>193</v>
          </cell>
          <cell r="E204">
            <v>598.4000000000002</v>
          </cell>
          <cell r="F204">
            <v>674.8999999999985</v>
          </cell>
          <cell r="H204">
            <v>590.40000000000111</v>
          </cell>
          <cell r="K204">
            <v>38000</v>
          </cell>
        </row>
        <row r="205">
          <cell r="B205">
            <v>194</v>
          </cell>
          <cell r="E205">
            <v>600.9000000000002</v>
          </cell>
          <cell r="F205">
            <v>677.69999999999845</v>
          </cell>
          <cell r="H205">
            <v>592.60000000000116</v>
          </cell>
          <cell r="K205">
            <v>38200</v>
          </cell>
        </row>
        <row r="206">
          <cell r="B206">
            <v>195</v>
          </cell>
          <cell r="E206">
            <v>603.4000000000002</v>
          </cell>
          <cell r="F206">
            <v>680.49999999999841</v>
          </cell>
          <cell r="H206">
            <v>594.80000000000121</v>
          </cell>
          <cell r="K206">
            <v>38400</v>
          </cell>
        </row>
        <row r="207">
          <cell r="B207">
            <v>196</v>
          </cell>
          <cell r="E207">
            <v>605.9000000000002</v>
          </cell>
          <cell r="F207">
            <v>683.29999999999836</v>
          </cell>
          <cell r="H207">
            <v>597.00000000000125</v>
          </cell>
          <cell r="K207">
            <v>38600</v>
          </cell>
        </row>
        <row r="208">
          <cell r="B208">
            <v>197</v>
          </cell>
          <cell r="E208">
            <v>608.4000000000002</v>
          </cell>
          <cell r="F208">
            <v>686.09999999999832</v>
          </cell>
          <cell r="H208">
            <v>599.2000000000013</v>
          </cell>
          <cell r="K208">
            <v>38800</v>
          </cell>
        </row>
        <row r="209">
          <cell r="B209">
            <v>198</v>
          </cell>
          <cell r="E209">
            <v>610.9000000000002</v>
          </cell>
          <cell r="F209">
            <v>688.89999999999827</v>
          </cell>
          <cell r="H209">
            <v>601.40000000000134</v>
          </cell>
          <cell r="K209">
            <v>39000</v>
          </cell>
        </row>
        <row r="210">
          <cell r="B210">
            <v>199</v>
          </cell>
          <cell r="E210">
            <v>613.4000000000002</v>
          </cell>
          <cell r="F210">
            <v>691.69999999999823</v>
          </cell>
          <cell r="H210">
            <v>603.60000000000139</v>
          </cell>
          <cell r="K210">
            <v>39200</v>
          </cell>
        </row>
        <row r="211">
          <cell r="B211">
            <v>200</v>
          </cell>
          <cell r="E211">
            <v>615.9000000000002</v>
          </cell>
          <cell r="F211">
            <v>694.49999999999818</v>
          </cell>
          <cell r="H211">
            <v>605.80000000000143</v>
          </cell>
          <cell r="K211">
            <v>39400</v>
          </cell>
        </row>
        <row r="212">
          <cell r="B212">
            <v>201</v>
          </cell>
          <cell r="E212">
            <v>618.4000000000002</v>
          </cell>
          <cell r="F212">
            <v>697.29999999999814</v>
          </cell>
          <cell r="H212">
            <v>608.00000000000148</v>
          </cell>
          <cell r="K212">
            <v>39600</v>
          </cell>
        </row>
        <row r="213">
          <cell r="B213">
            <v>202</v>
          </cell>
          <cell r="E213">
            <v>620.9000000000002</v>
          </cell>
          <cell r="F213">
            <v>700.09999999999809</v>
          </cell>
          <cell r="H213">
            <v>610.20000000000152</v>
          </cell>
          <cell r="K213">
            <v>39800</v>
          </cell>
        </row>
        <row r="214">
          <cell r="B214">
            <v>203</v>
          </cell>
          <cell r="E214">
            <v>623.4000000000002</v>
          </cell>
          <cell r="F214">
            <v>702.89999999999804</v>
          </cell>
          <cell r="H214">
            <v>612.40000000000157</v>
          </cell>
          <cell r="K214">
            <v>40000</v>
          </cell>
        </row>
        <row r="215">
          <cell r="B215">
            <v>204</v>
          </cell>
          <cell r="E215">
            <v>625.9000000000002</v>
          </cell>
          <cell r="F215">
            <v>705.699999999998</v>
          </cell>
          <cell r="H215">
            <v>614.60000000000161</v>
          </cell>
          <cell r="K215">
            <v>40200</v>
          </cell>
        </row>
        <row r="216">
          <cell r="B216">
            <v>205</v>
          </cell>
          <cell r="E216">
            <v>628.4000000000002</v>
          </cell>
          <cell r="F216">
            <v>708.49999999999795</v>
          </cell>
          <cell r="H216">
            <v>616.80000000000166</v>
          </cell>
          <cell r="K216">
            <v>40400</v>
          </cell>
        </row>
        <row r="217">
          <cell r="B217">
            <v>206</v>
          </cell>
          <cell r="E217">
            <v>630.9000000000002</v>
          </cell>
          <cell r="F217">
            <v>711.29999999999791</v>
          </cell>
          <cell r="H217">
            <v>619.00000000000171</v>
          </cell>
          <cell r="K217">
            <v>40600</v>
          </cell>
        </row>
        <row r="218">
          <cell r="B218">
            <v>207</v>
          </cell>
          <cell r="E218">
            <v>633.4000000000002</v>
          </cell>
          <cell r="F218">
            <v>714.09999999999786</v>
          </cell>
          <cell r="H218">
            <v>621.20000000000175</v>
          </cell>
          <cell r="K218">
            <v>40800</v>
          </cell>
        </row>
        <row r="219">
          <cell r="B219">
            <v>208</v>
          </cell>
          <cell r="E219">
            <v>635.9000000000002</v>
          </cell>
          <cell r="F219">
            <v>716.89999999999782</v>
          </cell>
          <cell r="H219">
            <v>623.4000000000018</v>
          </cell>
          <cell r="K219">
            <v>41000</v>
          </cell>
        </row>
        <row r="220">
          <cell r="B220">
            <v>209</v>
          </cell>
          <cell r="E220">
            <v>638.4000000000002</v>
          </cell>
          <cell r="F220">
            <v>719.69999999999777</v>
          </cell>
          <cell r="H220">
            <v>625.60000000000184</v>
          </cell>
          <cell r="K220">
            <v>41200</v>
          </cell>
        </row>
        <row r="221">
          <cell r="B221">
            <v>210</v>
          </cell>
          <cell r="E221">
            <v>640.9000000000002</v>
          </cell>
          <cell r="F221">
            <v>722.49999999999773</v>
          </cell>
          <cell r="H221">
            <v>627.80000000000189</v>
          </cell>
          <cell r="K221">
            <v>41400</v>
          </cell>
        </row>
        <row r="222">
          <cell r="B222">
            <v>211</v>
          </cell>
          <cell r="E222">
            <v>643.4000000000002</v>
          </cell>
          <cell r="F222">
            <v>725.29999999999768</v>
          </cell>
          <cell r="H222">
            <v>630.00000000000193</v>
          </cell>
          <cell r="K222">
            <v>41600</v>
          </cell>
        </row>
        <row r="223">
          <cell r="B223">
            <v>212</v>
          </cell>
          <cell r="E223">
            <v>645.9000000000002</v>
          </cell>
          <cell r="F223">
            <v>728.09999999999764</v>
          </cell>
          <cell r="H223">
            <v>632.20000000000198</v>
          </cell>
          <cell r="K223">
            <v>41800</v>
          </cell>
        </row>
        <row r="224">
          <cell r="B224">
            <v>213</v>
          </cell>
          <cell r="E224">
            <v>648.4000000000002</v>
          </cell>
          <cell r="F224">
            <v>730.89999999999759</v>
          </cell>
          <cell r="H224">
            <v>634.40000000000202</v>
          </cell>
          <cell r="K224">
            <v>42000</v>
          </cell>
        </row>
        <row r="225">
          <cell r="B225">
            <v>214</v>
          </cell>
          <cell r="E225">
            <v>650.9000000000002</v>
          </cell>
          <cell r="F225">
            <v>733.69999999999754</v>
          </cell>
          <cell r="H225">
            <v>636.60000000000207</v>
          </cell>
          <cell r="K225">
            <v>42200</v>
          </cell>
        </row>
        <row r="226">
          <cell r="B226">
            <v>215</v>
          </cell>
          <cell r="E226">
            <v>653.4000000000002</v>
          </cell>
          <cell r="F226">
            <v>736.4999999999975</v>
          </cell>
          <cell r="H226">
            <v>638.80000000000211</v>
          </cell>
          <cell r="K226">
            <v>42400</v>
          </cell>
        </row>
        <row r="227">
          <cell r="B227">
            <v>216</v>
          </cell>
          <cell r="E227">
            <v>655.9000000000002</v>
          </cell>
          <cell r="F227">
            <v>739.29999999999745</v>
          </cell>
          <cell r="H227">
            <v>641.00000000000216</v>
          </cell>
          <cell r="K227">
            <v>42600</v>
          </cell>
        </row>
        <row r="228">
          <cell r="B228">
            <v>217</v>
          </cell>
          <cell r="E228">
            <v>658.4000000000002</v>
          </cell>
          <cell r="F228">
            <v>742.09999999999741</v>
          </cell>
          <cell r="H228">
            <v>643.20000000000221</v>
          </cell>
          <cell r="K228">
            <v>42800</v>
          </cell>
        </row>
        <row r="229">
          <cell r="B229">
            <v>218</v>
          </cell>
          <cell r="E229">
            <v>660.9000000000002</v>
          </cell>
          <cell r="F229">
            <v>744.89999999999736</v>
          </cell>
          <cell r="H229">
            <v>645.40000000000225</v>
          </cell>
          <cell r="K229">
            <v>43000</v>
          </cell>
        </row>
        <row r="230">
          <cell r="B230">
            <v>219</v>
          </cell>
          <cell r="E230">
            <v>663.4000000000002</v>
          </cell>
          <cell r="F230">
            <v>747.69999999999732</v>
          </cell>
          <cell r="H230">
            <v>647.6000000000023</v>
          </cell>
          <cell r="K230">
            <v>43200</v>
          </cell>
        </row>
        <row r="231">
          <cell r="B231">
            <v>220</v>
          </cell>
          <cell r="E231">
            <v>665.9000000000002</v>
          </cell>
          <cell r="F231">
            <v>750.49999999999727</v>
          </cell>
          <cell r="H231">
            <v>649.80000000000234</v>
          </cell>
          <cell r="K231">
            <v>43400</v>
          </cell>
        </row>
        <row r="232">
          <cell r="B232">
            <v>221</v>
          </cell>
          <cell r="E232">
            <v>668.4000000000002</v>
          </cell>
          <cell r="F232">
            <v>753.29999999999723</v>
          </cell>
          <cell r="H232">
            <v>652.00000000000239</v>
          </cell>
          <cell r="K232">
            <v>43600</v>
          </cell>
        </row>
        <row r="233">
          <cell r="B233">
            <v>222</v>
          </cell>
          <cell r="E233">
            <v>670.9000000000002</v>
          </cell>
          <cell r="F233">
            <v>756.09999999999718</v>
          </cell>
          <cell r="H233">
            <v>654.20000000000243</v>
          </cell>
          <cell r="K233">
            <v>43800</v>
          </cell>
        </row>
        <row r="234">
          <cell r="B234">
            <v>223</v>
          </cell>
          <cell r="E234">
            <v>673.4000000000002</v>
          </cell>
          <cell r="F234">
            <v>758.89999999999714</v>
          </cell>
          <cell r="H234">
            <v>656.40000000000248</v>
          </cell>
          <cell r="K234">
            <v>44000</v>
          </cell>
        </row>
        <row r="235">
          <cell r="B235">
            <v>224</v>
          </cell>
          <cell r="E235">
            <v>675.9000000000002</v>
          </cell>
          <cell r="F235">
            <v>761.69999999999709</v>
          </cell>
          <cell r="H235">
            <v>658.60000000000252</v>
          </cell>
          <cell r="K235">
            <v>44200</v>
          </cell>
        </row>
        <row r="236">
          <cell r="B236">
            <v>225</v>
          </cell>
          <cell r="E236">
            <v>678.4000000000002</v>
          </cell>
          <cell r="F236">
            <v>764.49999999999704</v>
          </cell>
          <cell r="H236">
            <v>660.80000000000257</v>
          </cell>
          <cell r="K236">
            <v>44400</v>
          </cell>
        </row>
        <row r="237">
          <cell r="B237">
            <v>226</v>
          </cell>
          <cell r="E237">
            <v>680.9000000000002</v>
          </cell>
          <cell r="F237">
            <v>767.299999999997</v>
          </cell>
          <cell r="H237">
            <v>663.00000000000261</v>
          </cell>
          <cell r="K237">
            <v>44600</v>
          </cell>
        </row>
        <row r="238">
          <cell r="B238">
            <v>227</v>
          </cell>
          <cell r="E238">
            <v>683.4000000000002</v>
          </cell>
          <cell r="F238">
            <v>770.09999999999695</v>
          </cell>
          <cell r="H238">
            <v>665.20000000000266</v>
          </cell>
          <cell r="K238">
            <v>44800</v>
          </cell>
        </row>
        <row r="239">
          <cell r="B239">
            <v>228</v>
          </cell>
          <cell r="E239">
            <v>685.9000000000002</v>
          </cell>
          <cell r="F239">
            <v>772.89999999999691</v>
          </cell>
          <cell r="H239">
            <v>667.40000000000271</v>
          </cell>
          <cell r="K239">
            <v>45000</v>
          </cell>
        </row>
        <row r="240">
          <cell r="B240">
            <v>229</v>
          </cell>
          <cell r="E240">
            <v>688.4000000000002</v>
          </cell>
          <cell r="F240">
            <v>775.69999999999686</v>
          </cell>
          <cell r="H240">
            <v>669.60000000000275</v>
          </cell>
          <cell r="K240">
            <v>45200</v>
          </cell>
        </row>
        <row r="241">
          <cell r="B241">
            <v>230</v>
          </cell>
          <cell r="E241">
            <v>690.9000000000002</v>
          </cell>
          <cell r="F241">
            <v>778.49999999999682</v>
          </cell>
          <cell r="H241">
            <v>671.8000000000028</v>
          </cell>
          <cell r="K241">
            <v>45400</v>
          </cell>
        </row>
        <row r="242">
          <cell r="B242">
            <v>231</v>
          </cell>
          <cell r="E242">
            <v>693.4000000000002</v>
          </cell>
          <cell r="F242">
            <v>781.29999999999677</v>
          </cell>
          <cell r="H242">
            <v>674.00000000000284</v>
          </cell>
          <cell r="K242">
            <v>45600</v>
          </cell>
        </row>
        <row r="243">
          <cell r="B243">
            <v>232</v>
          </cell>
          <cell r="E243">
            <v>695.9000000000002</v>
          </cell>
          <cell r="F243">
            <v>784.09999999999673</v>
          </cell>
          <cell r="H243">
            <v>676.20000000000289</v>
          </cell>
          <cell r="K243">
            <v>45800</v>
          </cell>
        </row>
        <row r="244">
          <cell r="B244">
            <v>233</v>
          </cell>
          <cell r="E244">
            <v>698.4000000000002</v>
          </cell>
          <cell r="F244">
            <v>786.89999999999668</v>
          </cell>
          <cell r="H244">
            <v>678.40000000000293</v>
          </cell>
          <cell r="K244">
            <v>46000</v>
          </cell>
        </row>
        <row r="245">
          <cell r="B245">
            <v>234</v>
          </cell>
          <cell r="E245">
            <v>700.9000000000002</v>
          </cell>
          <cell r="F245">
            <v>789.69999999999663</v>
          </cell>
          <cell r="H245">
            <v>680.60000000000298</v>
          </cell>
          <cell r="K245">
            <v>46200</v>
          </cell>
        </row>
        <row r="246">
          <cell r="B246">
            <v>235</v>
          </cell>
          <cell r="E246">
            <v>703.4000000000002</v>
          </cell>
          <cell r="F246">
            <v>792.49999999999659</v>
          </cell>
          <cell r="H246">
            <v>682.80000000000302</v>
          </cell>
          <cell r="K246">
            <v>46400</v>
          </cell>
        </row>
        <row r="247">
          <cell r="B247">
            <v>236</v>
          </cell>
          <cell r="E247">
            <v>705.9000000000002</v>
          </cell>
          <cell r="F247">
            <v>795.29999999999654</v>
          </cell>
          <cell r="H247">
            <v>685.00000000000307</v>
          </cell>
          <cell r="K247">
            <v>46600</v>
          </cell>
        </row>
        <row r="248">
          <cell r="B248">
            <v>237</v>
          </cell>
          <cell r="E248">
            <v>708.4000000000002</v>
          </cell>
          <cell r="F248">
            <v>798.0999999999965</v>
          </cell>
          <cell r="H248">
            <v>687.20000000000312</v>
          </cell>
          <cell r="K248">
            <v>46800</v>
          </cell>
        </row>
        <row r="249">
          <cell r="B249">
            <v>238</v>
          </cell>
          <cell r="E249">
            <v>710.9000000000002</v>
          </cell>
          <cell r="F249">
            <v>800.89999999999645</v>
          </cell>
          <cell r="H249">
            <v>689.40000000000316</v>
          </cell>
          <cell r="K249">
            <v>47000</v>
          </cell>
        </row>
        <row r="250">
          <cell r="B250">
            <v>239</v>
          </cell>
          <cell r="E250">
            <v>713.4000000000002</v>
          </cell>
          <cell r="F250">
            <v>803.69999999999641</v>
          </cell>
          <cell r="H250">
            <v>691.60000000000321</v>
          </cell>
          <cell r="K250">
            <v>47200</v>
          </cell>
        </row>
        <row r="251">
          <cell r="B251">
            <v>240</v>
          </cell>
          <cell r="E251">
            <v>715.9000000000002</v>
          </cell>
          <cell r="F251">
            <v>806.49999999999636</v>
          </cell>
          <cell r="H251">
            <v>693.80000000000325</v>
          </cell>
          <cell r="K251">
            <v>47400</v>
          </cell>
        </row>
        <row r="252">
          <cell r="B252">
            <v>241</v>
          </cell>
          <cell r="E252">
            <v>718.4000000000002</v>
          </cell>
          <cell r="F252">
            <v>809.29999999999632</v>
          </cell>
          <cell r="H252">
            <v>696.0000000000033</v>
          </cell>
          <cell r="K252">
            <v>47600</v>
          </cell>
        </row>
        <row r="253">
          <cell r="B253">
            <v>242</v>
          </cell>
          <cell r="E253">
            <v>720.9000000000002</v>
          </cell>
          <cell r="F253">
            <v>812.09999999999627</v>
          </cell>
          <cell r="H253">
            <v>698.20000000000334</v>
          </cell>
          <cell r="K253">
            <v>47800</v>
          </cell>
        </row>
        <row r="254">
          <cell r="B254">
            <v>243</v>
          </cell>
          <cell r="E254">
            <v>723.4000000000002</v>
          </cell>
          <cell r="F254">
            <v>814.89999999999623</v>
          </cell>
          <cell r="H254">
            <v>700.40000000000339</v>
          </cell>
          <cell r="K254">
            <v>48000</v>
          </cell>
        </row>
        <row r="255">
          <cell r="B255">
            <v>244</v>
          </cell>
          <cell r="E255">
            <v>725.9000000000002</v>
          </cell>
          <cell r="F255">
            <v>817.69999999999618</v>
          </cell>
          <cell r="H255">
            <v>702.60000000000343</v>
          </cell>
          <cell r="K255">
            <v>48200</v>
          </cell>
        </row>
        <row r="256">
          <cell r="B256">
            <v>245</v>
          </cell>
          <cell r="E256">
            <v>728.4000000000002</v>
          </cell>
          <cell r="F256">
            <v>820.49999999999613</v>
          </cell>
          <cell r="H256">
            <v>704.80000000000348</v>
          </cell>
          <cell r="K256">
            <v>48400</v>
          </cell>
        </row>
        <row r="257">
          <cell r="B257">
            <v>246</v>
          </cell>
          <cell r="E257">
            <v>730.9000000000002</v>
          </cell>
          <cell r="F257">
            <v>823.29999999999609</v>
          </cell>
          <cell r="H257">
            <v>707.00000000000352</v>
          </cell>
          <cell r="K257">
            <v>48600</v>
          </cell>
        </row>
        <row r="258">
          <cell r="B258">
            <v>247</v>
          </cell>
          <cell r="E258">
            <v>733.4000000000002</v>
          </cell>
          <cell r="F258">
            <v>826.09999999999604</v>
          </cell>
          <cell r="H258">
            <v>709.20000000000357</v>
          </cell>
          <cell r="K258">
            <v>48800</v>
          </cell>
        </row>
        <row r="259">
          <cell r="B259">
            <v>248</v>
          </cell>
          <cell r="E259">
            <v>735.9000000000002</v>
          </cell>
          <cell r="F259">
            <v>828.899999999996</v>
          </cell>
          <cell r="H259">
            <v>711.40000000000362</v>
          </cell>
          <cell r="K259">
            <v>49000</v>
          </cell>
        </row>
        <row r="260">
          <cell r="B260">
            <v>249</v>
          </cell>
          <cell r="E260">
            <v>738.4000000000002</v>
          </cell>
          <cell r="F260">
            <v>831.69999999999595</v>
          </cell>
          <cell r="H260">
            <v>713.60000000000366</v>
          </cell>
          <cell r="K260">
            <v>49200</v>
          </cell>
        </row>
        <row r="261">
          <cell r="B261">
            <v>250</v>
          </cell>
          <cell r="E261">
            <v>740.9000000000002</v>
          </cell>
          <cell r="F261">
            <v>834.49999999999591</v>
          </cell>
          <cell r="H261">
            <v>715.80000000000371</v>
          </cell>
          <cell r="K261">
            <v>49400</v>
          </cell>
        </row>
        <row r="262">
          <cell r="B262">
            <v>251</v>
          </cell>
          <cell r="E262">
            <v>743.4000000000002</v>
          </cell>
          <cell r="F262">
            <v>837.29999999999586</v>
          </cell>
          <cell r="H262">
            <v>718.00000000000375</v>
          </cell>
          <cell r="K262">
            <v>49600</v>
          </cell>
        </row>
        <row r="263">
          <cell r="B263">
            <v>252</v>
          </cell>
          <cell r="E263">
            <v>745.9000000000002</v>
          </cell>
          <cell r="F263">
            <v>840.09999999999582</v>
          </cell>
          <cell r="H263">
            <v>720.2000000000038</v>
          </cell>
          <cell r="K263">
            <v>49800</v>
          </cell>
        </row>
        <row r="264">
          <cell r="B264">
            <v>253</v>
          </cell>
          <cell r="E264">
            <v>748.4000000000002</v>
          </cell>
          <cell r="F264">
            <v>842.89999999999577</v>
          </cell>
          <cell r="H264">
            <v>722.40000000000384</v>
          </cell>
          <cell r="K264">
            <v>50000</v>
          </cell>
        </row>
        <row r="265">
          <cell r="B265">
            <v>254</v>
          </cell>
          <cell r="E265">
            <v>750.9000000000002</v>
          </cell>
          <cell r="F265">
            <v>845.69999999999573</v>
          </cell>
          <cell r="H265">
            <v>724.60000000000389</v>
          </cell>
          <cell r="K265">
            <v>50200</v>
          </cell>
        </row>
        <row r="266">
          <cell r="B266">
            <v>255</v>
          </cell>
          <cell r="E266">
            <v>753.4000000000002</v>
          </cell>
          <cell r="F266">
            <v>848.49999999999568</v>
          </cell>
          <cell r="H266">
            <v>726.80000000000393</v>
          </cell>
          <cell r="K266">
            <v>50400</v>
          </cell>
        </row>
        <row r="267">
          <cell r="B267">
            <v>256</v>
          </cell>
          <cell r="E267">
            <v>755.9000000000002</v>
          </cell>
          <cell r="F267">
            <v>851.29999999999563</v>
          </cell>
          <cell r="H267">
            <v>729.00000000000398</v>
          </cell>
          <cell r="K267">
            <v>50600</v>
          </cell>
        </row>
        <row r="268">
          <cell r="B268">
            <v>257</v>
          </cell>
          <cell r="E268">
            <v>758.4000000000002</v>
          </cell>
          <cell r="F268">
            <v>854.09999999999559</v>
          </cell>
          <cell r="H268">
            <v>731.20000000000402</v>
          </cell>
          <cell r="K268">
            <v>50800</v>
          </cell>
        </row>
        <row r="269">
          <cell r="B269">
            <v>258</v>
          </cell>
          <cell r="E269">
            <v>760.9000000000002</v>
          </cell>
          <cell r="F269">
            <v>856.89999999999554</v>
          </cell>
          <cell r="H269">
            <v>733.40000000000407</v>
          </cell>
          <cell r="K269">
            <v>51000</v>
          </cell>
        </row>
        <row r="270">
          <cell r="B270">
            <v>259</v>
          </cell>
          <cell r="E270">
            <v>763.4000000000002</v>
          </cell>
          <cell r="F270">
            <v>859.6999999999955</v>
          </cell>
          <cell r="H270">
            <v>735.60000000000412</v>
          </cell>
          <cell r="K270">
            <v>51200</v>
          </cell>
        </row>
        <row r="271">
          <cell r="B271">
            <v>260</v>
          </cell>
          <cell r="E271">
            <v>765.9000000000002</v>
          </cell>
          <cell r="F271">
            <v>862.49999999999545</v>
          </cell>
          <cell r="H271">
            <v>737.80000000000416</v>
          </cell>
          <cell r="K271">
            <v>51400</v>
          </cell>
        </row>
        <row r="272">
          <cell r="B272">
            <v>261</v>
          </cell>
          <cell r="E272">
            <v>768.4000000000002</v>
          </cell>
          <cell r="F272">
            <v>865.29999999999541</v>
          </cell>
          <cell r="H272">
            <v>740.00000000000421</v>
          </cell>
          <cell r="K272">
            <v>51600</v>
          </cell>
        </row>
        <row r="273">
          <cell r="B273">
            <v>262</v>
          </cell>
          <cell r="E273">
            <v>770.9000000000002</v>
          </cell>
          <cell r="F273">
            <v>868.09999999999536</v>
          </cell>
          <cell r="H273">
            <v>742.20000000000425</v>
          </cell>
          <cell r="K273">
            <v>51800</v>
          </cell>
        </row>
        <row r="274">
          <cell r="B274">
            <v>263</v>
          </cell>
          <cell r="E274">
            <v>773.4000000000002</v>
          </cell>
          <cell r="F274">
            <v>870.89999999999532</v>
          </cell>
          <cell r="H274">
            <v>744.4000000000043</v>
          </cell>
          <cell r="K274">
            <v>52000</v>
          </cell>
        </row>
        <row r="275">
          <cell r="B275">
            <v>264</v>
          </cell>
          <cell r="E275">
            <v>775.9000000000002</v>
          </cell>
          <cell r="F275">
            <v>873.69999999999527</v>
          </cell>
          <cell r="H275">
            <v>746.60000000000434</v>
          </cell>
          <cell r="K275">
            <v>52200</v>
          </cell>
        </row>
        <row r="276">
          <cell r="B276">
            <v>265</v>
          </cell>
          <cell r="E276">
            <v>778.4000000000002</v>
          </cell>
          <cell r="F276">
            <v>876.49999999999523</v>
          </cell>
          <cell r="H276">
            <v>748.80000000000439</v>
          </cell>
          <cell r="K276">
            <v>52400</v>
          </cell>
        </row>
        <row r="277">
          <cell r="B277">
            <v>266</v>
          </cell>
          <cell r="E277">
            <v>780.9000000000002</v>
          </cell>
          <cell r="F277">
            <v>879.29999999999518</v>
          </cell>
          <cell r="H277">
            <v>751.00000000000443</v>
          </cell>
          <cell r="K277">
            <v>52600</v>
          </cell>
        </row>
        <row r="278">
          <cell r="B278">
            <v>267</v>
          </cell>
          <cell r="E278">
            <v>783.4000000000002</v>
          </cell>
          <cell r="F278">
            <v>882.09999999999513</v>
          </cell>
          <cell r="H278">
            <v>753.20000000000448</v>
          </cell>
          <cell r="K278">
            <v>52800</v>
          </cell>
        </row>
        <row r="279">
          <cell r="B279">
            <v>268</v>
          </cell>
          <cell r="E279">
            <v>785.9000000000002</v>
          </cell>
          <cell r="F279">
            <v>884.89999999999509</v>
          </cell>
          <cell r="H279">
            <v>755.40000000000452</v>
          </cell>
          <cell r="K279">
            <v>53000</v>
          </cell>
        </row>
        <row r="280">
          <cell r="B280">
            <v>269</v>
          </cell>
          <cell r="E280">
            <v>788.4000000000002</v>
          </cell>
          <cell r="F280">
            <v>887.69999999999504</v>
          </cell>
          <cell r="H280">
            <v>757.60000000000457</v>
          </cell>
          <cell r="K280">
            <v>53200</v>
          </cell>
        </row>
        <row r="281">
          <cell r="B281">
            <v>270</v>
          </cell>
          <cell r="E281">
            <v>790.9000000000002</v>
          </cell>
          <cell r="F281">
            <v>890.499999999995</v>
          </cell>
          <cell r="H281">
            <v>759.80000000000462</v>
          </cell>
          <cell r="K281">
            <v>53400</v>
          </cell>
        </row>
        <row r="282">
          <cell r="B282">
            <v>271</v>
          </cell>
          <cell r="E282">
            <v>793.4000000000002</v>
          </cell>
          <cell r="F282">
            <v>893.29999999999495</v>
          </cell>
          <cell r="H282">
            <v>762.00000000000466</v>
          </cell>
          <cell r="K282">
            <v>53600</v>
          </cell>
        </row>
        <row r="283">
          <cell r="B283">
            <v>272</v>
          </cell>
          <cell r="E283">
            <v>795.9000000000002</v>
          </cell>
          <cell r="F283">
            <v>896.09999999999491</v>
          </cell>
          <cell r="H283">
            <v>764.20000000000471</v>
          </cell>
          <cell r="K283">
            <v>53800</v>
          </cell>
        </row>
        <row r="284">
          <cell r="B284">
            <v>273</v>
          </cell>
          <cell r="E284">
            <v>798.4000000000002</v>
          </cell>
          <cell r="F284">
            <v>898.89999999999486</v>
          </cell>
          <cell r="H284">
            <v>766.40000000000475</v>
          </cell>
          <cell r="K284">
            <v>54000</v>
          </cell>
        </row>
        <row r="285">
          <cell r="B285">
            <v>274</v>
          </cell>
          <cell r="E285">
            <v>800.9000000000002</v>
          </cell>
          <cell r="F285">
            <v>901.69999999999482</v>
          </cell>
          <cell r="H285">
            <v>768.6000000000048</v>
          </cell>
          <cell r="K285">
            <v>54200</v>
          </cell>
        </row>
        <row r="286">
          <cell r="B286">
            <v>275</v>
          </cell>
          <cell r="E286">
            <v>803.4000000000002</v>
          </cell>
          <cell r="F286">
            <v>904.49999999999477</v>
          </cell>
          <cell r="H286">
            <v>770.80000000000484</v>
          </cell>
          <cell r="K286">
            <v>54400</v>
          </cell>
        </row>
        <row r="287">
          <cell r="B287">
            <v>276</v>
          </cell>
          <cell r="E287">
            <v>805.9000000000002</v>
          </cell>
          <cell r="F287">
            <v>907.29999999999472</v>
          </cell>
          <cell r="H287">
            <v>773.00000000000489</v>
          </cell>
          <cell r="K287">
            <v>54600</v>
          </cell>
        </row>
        <row r="288">
          <cell r="B288">
            <v>277</v>
          </cell>
          <cell r="E288">
            <v>808.4000000000002</v>
          </cell>
          <cell r="F288">
            <v>910.09999999999468</v>
          </cell>
          <cell r="H288">
            <v>775.20000000000493</v>
          </cell>
          <cell r="K288">
            <v>54800</v>
          </cell>
        </row>
        <row r="289">
          <cell r="B289">
            <v>278</v>
          </cell>
          <cell r="E289">
            <v>810.9000000000002</v>
          </cell>
          <cell r="F289">
            <v>912.89999999999463</v>
          </cell>
          <cell r="H289">
            <v>777.40000000000498</v>
          </cell>
          <cell r="K289">
            <v>55000</v>
          </cell>
        </row>
        <row r="290">
          <cell r="B290">
            <v>279</v>
          </cell>
          <cell r="E290">
            <v>813.4000000000002</v>
          </cell>
          <cell r="F290">
            <v>915.69999999999459</v>
          </cell>
          <cell r="H290">
            <v>779.60000000000502</v>
          </cell>
          <cell r="K290">
            <v>55200</v>
          </cell>
        </row>
        <row r="291">
          <cell r="B291">
            <v>280</v>
          </cell>
          <cell r="E291">
            <v>815.9000000000002</v>
          </cell>
          <cell r="F291">
            <v>918.49999999999454</v>
          </cell>
          <cell r="H291">
            <v>781.80000000000507</v>
          </cell>
          <cell r="K291">
            <v>55400</v>
          </cell>
        </row>
        <row r="292">
          <cell r="B292">
            <v>281</v>
          </cell>
          <cell r="E292">
            <v>818.4000000000002</v>
          </cell>
          <cell r="F292">
            <v>921.2999999999945</v>
          </cell>
          <cell r="H292">
            <v>784.00000000000512</v>
          </cell>
          <cell r="K292">
            <v>55600</v>
          </cell>
        </row>
        <row r="293">
          <cell r="B293">
            <v>282</v>
          </cell>
          <cell r="E293">
            <v>820.9000000000002</v>
          </cell>
          <cell r="F293">
            <v>924.09999999999445</v>
          </cell>
          <cell r="H293">
            <v>786.20000000000516</v>
          </cell>
          <cell r="K293">
            <v>55800</v>
          </cell>
        </row>
        <row r="294">
          <cell r="B294">
            <v>283</v>
          </cell>
          <cell r="E294">
            <v>823.4000000000002</v>
          </cell>
          <cell r="F294">
            <v>926.89999999999441</v>
          </cell>
          <cell r="H294">
            <v>788.40000000000521</v>
          </cell>
          <cell r="K294">
            <v>56000</v>
          </cell>
        </row>
        <row r="295">
          <cell r="B295">
            <v>284</v>
          </cell>
          <cell r="E295">
            <v>825.9000000000002</v>
          </cell>
          <cell r="F295">
            <v>929.69999999999436</v>
          </cell>
          <cell r="H295">
            <v>790.60000000000525</v>
          </cell>
          <cell r="K295">
            <v>56200</v>
          </cell>
        </row>
        <row r="296">
          <cell r="B296">
            <v>285</v>
          </cell>
          <cell r="E296">
            <v>828.4000000000002</v>
          </cell>
          <cell r="F296">
            <v>932.49999999999432</v>
          </cell>
          <cell r="H296">
            <v>792.8000000000053</v>
          </cell>
          <cell r="K296">
            <v>56400</v>
          </cell>
        </row>
        <row r="297">
          <cell r="B297">
            <v>286</v>
          </cell>
          <cell r="E297">
            <v>830.9000000000002</v>
          </cell>
          <cell r="F297">
            <v>935.29999999999427</v>
          </cell>
          <cell r="H297">
            <v>795.00000000000534</v>
          </cell>
          <cell r="K297">
            <v>56600</v>
          </cell>
        </row>
        <row r="298">
          <cell r="B298">
            <v>287</v>
          </cell>
          <cell r="E298">
            <v>833.4000000000002</v>
          </cell>
          <cell r="F298">
            <v>938.09999999999422</v>
          </cell>
          <cell r="H298">
            <v>797.20000000000539</v>
          </cell>
          <cell r="K298">
            <v>56800</v>
          </cell>
        </row>
        <row r="299">
          <cell r="B299">
            <v>288</v>
          </cell>
          <cell r="E299">
            <v>835.9000000000002</v>
          </cell>
          <cell r="F299">
            <v>940.89999999999418</v>
          </cell>
          <cell r="H299">
            <v>799.40000000000543</v>
          </cell>
          <cell r="K299">
            <v>57000</v>
          </cell>
        </row>
        <row r="300">
          <cell r="B300">
            <v>289</v>
          </cell>
          <cell r="E300">
            <v>838.4000000000002</v>
          </cell>
          <cell r="F300">
            <v>943.69999999999413</v>
          </cell>
          <cell r="H300">
            <v>801.60000000000548</v>
          </cell>
          <cell r="K300">
            <v>57200</v>
          </cell>
        </row>
        <row r="301">
          <cell r="B301">
            <v>290</v>
          </cell>
          <cell r="E301">
            <v>840.9000000000002</v>
          </cell>
          <cell r="F301">
            <v>946.49999999999409</v>
          </cell>
          <cell r="H301">
            <v>803.80000000000553</v>
          </cell>
          <cell r="K301">
            <v>57400</v>
          </cell>
        </row>
        <row r="302">
          <cell r="B302">
            <v>291</v>
          </cell>
          <cell r="E302">
            <v>843.4000000000002</v>
          </cell>
          <cell r="F302">
            <v>949.29999999999404</v>
          </cell>
          <cell r="H302">
            <v>806.00000000000557</v>
          </cell>
          <cell r="K302">
            <v>57600</v>
          </cell>
        </row>
        <row r="303">
          <cell r="B303">
            <v>292</v>
          </cell>
          <cell r="E303">
            <v>845.9000000000002</v>
          </cell>
          <cell r="F303">
            <v>952.099999999994</v>
          </cell>
          <cell r="H303">
            <v>808.20000000000562</v>
          </cell>
          <cell r="K303">
            <v>57800</v>
          </cell>
        </row>
        <row r="304">
          <cell r="B304">
            <v>293</v>
          </cell>
          <cell r="E304">
            <v>848.4000000000002</v>
          </cell>
          <cell r="F304">
            <v>954.89999999999395</v>
          </cell>
          <cell r="H304">
            <v>810.40000000000566</v>
          </cell>
          <cell r="K304">
            <v>58000</v>
          </cell>
        </row>
        <row r="305">
          <cell r="B305">
            <v>294</v>
          </cell>
          <cell r="E305">
            <v>850.9000000000002</v>
          </cell>
          <cell r="F305">
            <v>957.69999999999391</v>
          </cell>
          <cell r="H305">
            <v>812.60000000000571</v>
          </cell>
          <cell r="K305">
            <v>58200</v>
          </cell>
        </row>
        <row r="306">
          <cell r="B306">
            <v>295</v>
          </cell>
          <cell r="E306">
            <v>853.4000000000002</v>
          </cell>
          <cell r="F306">
            <v>960.49999999999386</v>
          </cell>
          <cell r="H306">
            <v>814.80000000000575</v>
          </cell>
          <cell r="K306">
            <v>58400</v>
          </cell>
        </row>
        <row r="307">
          <cell r="B307">
            <v>296</v>
          </cell>
          <cell r="E307">
            <v>855.9000000000002</v>
          </cell>
          <cell r="F307">
            <v>963.29999999999382</v>
          </cell>
          <cell r="H307">
            <v>817.0000000000058</v>
          </cell>
          <cell r="K307">
            <v>58600</v>
          </cell>
        </row>
        <row r="308">
          <cell r="B308">
            <v>297</v>
          </cell>
          <cell r="E308">
            <v>858.4000000000002</v>
          </cell>
          <cell r="F308">
            <v>966.09999999999377</v>
          </cell>
          <cell r="H308">
            <v>819.20000000000584</v>
          </cell>
          <cell r="K308">
            <v>58800</v>
          </cell>
        </row>
        <row r="309">
          <cell r="B309">
            <v>298</v>
          </cell>
          <cell r="E309">
            <v>860.9000000000002</v>
          </cell>
          <cell r="F309">
            <v>968.89999999999372</v>
          </cell>
          <cell r="H309">
            <v>821.40000000000589</v>
          </cell>
          <cell r="K309">
            <v>59000</v>
          </cell>
        </row>
        <row r="310">
          <cell r="B310">
            <v>299</v>
          </cell>
          <cell r="E310">
            <v>863.4000000000002</v>
          </cell>
          <cell r="F310">
            <v>971.69999999999368</v>
          </cell>
          <cell r="H310">
            <v>823.60000000000593</v>
          </cell>
          <cell r="K310">
            <v>59200</v>
          </cell>
        </row>
        <row r="311">
          <cell r="B311">
            <v>300</v>
          </cell>
          <cell r="E311">
            <v>865.9000000000002</v>
          </cell>
          <cell r="F311">
            <v>974.49999999999363</v>
          </cell>
          <cell r="H311">
            <v>825.80000000000598</v>
          </cell>
          <cell r="K311">
            <v>59400</v>
          </cell>
        </row>
        <row r="312">
          <cell r="B312">
            <v>301</v>
          </cell>
          <cell r="E312">
            <v>868.4000000000002</v>
          </cell>
          <cell r="F312">
            <v>977.29999999999359</v>
          </cell>
          <cell r="H312">
            <v>828.00000000000603</v>
          </cell>
          <cell r="K312">
            <v>59600</v>
          </cell>
        </row>
        <row r="313">
          <cell r="B313">
            <v>302</v>
          </cell>
          <cell r="E313">
            <v>870.9000000000002</v>
          </cell>
          <cell r="F313">
            <v>980.09999999999354</v>
          </cell>
          <cell r="H313">
            <v>830.20000000000607</v>
          </cell>
          <cell r="K313">
            <v>59800</v>
          </cell>
        </row>
        <row r="314">
          <cell r="B314">
            <v>303</v>
          </cell>
          <cell r="E314">
            <v>873.4000000000002</v>
          </cell>
          <cell r="F314">
            <v>982.8999999999935</v>
          </cell>
          <cell r="H314">
            <v>832.40000000000612</v>
          </cell>
          <cell r="K314">
            <v>60000</v>
          </cell>
        </row>
        <row r="315">
          <cell r="B315">
            <v>304</v>
          </cell>
          <cell r="E315">
            <v>875.9000000000002</v>
          </cell>
          <cell r="F315">
            <v>985.69999999999345</v>
          </cell>
          <cell r="H315">
            <v>834.60000000000616</v>
          </cell>
          <cell r="K315">
            <v>60200</v>
          </cell>
        </row>
        <row r="316">
          <cell r="B316">
            <v>305</v>
          </cell>
          <cell r="E316">
            <v>878.4000000000002</v>
          </cell>
          <cell r="F316">
            <v>988.49999999999341</v>
          </cell>
          <cell r="H316">
            <v>836.80000000000621</v>
          </cell>
          <cell r="K316">
            <v>60400</v>
          </cell>
        </row>
        <row r="317">
          <cell r="B317">
            <v>306</v>
          </cell>
          <cell r="E317">
            <v>880.9000000000002</v>
          </cell>
          <cell r="F317">
            <v>991.29999999999336</v>
          </cell>
          <cell r="H317">
            <v>839.00000000000625</v>
          </cell>
          <cell r="K317">
            <v>60600</v>
          </cell>
        </row>
        <row r="318">
          <cell r="B318">
            <v>307</v>
          </cell>
          <cell r="E318">
            <v>883.4000000000002</v>
          </cell>
          <cell r="F318">
            <v>994.09999999999332</v>
          </cell>
          <cell r="H318">
            <v>841.2000000000063</v>
          </cell>
          <cell r="K318">
            <v>60800</v>
          </cell>
        </row>
        <row r="319">
          <cell r="B319">
            <v>308</v>
          </cell>
          <cell r="E319">
            <v>885.9000000000002</v>
          </cell>
          <cell r="F319">
            <v>996.89999999999327</v>
          </cell>
          <cell r="H319">
            <v>843.40000000000634</v>
          </cell>
          <cell r="K319">
            <v>61000</v>
          </cell>
        </row>
      </sheetData>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M &amp; L.C"/>
      <sheetName val="USER1"/>
      <sheetName val="Data"/>
      <sheetName val="Data 1"/>
      <sheetName val="SSR 04-05"/>
      <sheetName val="Data (2)"/>
      <sheetName val="Sheet1"/>
      <sheetName val="Sheet2"/>
      <sheetName val="Sheet3"/>
    </sheetNames>
    <sheetDataSet>
      <sheetData sheetId="0" refreshError="1"/>
      <sheetData sheetId="1" refreshError="1"/>
      <sheetData sheetId="2" refreshError="1"/>
      <sheetData sheetId="3" refreshError="1"/>
      <sheetData sheetId="4" refreshError="1">
        <row r="3">
          <cell r="K3">
            <v>80</v>
          </cell>
          <cell r="O3">
            <v>73.27</v>
          </cell>
          <cell r="P3">
            <v>1.65</v>
          </cell>
          <cell r="Q3">
            <v>0.1</v>
          </cell>
          <cell r="R3">
            <v>11.5</v>
          </cell>
          <cell r="X3">
            <v>17.25</v>
          </cell>
          <cell r="AB3">
            <v>10</v>
          </cell>
        </row>
        <row r="4">
          <cell r="K4">
            <v>100</v>
          </cell>
          <cell r="O4">
            <v>80.84</v>
          </cell>
          <cell r="P4">
            <v>1.9</v>
          </cell>
          <cell r="Q4">
            <v>0.11</v>
          </cell>
          <cell r="R4">
            <v>11.5</v>
          </cell>
          <cell r="X4">
            <v>17.25</v>
          </cell>
          <cell r="AB4">
            <v>12</v>
          </cell>
        </row>
        <row r="5">
          <cell r="K5">
            <v>150</v>
          </cell>
          <cell r="O5">
            <v>97.9</v>
          </cell>
          <cell r="P5">
            <v>2.65</v>
          </cell>
          <cell r="Q5">
            <v>0.15</v>
          </cell>
          <cell r="R5">
            <v>11.5</v>
          </cell>
          <cell r="X5">
            <v>17.25</v>
          </cell>
          <cell r="AB5">
            <v>21</v>
          </cell>
        </row>
        <row r="6">
          <cell r="K6">
            <v>200</v>
          </cell>
          <cell r="O6">
            <v>119.37</v>
          </cell>
          <cell r="P6">
            <v>3.4</v>
          </cell>
          <cell r="Q6">
            <v>0.25</v>
          </cell>
          <cell r="R6">
            <v>11.5</v>
          </cell>
          <cell r="X6">
            <v>17.25</v>
          </cell>
          <cell r="AB6">
            <v>25</v>
          </cell>
        </row>
        <row r="7">
          <cell r="B7">
            <v>0</v>
          </cell>
          <cell r="C7" t="str">
            <v>km</v>
          </cell>
          <cell r="D7" t="str">
            <v>cum</v>
          </cell>
          <cell r="E7">
            <v>32.5</v>
          </cell>
          <cell r="K7">
            <v>225</v>
          </cell>
          <cell r="O7">
            <v>130.11000000000001</v>
          </cell>
          <cell r="P7">
            <v>4.0999999999999996</v>
          </cell>
          <cell r="Q7">
            <v>0.3</v>
          </cell>
          <cell r="R7">
            <v>11.5</v>
          </cell>
          <cell r="X7">
            <v>17.25</v>
          </cell>
          <cell r="AB7">
            <v>27</v>
          </cell>
        </row>
        <row r="8">
          <cell r="B8">
            <v>0.25</v>
          </cell>
          <cell r="C8" t="str">
            <v>km</v>
          </cell>
          <cell r="D8" t="str">
            <v>cum</v>
          </cell>
          <cell r="E8">
            <v>32.5</v>
          </cell>
          <cell r="F8">
            <v>80.900000000000006</v>
          </cell>
          <cell r="H8">
            <v>91.2</v>
          </cell>
          <cell r="K8">
            <v>250</v>
          </cell>
          <cell r="O8">
            <v>138.96</v>
          </cell>
          <cell r="P8">
            <v>4.5999999999999996</v>
          </cell>
          <cell r="Q8">
            <v>0.36</v>
          </cell>
          <cell r="R8">
            <v>11.5</v>
          </cell>
          <cell r="X8">
            <v>17.25</v>
          </cell>
          <cell r="AB8">
            <v>31</v>
          </cell>
        </row>
        <row r="9">
          <cell r="B9">
            <v>0.251</v>
          </cell>
          <cell r="C9" t="str">
            <v>km</v>
          </cell>
          <cell r="D9" t="str">
            <v>cum</v>
          </cell>
          <cell r="E9">
            <v>54.6</v>
          </cell>
          <cell r="F9">
            <v>80.900000000000006</v>
          </cell>
          <cell r="H9">
            <v>91.2</v>
          </cell>
          <cell r="K9">
            <v>300</v>
          </cell>
          <cell r="O9">
            <v>194.95</v>
          </cell>
          <cell r="P9">
            <v>6.8</v>
          </cell>
          <cell r="Q9">
            <v>0.4</v>
          </cell>
          <cell r="R9">
            <v>15.5</v>
          </cell>
          <cell r="X9">
            <v>23.25</v>
          </cell>
          <cell r="AB9">
            <v>38</v>
          </cell>
        </row>
        <row r="10">
          <cell r="B10">
            <v>0.5</v>
          </cell>
          <cell r="C10" t="str">
            <v>km</v>
          </cell>
          <cell r="D10" t="str">
            <v>cum</v>
          </cell>
          <cell r="E10">
            <v>54.6</v>
          </cell>
          <cell r="F10">
            <v>80.900000000000006</v>
          </cell>
          <cell r="G10" t="str">
            <v>Tonne</v>
          </cell>
          <cell r="H10">
            <v>91.2</v>
          </cell>
          <cell r="K10">
            <v>350</v>
          </cell>
          <cell r="O10">
            <v>250</v>
          </cell>
          <cell r="P10">
            <v>8.5</v>
          </cell>
          <cell r="Q10">
            <v>0.5</v>
          </cell>
          <cell r="R10">
            <v>15.5</v>
          </cell>
          <cell r="U10">
            <v>598</v>
          </cell>
          <cell r="V10">
            <v>20</v>
          </cell>
          <cell r="W10">
            <v>0.7</v>
          </cell>
          <cell r="X10">
            <v>23.25</v>
          </cell>
          <cell r="AB10">
            <v>44</v>
          </cell>
          <cell r="AE10">
            <v>58</v>
          </cell>
        </row>
        <row r="11">
          <cell r="B11">
            <v>0.6</v>
          </cell>
          <cell r="C11" t="str">
            <v>km</v>
          </cell>
          <cell r="D11" t="str">
            <v>cum</v>
          </cell>
          <cell r="E11">
            <v>69.5</v>
          </cell>
          <cell r="F11">
            <v>84.2</v>
          </cell>
          <cell r="G11" t="str">
            <v>Tonne</v>
          </cell>
          <cell r="H11">
            <v>92.5</v>
          </cell>
          <cell r="K11">
            <v>400</v>
          </cell>
          <cell r="O11">
            <v>276.64999999999998</v>
          </cell>
          <cell r="P11">
            <v>10.3</v>
          </cell>
          <cell r="Q11">
            <v>0.65</v>
          </cell>
          <cell r="R11">
            <v>21.5</v>
          </cell>
          <cell r="U11">
            <v>663</v>
          </cell>
          <cell r="V11">
            <v>25</v>
          </cell>
          <cell r="W11">
            <v>1.22</v>
          </cell>
          <cell r="X11">
            <v>32.25</v>
          </cell>
          <cell r="AB11">
            <v>48</v>
          </cell>
          <cell r="AE11">
            <v>66</v>
          </cell>
        </row>
        <row r="12">
          <cell r="B12">
            <v>1</v>
          </cell>
          <cell r="C12" t="str">
            <v>km</v>
          </cell>
          <cell r="D12" t="str">
            <v>cum</v>
          </cell>
          <cell r="E12">
            <v>69.5</v>
          </cell>
          <cell r="F12">
            <v>84.2</v>
          </cell>
          <cell r="G12" t="str">
            <v>Tonne</v>
          </cell>
          <cell r="H12">
            <v>92.5</v>
          </cell>
          <cell r="K12">
            <v>450</v>
          </cell>
          <cell r="O12">
            <v>344</v>
          </cell>
          <cell r="P12">
            <v>11.8</v>
          </cell>
          <cell r="Q12">
            <v>0.7</v>
          </cell>
          <cell r="R12">
            <v>21.5</v>
          </cell>
          <cell r="U12">
            <v>732</v>
          </cell>
          <cell r="V12">
            <v>27.5</v>
          </cell>
          <cell r="W12">
            <v>1.25</v>
          </cell>
          <cell r="X12">
            <v>32.25</v>
          </cell>
          <cell r="AB12">
            <v>55</v>
          </cell>
          <cell r="AE12">
            <v>75</v>
          </cell>
        </row>
        <row r="13">
          <cell r="B13">
            <v>2</v>
          </cell>
          <cell r="C13" t="str">
            <v>km</v>
          </cell>
          <cell r="D13" t="str">
            <v>cum</v>
          </cell>
          <cell r="E13">
            <v>72.8</v>
          </cell>
          <cell r="F13">
            <v>86.3</v>
          </cell>
          <cell r="G13" t="str">
            <v>Tonne</v>
          </cell>
          <cell r="H13">
            <v>96.2</v>
          </cell>
          <cell r="K13">
            <v>500</v>
          </cell>
          <cell r="O13">
            <v>396</v>
          </cell>
          <cell r="P13">
            <v>13.25</v>
          </cell>
          <cell r="Q13">
            <v>0.75</v>
          </cell>
          <cell r="R13">
            <v>21.5</v>
          </cell>
          <cell r="U13">
            <v>837</v>
          </cell>
          <cell r="V13">
            <v>30</v>
          </cell>
          <cell r="W13">
            <v>1.3</v>
          </cell>
          <cell r="X13">
            <v>32.25</v>
          </cell>
          <cell r="AB13">
            <v>72</v>
          </cell>
          <cell r="AE13">
            <v>86</v>
          </cell>
        </row>
        <row r="14">
          <cell r="B14">
            <v>3</v>
          </cell>
          <cell r="C14" t="str">
            <v>km</v>
          </cell>
          <cell r="D14" t="str">
            <v>cum</v>
          </cell>
          <cell r="E14">
            <v>77.099999999999994</v>
          </cell>
          <cell r="F14">
            <v>90.7</v>
          </cell>
          <cell r="G14" t="str">
            <v>Tonne</v>
          </cell>
          <cell r="H14">
            <v>100.3</v>
          </cell>
          <cell r="K14">
            <v>600</v>
          </cell>
          <cell r="O14">
            <v>558</v>
          </cell>
          <cell r="P14">
            <v>17.5</v>
          </cell>
          <cell r="Q14">
            <v>1.21</v>
          </cell>
          <cell r="R14">
            <v>34.5</v>
          </cell>
          <cell r="U14">
            <v>1173</v>
          </cell>
          <cell r="V14">
            <v>41</v>
          </cell>
          <cell r="W14">
            <v>1.85</v>
          </cell>
          <cell r="X14">
            <v>51.75</v>
          </cell>
          <cell r="AB14">
            <v>94</v>
          </cell>
          <cell r="AE14">
            <v>125</v>
          </cell>
        </row>
        <row r="15">
          <cell r="B15">
            <v>4</v>
          </cell>
          <cell r="C15" t="str">
            <v>km</v>
          </cell>
          <cell r="D15" t="str">
            <v>cum</v>
          </cell>
          <cell r="E15">
            <v>80.5</v>
          </cell>
          <cell r="F15">
            <v>94.3</v>
          </cell>
          <cell r="G15" t="str">
            <v>Tonne</v>
          </cell>
          <cell r="H15">
            <v>104</v>
          </cell>
          <cell r="K15">
            <v>700</v>
          </cell>
          <cell r="O15">
            <v>723</v>
          </cell>
          <cell r="P15">
            <v>21.25</v>
          </cell>
          <cell r="Q15">
            <v>1.3</v>
          </cell>
          <cell r="R15">
            <v>51</v>
          </cell>
          <cell r="U15">
            <v>1497</v>
          </cell>
          <cell r="V15">
            <v>55</v>
          </cell>
          <cell r="W15">
            <v>3.68</v>
          </cell>
          <cell r="X15">
            <v>76.5</v>
          </cell>
          <cell r="AB15">
            <v>129</v>
          </cell>
          <cell r="AE15">
            <v>150</v>
          </cell>
        </row>
        <row r="16">
          <cell r="B16">
            <v>5</v>
          </cell>
          <cell r="C16" t="str">
            <v>km</v>
          </cell>
          <cell r="D16" t="str">
            <v>cum</v>
          </cell>
          <cell r="E16">
            <v>83.9</v>
          </cell>
          <cell r="F16">
            <v>97.6</v>
          </cell>
          <cell r="G16" t="str">
            <v>Tonne</v>
          </cell>
          <cell r="H16">
            <v>107.6</v>
          </cell>
          <cell r="K16">
            <v>800</v>
          </cell>
          <cell r="O16">
            <v>927</v>
          </cell>
          <cell r="P16">
            <v>29.5</v>
          </cell>
          <cell r="Q16">
            <v>2</v>
          </cell>
          <cell r="R16">
            <v>51</v>
          </cell>
          <cell r="U16">
            <v>1980</v>
          </cell>
          <cell r="V16">
            <v>65</v>
          </cell>
          <cell r="W16">
            <v>3.7</v>
          </cell>
          <cell r="X16">
            <v>76.5</v>
          </cell>
          <cell r="AB16">
            <v>163</v>
          </cell>
          <cell r="AE16">
            <v>182</v>
          </cell>
        </row>
        <row r="17">
          <cell r="B17">
            <v>6</v>
          </cell>
          <cell r="C17" t="str">
            <v>km</v>
          </cell>
          <cell r="D17" t="str">
            <v>cum</v>
          </cell>
          <cell r="E17">
            <v>87.1</v>
          </cell>
          <cell r="F17">
            <v>103.1</v>
          </cell>
          <cell r="G17" t="str">
            <v>Tonne</v>
          </cell>
          <cell r="H17">
            <v>111.8</v>
          </cell>
          <cell r="K17">
            <v>900</v>
          </cell>
          <cell r="O17">
            <v>1170</v>
          </cell>
          <cell r="P17">
            <v>44</v>
          </cell>
          <cell r="Q17">
            <v>3.65</v>
          </cell>
          <cell r="R17">
            <v>57</v>
          </cell>
          <cell r="U17">
            <v>2488</v>
          </cell>
          <cell r="V17">
            <v>75</v>
          </cell>
          <cell r="W17">
            <v>3.7</v>
          </cell>
          <cell r="X17">
            <v>85.5</v>
          </cell>
          <cell r="AB17">
            <v>204</v>
          </cell>
          <cell r="AE17">
            <v>246</v>
          </cell>
        </row>
        <row r="18">
          <cell r="B18">
            <v>7</v>
          </cell>
          <cell r="C18" t="str">
            <v>km</v>
          </cell>
          <cell r="D18" t="str">
            <v>cum</v>
          </cell>
          <cell r="E18">
            <v>91.5</v>
          </cell>
          <cell r="F18">
            <v>105.5</v>
          </cell>
          <cell r="G18" t="str">
            <v>Tonne</v>
          </cell>
          <cell r="H18">
            <v>114.9</v>
          </cell>
          <cell r="K18">
            <v>1000</v>
          </cell>
          <cell r="O18">
            <v>1419</v>
          </cell>
          <cell r="P18">
            <v>50</v>
          </cell>
          <cell r="Q18">
            <v>3.65</v>
          </cell>
          <cell r="R18">
            <v>57</v>
          </cell>
          <cell r="U18">
            <v>2818</v>
          </cell>
          <cell r="V18">
            <v>79</v>
          </cell>
          <cell r="W18">
            <v>3.7</v>
          </cell>
          <cell r="X18">
            <v>85.5</v>
          </cell>
          <cell r="AB18">
            <v>239</v>
          </cell>
          <cell r="AE18">
            <v>297</v>
          </cell>
        </row>
        <row r="19">
          <cell r="B19">
            <v>8</v>
          </cell>
          <cell r="C19" t="str">
            <v>km</v>
          </cell>
          <cell r="D19" t="str">
            <v>cum</v>
          </cell>
          <cell r="E19">
            <v>94.9</v>
          </cell>
          <cell r="F19">
            <v>107.6</v>
          </cell>
          <cell r="G19" t="str">
            <v>Tonne</v>
          </cell>
          <cell r="H19">
            <v>118.9</v>
          </cell>
          <cell r="K19">
            <v>1100</v>
          </cell>
          <cell r="O19">
            <v>1668</v>
          </cell>
          <cell r="P19">
            <v>56.5</v>
          </cell>
          <cell r="Q19">
            <v>3.65</v>
          </cell>
          <cell r="R19">
            <v>72.5</v>
          </cell>
          <cell r="U19">
            <v>3324</v>
          </cell>
          <cell r="V19">
            <v>85</v>
          </cell>
          <cell r="W19">
            <v>3.7</v>
          </cell>
          <cell r="X19">
            <v>108.75</v>
          </cell>
          <cell r="AB19">
            <v>288</v>
          </cell>
          <cell r="AE19">
            <v>380</v>
          </cell>
        </row>
        <row r="20">
          <cell r="B20">
            <v>9</v>
          </cell>
          <cell r="C20" t="str">
            <v>km</v>
          </cell>
          <cell r="D20" t="str">
            <v>cum</v>
          </cell>
          <cell r="E20">
            <v>99.1</v>
          </cell>
          <cell r="F20">
            <v>113.2</v>
          </cell>
          <cell r="G20" t="str">
            <v>Tonne</v>
          </cell>
          <cell r="H20">
            <v>122.2</v>
          </cell>
          <cell r="K20">
            <v>1200</v>
          </cell>
          <cell r="O20">
            <v>1893</v>
          </cell>
          <cell r="P20">
            <v>63</v>
          </cell>
          <cell r="Q20">
            <v>3.7</v>
          </cell>
          <cell r="R20">
            <v>72.5</v>
          </cell>
          <cell r="U20">
            <v>3921</v>
          </cell>
          <cell r="V20">
            <v>95</v>
          </cell>
          <cell r="W20">
            <v>3.75</v>
          </cell>
          <cell r="X20">
            <v>108.75</v>
          </cell>
          <cell r="AB20">
            <v>460</v>
          </cell>
          <cell r="AE20">
            <v>478</v>
          </cell>
        </row>
        <row r="21">
          <cell r="B21">
            <v>10</v>
          </cell>
          <cell r="C21" t="str">
            <v>km</v>
          </cell>
          <cell r="D21" t="str">
            <v>cum</v>
          </cell>
          <cell r="E21">
            <v>102.6</v>
          </cell>
          <cell r="F21">
            <v>115.6</v>
          </cell>
          <cell r="G21" t="str">
            <v>Tonne</v>
          </cell>
          <cell r="H21">
            <v>126.5</v>
          </cell>
          <cell r="K21">
            <v>1400</v>
          </cell>
          <cell r="O21">
            <v>2688</v>
          </cell>
          <cell r="P21">
            <v>78</v>
          </cell>
          <cell r="Q21">
            <v>3.7</v>
          </cell>
          <cell r="R21">
            <v>72.5</v>
          </cell>
          <cell r="U21">
            <v>5193</v>
          </cell>
          <cell r="V21">
            <v>127</v>
          </cell>
          <cell r="W21">
            <v>3.75</v>
          </cell>
          <cell r="X21">
            <v>108.75</v>
          </cell>
          <cell r="AB21">
            <v>506</v>
          </cell>
          <cell r="AE21">
            <v>526</v>
          </cell>
        </row>
        <row r="22">
          <cell r="B22">
            <v>11</v>
          </cell>
          <cell r="C22" t="str">
            <v>km</v>
          </cell>
          <cell r="D22" t="str">
            <v>cum</v>
          </cell>
          <cell r="E22">
            <v>107.8</v>
          </cell>
          <cell r="F22">
            <v>119.6</v>
          </cell>
          <cell r="G22" t="str">
            <v>Tonne</v>
          </cell>
          <cell r="H22">
            <v>130.4</v>
          </cell>
          <cell r="K22">
            <v>1600</v>
          </cell>
          <cell r="O22">
            <v>3325</v>
          </cell>
          <cell r="P22">
            <v>93</v>
          </cell>
          <cell r="Q22">
            <v>3.75</v>
          </cell>
          <cell r="R22">
            <v>72.5</v>
          </cell>
          <cell r="U22">
            <v>6738</v>
          </cell>
          <cell r="V22">
            <v>150</v>
          </cell>
          <cell r="W22">
            <v>4</v>
          </cell>
          <cell r="X22">
            <v>108.75</v>
          </cell>
          <cell r="AB22">
            <v>630</v>
          </cell>
          <cell r="AE22">
            <v>642</v>
          </cell>
        </row>
        <row r="23">
          <cell r="B23">
            <v>12</v>
          </cell>
          <cell r="C23" t="str">
            <v>km</v>
          </cell>
          <cell r="D23" t="str">
            <v>cum</v>
          </cell>
          <cell r="E23">
            <v>110.2</v>
          </cell>
          <cell r="F23">
            <v>124.4</v>
          </cell>
          <cell r="G23" t="str">
            <v>Tonne</v>
          </cell>
          <cell r="H23">
            <v>133.69999999999999</v>
          </cell>
          <cell r="K23">
            <v>1800</v>
          </cell>
          <cell r="O23">
            <v>3745</v>
          </cell>
          <cell r="P23">
            <v>115</v>
          </cell>
          <cell r="Q23">
            <v>3.75</v>
          </cell>
          <cell r="R23">
            <v>72.5</v>
          </cell>
          <cell r="U23">
            <v>8928</v>
          </cell>
          <cell r="V23">
            <v>200</v>
          </cell>
          <cell r="W23">
            <v>5.5</v>
          </cell>
          <cell r="X23">
            <v>108.75</v>
          </cell>
          <cell r="AB23">
            <v>785</v>
          </cell>
          <cell r="AE23">
            <v>820</v>
          </cell>
        </row>
        <row r="24">
          <cell r="B24">
            <v>13</v>
          </cell>
          <cell r="C24" t="str">
            <v>km</v>
          </cell>
          <cell r="D24" t="str">
            <v>cum</v>
          </cell>
          <cell r="E24">
            <v>113.6</v>
          </cell>
          <cell r="F24">
            <v>127.8</v>
          </cell>
          <cell r="G24" t="str">
            <v>Tonne</v>
          </cell>
          <cell r="H24">
            <v>137.69999999999999</v>
          </cell>
          <cell r="K24">
            <v>2000</v>
          </cell>
        </row>
        <row r="25">
          <cell r="B25">
            <v>14</v>
          </cell>
          <cell r="C25" t="str">
            <v>km</v>
          </cell>
          <cell r="D25" t="str">
            <v>cum</v>
          </cell>
          <cell r="E25">
            <v>117.7</v>
          </cell>
          <cell r="F25">
            <v>132.19999999999999</v>
          </cell>
          <cell r="G25" t="str">
            <v>Tonne</v>
          </cell>
          <cell r="H25">
            <v>140.9</v>
          </cell>
          <cell r="K25">
            <v>2200</v>
          </cell>
        </row>
        <row r="26">
          <cell r="B26">
            <v>15</v>
          </cell>
          <cell r="C26" t="str">
            <v>km</v>
          </cell>
          <cell r="D26" t="str">
            <v>cum</v>
          </cell>
          <cell r="E26">
            <v>121.3</v>
          </cell>
          <cell r="F26">
            <v>134.5</v>
          </cell>
          <cell r="G26" t="str">
            <v>Tonne</v>
          </cell>
          <cell r="H26">
            <v>145</v>
          </cell>
          <cell r="K26">
            <v>2400</v>
          </cell>
        </row>
        <row r="27">
          <cell r="B27">
            <v>16</v>
          </cell>
          <cell r="C27" t="str">
            <v>km</v>
          </cell>
          <cell r="D27" t="str">
            <v>cum</v>
          </cell>
          <cell r="E27">
            <v>123.6</v>
          </cell>
          <cell r="F27">
            <v>137.9</v>
          </cell>
          <cell r="G27" t="str">
            <v>Tonne</v>
          </cell>
          <cell r="H27">
            <v>148.19999999999999</v>
          </cell>
          <cell r="K27">
            <v>2600</v>
          </cell>
        </row>
        <row r="28">
          <cell r="B28">
            <v>17</v>
          </cell>
          <cell r="C28" t="str">
            <v>km</v>
          </cell>
          <cell r="D28" t="str">
            <v>cum</v>
          </cell>
          <cell r="E28">
            <v>128.80000000000001</v>
          </cell>
          <cell r="F28">
            <v>142.30000000000001</v>
          </cell>
          <cell r="G28" t="str">
            <v>Tonne</v>
          </cell>
          <cell r="H28">
            <v>151.69999999999999</v>
          </cell>
          <cell r="K28">
            <v>2800</v>
          </cell>
        </row>
        <row r="29">
          <cell r="B29">
            <v>18</v>
          </cell>
          <cell r="C29" t="str">
            <v>km</v>
          </cell>
          <cell r="D29" t="str">
            <v>cum</v>
          </cell>
          <cell r="E29">
            <v>132.4</v>
          </cell>
          <cell r="F29">
            <v>145.80000000000001</v>
          </cell>
          <cell r="G29" t="str">
            <v>Tonne</v>
          </cell>
          <cell r="H29">
            <v>155.5</v>
          </cell>
          <cell r="K29">
            <v>3000</v>
          </cell>
        </row>
        <row r="30">
          <cell r="B30">
            <v>19</v>
          </cell>
          <cell r="C30" t="str">
            <v>km</v>
          </cell>
          <cell r="D30" t="str">
            <v>cum</v>
          </cell>
          <cell r="E30">
            <v>135.6</v>
          </cell>
          <cell r="F30">
            <v>148</v>
          </cell>
          <cell r="G30" t="str">
            <v>Tonne</v>
          </cell>
          <cell r="H30">
            <v>159</v>
          </cell>
          <cell r="K30">
            <v>3200</v>
          </cell>
        </row>
        <row r="31">
          <cell r="B31">
            <v>20</v>
          </cell>
          <cell r="C31" t="str">
            <v>km</v>
          </cell>
          <cell r="D31" t="str">
            <v>cum</v>
          </cell>
          <cell r="E31">
            <v>139.9</v>
          </cell>
          <cell r="F31">
            <v>153.5</v>
          </cell>
          <cell r="G31" t="str">
            <v>Tonne</v>
          </cell>
          <cell r="H31">
            <v>163.80000000000001</v>
          </cell>
          <cell r="K31">
            <v>3400</v>
          </cell>
        </row>
        <row r="32">
          <cell r="B32">
            <v>21</v>
          </cell>
          <cell r="E32">
            <v>142.9</v>
          </cell>
          <cell r="F32">
            <v>157.30000000000001</v>
          </cell>
          <cell r="H32">
            <v>167.20000000000002</v>
          </cell>
          <cell r="K32">
            <v>3600</v>
          </cell>
        </row>
        <row r="33">
          <cell r="B33">
            <v>22</v>
          </cell>
          <cell r="E33">
            <v>145.9</v>
          </cell>
          <cell r="F33">
            <v>161.10000000000002</v>
          </cell>
          <cell r="H33">
            <v>170.60000000000002</v>
          </cell>
          <cell r="K33">
            <v>3800</v>
          </cell>
        </row>
        <row r="34">
          <cell r="B34">
            <v>23</v>
          </cell>
          <cell r="E34">
            <v>148.9</v>
          </cell>
          <cell r="F34">
            <v>164.90000000000003</v>
          </cell>
          <cell r="H34">
            <v>174.00000000000003</v>
          </cell>
          <cell r="K34">
            <v>4000</v>
          </cell>
        </row>
        <row r="35">
          <cell r="B35">
            <v>24</v>
          </cell>
          <cell r="E35">
            <v>151.9</v>
          </cell>
          <cell r="F35">
            <v>168.70000000000005</v>
          </cell>
          <cell r="H35">
            <v>177.40000000000003</v>
          </cell>
          <cell r="K35">
            <v>4200</v>
          </cell>
        </row>
        <row r="36">
          <cell r="B36">
            <v>25</v>
          </cell>
          <cell r="E36">
            <v>154.9</v>
          </cell>
          <cell r="F36">
            <v>172.50000000000006</v>
          </cell>
          <cell r="H36">
            <v>180.80000000000004</v>
          </cell>
          <cell r="K36">
            <v>4400</v>
          </cell>
        </row>
        <row r="37">
          <cell r="B37">
            <v>26</v>
          </cell>
          <cell r="E37">
            <v>157.9</v>
          </cell>
          <cell r="F37">
            <v>176.30000000000007</v>
          </cell>
          <cell r="H37">
            <v>184.20000000000005</v>
          </cell>
          <cell r="K37">
            <v>4600</v>
          </cell>
        </row>
        <row r="38">
          <cell r="B38">
            <v>27</v>
          </cell>
          <cell r="E38">
            <v>160.9</v>
          </cell>
          <cell r="F38">
            <v>180.10000000000008</v>
          </cell>
          <cell r="H38">
            <v>187.60000000000005</v>
          </cell>
          <cell r="K38">
            <v>4800</v>
          </cell>
        </row>
        <row r="39">
          <cell r="B39">
            <v>28</v>
          </cell>
          <cell r="E39">
            <v>163.9</v>
          </cell>
          <cell r="F39">
            <v>183.90000000000009</v>
          </cell>
          <cell r="H39">
            <v>191.00000000000006</v>
          </cell>
          <cell r="K39">
            <v>5000</v>
          </cell>
        </row>
        <row r="40">
          <cell r="B40">
            <v>29</v>
          </cell>
          <cell r="E40">
            <v>166.9</v>
          </cell>
          <cell r="F40">
            <v>187.7000000000001</v>
          </cell>
          <cell r="H40">
            <v>194.40000000000006</v>
          </cell>
          <cell r="K40">
            <v>5200</v>
          </cell>
        </row>
        <row r="41">
          <cell r="B41">
            <v>30</v>
          </cell>
          <cell r="E41">
            <v>169.9</v>
          </cell>
          <cell r="F41">
            <v>191.50000000000011</v>
          </cell>
          <cell r="H41">
            <v>197.80000000000007</v>
          </cell>
          <cell r="K41">
            <v>5400</v>
          </cell>
        </row>
        <row r="42">
          <cell r="B42">
            <v>31</v>
          </cell>
          <cell r="E42">
            <v>172.8</v>
          </cell>
          <cell r="F42">
            <v>195.00000000000011</v>
          </cell>
          <cell r="H42">
            <v>200.60000000000008</v>
          </cell>
          <cell r="K42">
            <v>5600</v>
          </cell>
        </row>
        <row r="43">
          <cell r="B43">
            <v>32</v>
          </cell>
          <cell r="E43">
            <v>175.70000000000002</v>
          </cell>
          <cell r="F43">
            <v>198.50000000000011</v>
          </cell>
          <cell r="H43">
            <v>203.40000000000009</v>
          </cell>
          <cell r="K43">
            <v>5800</v>
          </cell>
        </row>
        <row r="44">
          <cell r="B44">
            <v>33</v>
          </cell>
          <cell r="E44">
            <v>178.60000000000002</v>
          </cell>
          <cell r="F44">
            <v>202.00000000000011</v>
          </cell>
          <cell r="H44">
            <v>206.2000000000001</v>
          </cell>
          <cell r="K44">
            <v>6000</v>
          </cell>
        </row>
        <row r="45">
          <cell r="B45">
            <v>34</v>
          </cell>
          <cell r="E45">
            <v>181.50000000000003</v>
          </cell>
          <cell r="F45">
            <v>205.50000000000011</v>
          </cell>
          <cell r="H45">
            <v>209.00000000000011</v>
          </cell>
          <cell r="K45">
            <v>6200</v>
          </cell>
        </row>
        <row r="46">
          <cell r="B46">
            <v>35</v>
          </cell>
          <cell r="E46">
            <v>184.40000000000003</v>
          </cell>
          <cell r="F46">
            <v>209.00000000000011</v>
          </cell>
          <cell r="H46">
            <v>211.80000000000013</v>
          </cell>
          <cell r="K46">
            <v>6400</v>
          </cell>
        </row>
        <row r="47">
          <cell r="B47">
            <v>36</v>
          </cell>
          <cell r="E47">
            <v>187.30000000000004</v>
          </cell>
          <cell r="F47">
            <v>212.50000000000011</v>
          </cell>
          <cell r="H47">
            <v>214.60000000000014</v>
          </cell>
          <cell r="K47">
            <v>6600</v>
          </cell>
        </row>
        <row r="48">
          <cell r="B48">
            <v>37</v>
          </cell>
          <cell r="E48">
            <v>190.20000000000005</v>
          </cell>
          <cell r="F48">
            <v>216.00000000000011</v>
          </cell>
          <cell r="H48">
            <v>217.40000000000015</v>
          </cell>
          <cell r="K48">
            <v>6800</v>
          </cell>
        </row>
        <row r="49">
          <cell r="B49">
            <v>38</v>
          </cell>
          <cell r="E49">
            <v>193.10000000000005</v>
          </cell>
          <cell r="F49">
            <v>219.50000000000011</v>
          </cell>
          <cell r="H49">
            <v>220.20000000000016</v>
          </cell>
          <cell r="K49">
            <v>7000</v>
          </cell>
        </row>
        <row r="50">
          <cell r="B50">
            <v>39</v>
          </cell>
          <cell r="E50">
            <v>196.00000000000006</v>
          </cell>
          <cell r="F50">
            <v>223.00000000000011</v>
          </cell>
          <cell r="H50">
            <v>223.00000000000017</v>
          </cell>
          <cell r="K50">
            <v>7200</v>
          </cell>
        </row>
        <row r="51">
          <cell r="B51">
            <v>40</v>
          </cell>
          <cell r="E51">
            <v>198.90000000000006</v>
          </cell>
          <cell r="F51">
            <v>226.50000000000011</v>
          </cell>
          <cell r="H51">
            <v>225.80000000000018</v>
          </cell>
          <cell r="K51">
            <v>7400</v>
          </cell>
        </row>
        <row r="52">
          <cell r="B52">
            <v>41</v>
          </cell>
          <cell r="E52">
            <v>201.80000000000007</v>
          </cell>
          <cell r="F52">
            <v>230.00000000000011</v>
          </cell>
          <cell r="H52">
            <v>228.60000000000019</v>
          </cell>
          <cell r="K52">
            <v>7600</v>
          </cell>
        </row>
        <row r="53">
          <cell r="B53">
            <v>42</v>
          </cell>
          <cell r="E53">
            <v>204.70000000000007</v>
          </cell>
          <cell r="F53">
            <v>233.50000000000011</v>
          </cell>
          <cell r="H53">
            <v>231.4000000000002</v>
          </cell>
          <cell r="K53">
            <v>7800</v>
          </cell>
        </row>
        <row r="54">
          <cell r="B54">
            <v>43</v>
          </cell>
          <cell r="E54">
            <v>207.60000000000008</v>
          </cell>
          <cell r="F54">
            <v>237.00000000000011</v>
          </cell>
          <cell r="H54">
            <v>234.20000000000022</v>
          </cell>
          <cell r="K54">
            <v>8000</v>
          </cell>
        </row>
        <row r="55">
          <cell r="B55">
            <v>44</v>
          </cell>
          <cell r="E55">
            <v>210.50000000000009</v>
          </cell>
          <cell r="F55">
            <v>240.50000000000011</v>
          </cell>
          <cell r="H55">
            <v>237.00000000000023</v>
          </cell>
          <cell r="K55">
            <v>8200</v>
          </cell>
        </row>
        <row r="56">
          <cell r="B56">
            <v>45</v>
          </cell>
          <cell r="E56">
            <v>213.40000000000009</v>
          </cell>
          <cell r="F56">
            <v>244.00000000000011</v>
          </cell>
          <cell r="H56">
            <v>239.80000000000024</v>
          </cell>
          <cell r="K56">
            <v>8400</v>
          </cell>
        </row>
        <row r="57">
          <cell r="B57">
            <v>46</v>
          </cell>
          <cell r="E57">
            <v>216.3000000000001</v>
          </cell>
          <cell r="F57">
            <v>247.50000000000011</v>
          </cell>
          <cell r="H57">
            <v>242.60000000000025</v>
          </cell>
          <cell r="K57">
            <v>8600</v>
          </cell>
        </row>
        <row r="58">
          <cell r="B58">
            <v>47</v>
          </cell>
          <cell r="E58">
            <v>219.2000000000001</v>
          </cell>
          <cell r="F58">
            <v>251.00000000000011</v>
          </cell>
          <cell r="H58">
            <v>245.40000000000026</v>
          </cell>
          <cell r="K58">
            <v>8800</v>
          </cell>
        </row>
        <row r="59">
          <cell r="B59">
            <v>48</v>
          </cell>
          <cell r="E59">
            <v>222.10000000000011</v>
          </cell>
          <cell r="F59">
            <v>254.50000000000011</v>
          </cell>
          <cell r="H59">
            <v>248.20000000000027</v>
          </cell>
          <cell r="K59">
            <v>9000</v>
          </cell>
        </row>
        <row r="60">
          <cell r="B60">
            <v>49</v>
          </cell>
          <cell r="E60">
            <v>225.00000000000011</v>
          </cell>
          <cell r="F60">
            <v>258.00000000000011</v>
          </cell>
          <cell r="H60">
            <v>251.00000000000028</v>
          </cell>
          <cell r="K60">
            <v>9200</v>
          </cell>
        </row>
        <row r="61">
          <cell r="B61">
            <v>50</v>
          </cell>
          <cell r="E61">
            <v>227.90000000000012</v>
          </cell>
          <cell r="F61">
            <v>261.50000000000011</v>
          </cell>
          <cell r="H61">
            <v>253.8000000000003</v>
          </cell>
          <cell r="K61">
            <v>9400</v>
          </cell>
        </row>
        <row r="62">
          <cell r="B62">
            <v>51</v>
          </cell>
          <cell r="E62">
            <v>230.70000000000013</v>
          </cell>
          <cell r="F62">
            <v>264.60000000000014</v>
          </cell>
          <cell r="H62">
            <v>256.60000000000031</v>
          </cell>
          <cell r="K62">
            <v>9600</v>
          </cell>
        </row>
        <row r="63">
          <cell r="B63">
            <v>52</v>
          </cell>
          <cell r="E63">
            <v>233.50000000000014</v>
          </cell>
          <cell r="F63">
            <v>267.70000000000016</v>
          </cell>
          <cell r="H63">
            <v>259.40000000000032</v>
          </cell>
          <cell r="K63">
            <v>9800</v>
          </cell>
        </row>
        <row r="64">
          <cell r="B64">
            <v>53</v>
          </cell>
          <cell r="E64">
            <v>236.30000000000015</v>
          </cell>
          <cell r="F64">
            <v>270.80000000000018</v>
          </cell>
          <cell r="H64">
            <v>262.20000000000033</v>
          </cell>
          <cell r="K64">
            <v>10000</v>
          </cell>
        </row>
        <row r="65">
          <cell r="B65">
            <v>54</v>
          </cell>
          <cell r="E65">
            <v>239.10000000000016</v>
          </cell>
          <cell r="F65">
            <v>273.9000000000002</v>
          </cell>
          <cell r="H65">
            <v>265.00000000000034</v>
          </cell>
          <cell r="K65">
            <v>10200</v>
          </cell>
        </row>
        <row r="66">
          <cell r="B66">
            <v>55</v>
          </cell>
          <cell r="E66">
            <v>241.90000000000018</v>
          </cell>
          <cell r="F66">
            <v>277.00000000000023</v>
          </cell>
          <cell r="H66">
            <v>267.80000000000035</v>
          </cell>
          <cell r="K66">
            <v>10400</v>
          </cell>
        </row>
        <row r="67">
          <cell r="B67">
            <v>56</v>
          </cell>
          <cell r="E67">
            <v>244.70000000000019</v>
          </cell>
          <cell r="F67">
            <v>280.10000000000025</v>
          </cell>
          <cell r="H67">
            <v>270.60000000000036</v>
          </cell>
          <cell r="K67">
            <v>10600</v>
          </cell>
        </row>
        <row r="68">
          <cell r="B68">
            <v>57</v>
          </cell>
          <cell r="E68">
            <v>247.5000000000002</v>
          </cell>
          <cell r="F68">
            <v>283.20000000000027</v>
          </cell>
          <cell r="H68">
            <v>273.40000000000038</v>
          </cell>
          <cell r="K68">
            <v>10800</v>
          </cell>
        </row>
        <row r="69">
          <cell r="B69">
            <v>58</v>
          </cell>
          <cell r="E69">
            <v>250.30000000000021</v>
          </cell>
          <cell r="F69">
            <v>286.3000000000003</v>
          </cell>
          <cell r="H69">
            <v>276.20000000000039</v>
          </cell>
          <cell r="K69">
            <v>11000</v>
          </cell>
        </row>
        <row r="70">
          <cell r="B70">
            <v>59</v>
          </cell>
          <cell r="E70">
            <v>253.10000000000022</v>
          </cell>
          <cell r="F70">
            <v>289.40000000000032</v>
          </cell>
          <cell r="H70">
            <v>279.0000000000004</v>
          </cell>
          <cell r="K70">
            <v>11200</v>
          </cell>
        </row>
        <row r="71">
          <cell r="B71">
            <v>60</v>
          </cell>
          <cell r="E71">
            <v>255.90000000000023</v>
          </cell>
          <cell r="F71">
            <v>292.50000000000034</v>
          </cell>
          <cell r="H71">
            <v>281.80000000000041</v>
          </cell>
          <cell r="K71">
            <v>11400</v>
          </cell>
        </row>
        <row r="72">
          <cell r="B72">
            <v>61</v>
          </cell>
          <cell r="E72">
            <v>258.70000000000022</v>
          </cell>
          <cell r="F72">
            <v>295.60000000000036</v>
          </cell>
          <cell r="H72">
            <v>284.60000000000042</v>
          </cell>
          <cell r="K72">
            <v>11600</v>
          </cell>
        </row>
        <row r="73">
          <cell r="B73">
            <v>62</v>
          </cell>
          <cell r="E73">
            <v>261.50000000000023</v>
          </cell>
          <cell r="F73">
            <v>298.70000000000039</v>
          </cell>
          <cell r="H73">
            <v>287.40000000000043</v>
          </cell>
          <cell r="K73">
            <v>11800</v>
          </cell>
        </row>
        <row r="74">
          <cell r="B74">
            <v>63</v>
          </cell>
          <cell r="E74">
            <v>264.30000000000024</v>
          </cell>
          <cell r="F74">
            <v>301.80000000000041</v>
          </cell>
          <cell r="H74">
            <v>290.20000000000044</v>
          </cell>
          <cell r="K74">
            <v>12000</v>
          </cell>
        </row>
        <row r="75">
          <cell r="B75">
            <v>64</v>
          </cell>
          <cell r="E75">
            <v>267.10000000000025</v>
          </cell>
          <cell r="F75">
            <v>304.90000000000043</v>
          </cell>
          <cell r="H75">
            <v>293.00000000000045</v>
          </cell>
          <cell r="K75">
            <v>12200</v>
          </cell>
        </row>
        <row r="76">
          <cell r="B76">
            <v>65</v>
          </cell>
          <cell r="E76">
            <v>269.90000000000026</v>
          </cell>
          <cell r="F76">
            <v>308.00000000000045</v>
          </cell>
          <cell r="H76">
            <v>295.80000000000047</v>
          </cell>
          <cell r="K76">
            <v>12400</v>
          </cell>
        </row>
        <row r="77">
          <cell r="B77">
            <v>66</v>
          </cell>
          <cell r="E77">
            <v>272.70000000000027</v>
          </cell>
          <cell r="F77">
            <v>311.10000000000048</v>
          </cell>
          <cell r="H77">
            <v>298.60000000000048</v>
          </cell>
          <cell r="K77">
            <v>12600</v>
          </cell>
        </row>
        <row r="78">
          <cell r="B78">
            <v>67</v>
          </cell>
          <cell r="E78">
            <v>275.50000000000028</v>
          </cell>
          <cell r="F78">
            <v>314.2000000000005</v>
          </cell>
          <cell r="H78">
            <v>301.40000000000049</v>
          </cell>
          <cell r="K78">
            <v>12800</v>
          </cell>
        </row>
        <row r="79">
          <cell r="B79">
            <v>68</v>
          </cell>
          <cell r="E79">
            <v>278.3000000000003</v>
          </cell>
          <cell r="F79">
            <v>317.30000000000052</v>
          </cell>
          <cell r="H79">
            <v>304.2000000000005</v>
          </cell>
          <cell r="K79">
            <v>13000</v>
          </cell>
        </row>
        <row r="80">
          <cell r="B80">
            <v>69</v>
          </cell>
          <cell r="E80">
            <v>281.10000000000031</v>
          </cell>
          <cell r="F80">
            <v>320.40000000000055</v>
          </cell>
          <cell r="H80">
            <v>307.00000000000051</v>
          </cell>
          <cell r="K80">
            <v>13200</v>
          </cell>
        </row>
        <row r="81">
          <cell r="B81">
            <v>70</v>
          </cell>
          <cell r="E81">
            <v>283.90000000000032</v>
          </cell>
          <cell r="F81">
            <v>323.50000000000057</v>
          </cell>
          <cell r="H81">
            <v>309.80000000000052</v>
          </cell>
          <cell r="K81">
            <v>13400</v>
          </cell>
        </row>
        <row r="82">
          <cell r="B82">
            <v>71</v>
          </cell>
          <cell r="E82">
            <v>286.70000000000033</v>
          </cell>
          <cell r="F82">
            <v>326.60000000000059</v>
          </cell>
          <cell r="H82">
            <v>312.60000000000053</v>
          </cell>
          <cell r="K82">
            <v>13600</v>
          </cell>
        </row>
        <row r="83">
          <cell r="B83">
            <v>72</v>
          </cell>
          <cell r="E83">
            <v>289.50000000000034</v>
          </cell>
          <cell r="F83">
            <v>329.70000000000061</v>
          </cell>
          <cell r="H83">
            <v>315.40000000000055</v>
          </cell>
          <cell r="K83">
            <v>13800</v>
          </cell>
        </row>
        <row r="84">
          <cell r="B84">
            <v>73</v>
          </cell>
          <cell r="E84">
            <v>292.30000000000035</v>
          </cell>
          <cell r="F84">
            <v>332.80000000000064</v>
          </cell>
          <cell r="H84">
            <v>318.20000000000056</v>
          </cell>
          <cell r="K84">
            <v>14000</v>
          </cell>
        </row>
        <row r="85">
          <cell r="B85">
            <v>74</v>
          </cell>
          <cell r="E85">
            <v>295.10000000000036</v>
          </cell>
          <cell r="F85">
            <v>335.90000000000066</v>
          </cell>
          <cell r="H85">
            <v>321.00000000000057</v>
          </cell>
          <cell r="K85">
            <v>14200</v>
          </cell>
        </row>
        <row r="86">
          <cell r="B86">
            <v>75</v>
          </cell>
          <cell r="E86">
            <v>297.90000000000038</v>
          </cell>
          <cell r="F86">
            <v>339.00000000000068</v>
          </cell>
          <cell r="H86">
            <v>323.80000000000058</v>
          </cell>
          <cell r="K86">
            <v>14400</v>
          </cell>
        </row>
        <row r="87">
          <cell r="B87">
            <v>76</v>
          </cell>
          <cell r="E87">
            <v>300.70000000000039</v>
          </cell>
          <cell r="F87">
            <v>342.1000000000007</v>
          </cell>
          <cell r="H87">
            <v>326.60000000000059</v>
          </cell>
          <cell r="K87">
            <v>14600</v>
          </cell>
        </row>
        <row r="88">
          <cell r="B88">
            <v>77</v>
          </cell>
          <cell r="E88">
            <v>303.5000000000004</v>
          </cell>
          <cell r="F88">
            <v>345.20000000000073</v>
          </cell>
          <cell r="H88">
            <v>329.4000000000006</v>
          </cell>
          <cell r="K88">
            <v>14800</v>
          </cell>
        </row>
        <row r="89">
          <cell r="B89">
            <v>78</v>
          </cell>
          <cell r="E89">
            <v>306.30000000000041</v>
          </cell>
          <cell r="F89">
            <v>348.30000000000075</v>
          </cell>
          <cell r="H89">
            <v>332.20000000000061</v>
          </cell>
          <cell r="K89">
            <v>15000</v>
          </cell>
        </row>
        <row r="90">
          <cell r="B90">
            <v>79</v>
          </cell>
          <cell r="E90">
            <v>309.10000000000042</v>
          </cell>
          <cell r="F90">
            <v>351.40000000000077</v>
          </cell>
          <cell r="H90">
            <v>335.00000000000063</v>
          </cell>
          <cell r="K90">
            <v>15200</v>
          </cell>
        </row>
        <row r="91">
          <cell r="B91">
            <v>80</v>
          </cell>
          <cell r="E91">
            <v>311.90000000000043</v>
          </cell>
          <cell r="F91">
            <v>354.5000000000008</v>
          </cell>
          <cell r="H91">
            <v>337.80000000000064</v>
          </cell>
          <cell r="K91">
            <v>15400</v>
          </cell>
        </row>
        <row r="92">
          <cell r="B92">
            <v>81</v>
          </cell>
          <cell r="E92">
            <v>314.60000000000042</v>
          </cell>
          <cell r="F92">
            <v>357.5000000000008</v>
          </cell>
          <cell r="H92">
            <v>340.20000000000061</v>
          </cell>
          <cell r="K92">
            <v>15600</v>
          </cell>
        </row>
        <row r="93">
          <cell r="B93">
            <v>82</v>
          </cell>
          <cell r="E93">
            <v>317.30000000000041</v>
          </cell>
          <cell r="F93">
            <v>360.5000000000008</v>
          </cell>
          <cell r="H93">
            <v>342.60000000000059</v>
          </cell>
          <cell r="K93">
            <v>15800</v>
          </cell>
        </row>
        <row r="94">
          <cell r="B94">
            <v>83</v>
          </cell>
          <cell r="E94">
            <v>320.0000000000004</v>
          </cell>
          <cell r="F94">
            <v>363.5000000000008</v>
          </cell>
          <cell r="H94">
            <v>345.00000000000057</v>
          </cell>
          <cell r="K94">
            <v>16000</v>
          </cell>
        </row>
        <row r="95">
          <cell r="B95">
            <v>84</v>
          </cell>
          <cell r="E95">
            <v>322.70000000000039</v>
          </cell>
          <cell r="F95">
            <v>366.5000000000008</v>
          </cell>
          <cell r="H95">
            <v>347.40000000000055</v>
          </cell>
          <cell r="K95">
            <v>16200</v>
          </cell>
        </row>
        <row r="96">
          <cell r="B96">
            <v>85</v>
          </cell>
          <cell r="E96">
            <v>325.40000000000038</v>
          </cell>
          <cell r="F96">
            <v>369.5000000000008</v>
          </cell>
          <cell r="H96">
            <v>349.80000000000052</v>
          </cell>
          <cell r="K96">
            <v>16400</v>
          </cell>
        </row>
        <row r="97">
          <cell r="B97">
            <v>86</v>
          </cell>
          <cell r="E97">
            <v>328.10000000000036</v>
          </cell>
          <cell r="F97">
            <v>372.5000000000008</v>
          </cell>
          <cell r="H97">
            <v>352.2000000000005</v>
          </cell>
          <cell r="K97">
            <v>16600</v>
          </cell>
        </row>
        <row r="98">
          <cell r="B98">
            <v>87</v>
          </cell>
          <cell r="E98">
            <v>330.80000000000035</v>
          </cell>
          <cell r="F98">
            <v>375.5000000000008</v>
          </cell>
          <cell r="H98">
            <v>354.60000000000048</v>
          </cell>
          <cell r="K98">
            <v>16800</v>
          </cell>
        </row>
        <row r="99">
          <cell r="B99">
            <v>88</v>
          </cell>
          <cell r="E99">
            <v>333.50000000000034</v>
          </cell>
          <cell r="F99">
            <v>378.5000000000008</v>
          </cell>
          <cell r="H99">
            <v>357.00000000000045</v>
          </cell>
          <cell r="K99">
            <v>17000</v>
          </cell>
        </row>
        <row r="100">
          <cell r="B100">
            <v>89</v>
          </cell>
          <cell r="E100">
            <v>336.20000000000033</v>
          </cell>
          <cell r="F100">
            <v>381.5000000000008</v>
          </cell>
          <cell r="H100">
            <v>359.40000000000043</v>
          </cell>
          <cell r="K100">
            <v>17200</v>
          </cell>
        </row>
        <row r="101">
          <cell r="B101">
            <v>90</v>
          </cell>
          <cell r="E101">
            <v>338.90000000000032</v>
          </cell>
          <cell r="F101">
            <v>384.5000000000008</v>
          </cell>
          <cell r="H101">
            <v>361.80000000000041</v>
          </cell>
          <cell r="K101">
            <v>17400</v>
          </cell>
        </row>
        <row r="102">
          <cell r="B102">
            <v>91</v>
          </cell>
          <cell r="E102">
            <v>341.60000000000031</v>
          </cell>
          <cell r="F102">
            <v>387.5000000000008</v>
          </cell>
          <cell r="H102">
            <v>364.20000000000039</v>
          </cell>
          <cell r="K102">
            <v>17600</v>
          </cell>
        </row>
        <row r="103">
          <cell r="B103">
            <v>92</v>
          </cell>
          <cell r="E103">
            <v>344.3000000000003</v>
          </cell>
          <cell r="F103">
            <v>390.5000000000008</v>
          </cell>
          <cell r="H103">
            <v>366.60000000000036</v>
          </cell>
          <cell r="K103">
            <v>17800</v>
          </cell>
        </row>
        <row r="104">
          <cell r="B104">
            <v>93</v>
          </cell>
          <cell r="E104">
            <v>347.00000000000028</v>
          </cell>
          <cell r="F104">
            <v>393.5000000000008</v>
          </cell>
          <cell r="H104">
            <v>369.00000000000034</v>
          </cell>
          <cell r="K104">
            <v>18000</v>
          </cell>
        </row>
        <row r="105">
          <cell r="B105">
            <v>94</v>
          </cell>
          <cell r="E105">
            <v>349.70000000000027</v>
          </cell>
          <cell r="F105">
            <v>396.5000000000008</v>
          </cell>
          <cell r="H105">
            <v>371.40000000000032</v>
          </cell>
          <cell r="K105">
            <v>18200</v>
          </cell>
        </row>
        <row r="106">
          <cell r="B106">
            <v>95</v>
          </cell>
          <cell r="E106">
            <v>352.40000000000026</v>
          </cell>
          <cell r="F106">
            <v>399.5000000000008</v>
          </cell>
          <cell r="H106">
            <v>373.8000000000003</v>
          </cell>
          <cell r="K106">
            <v>18400</v>
          </cell>
        </row>
        <row r="107">
          <cell r="B107">
            <v>96</v>
          </cell>
          <cell r="E107">
            <v>355.10000000000025</v>
          </cell>
          <cell r="F107">
            <v>402.5000000000008</v>
          </cell>
          <cell r="H107">
            <v>376.20000000000027</v>
          </cell>
          <cell r="K107">
            <v>18600</v>
          </cell>
        </row>
        <row r="108">
          <cell r="B108">
            <v>97</v>
          </cell>
          <cell r="E108">
            <v>357.80000000000024</v>
          </cell>
          <cell r="F108">
            <v>405.5000000000008</v>
          </cell>
          <cell r="H108">
            <v>378.60000000000025</v>
          </cell>
          <cell r="K108">
            <v>18800</v>
          </cell>
        </row>
        <row r="109">
          <cell r="B109">
            <v>98</v>
          </cell>
          <cell r="E109">
            <v>360.50000000000023</v>
          </cell>
          <cell r="F109">
            <v>408.5000000000008</v>
          </cell>
          <cell r="H109">
            <v>381.00000000000023</v>
          </cell>
          <cell r="K109">
            <v>19000</v>
          </cell>
        </row>
        <row r="110">
          <cell r="B110">
            <v>99</v>
          </cell>
          <cell r="E110">
            <v>363.20000000000022</v>
          </cell>
          <cell r="F110">
            <v>411.5000000000008</v>
          </cell>
          <cell r="H110">
            <v>383.4000000000002</v>
          </cell>
          <cell r="K110">
            <v>19200</v>
          </cell>
        </row>
        <row r="111">
          <cell r="B111">
            <v>100</v>
          </cell>
          <cell r="E111">
            <v>365.9000000000002</v>
          </cell>
          <cell r="F111">
            <v>414.5000000000008</v>
          </cell>
          <cell r="H111">
            <v>385.80000000000018</v>
          </cell>
          <cell r="K111">
            <v>19400</v>
          </cell>
        </row>
        <row r="112">
          <cell r="B112">
            <v>101</v>
          </cell>
          <cell r="E112">
            <v>368.4000000000002</v>
          </cell>
          <cell r="F112">
            <v>417.30000000000081</v>
          </cell>
          <cell r="H112">
            <v>388.00000000000017</v>
          </cell>
          <cell r="K112">
            <v>19600</v>
          </cell>
        </row>
        <row r="113">
          <cell r="B113">
            <v>102</v>
          </cell>
          <cell r="E113">
            <v>370.9000000000002</v>
          </cell>
          <cell r="F113">
            <v>420.10000000000082</v>
          </cell>
          <cell r="H113">
            <v>390.20000000000016</v>
          </cell>
          <cell r="K113">
            <v>19800</v>
          </cell>
        </row>
        <row r="114">
          <cell r="B114">
            <v>103</v>
          </cell>
          <cell r="E114">
            <v>373.4000000000002</v>
          </cell>
          <cell r="F114">
            <v>422.90000000000083</v>
          </cell>
          <cell r="H114">
            <v>392.40000000000015</v>
          </cell>
          <cell r="K114">
            <v>20000</v>
          </cell>
        </row>
        <row r="115">
          <cell r="B115">
            <v>104</v>
          </cell>
          <cell r="E115">
            <v>375.9000000000002</v>
          </cell>
          <cell r="F115">
            <v>425.70000000000084</v>
          </cell>
          <cell r="H115">
            <v>394.60000000000014</v>
          </cell>
          <cell r="K115">
            <v>20200</v>
          </cell>
        </row>
        <row r="116">
          <cell r="B116">
            <v>105</v>
          </cell>
          <cell r="E116">
            <v>378.4000000000002</v>
          </cell>
          <cell r="F116">
            <v>428.50000000000085</v>
          </cell>
          <cell r="H116">
            <v>396.80000000000013</v>
          </cell>
          <cell r="K116">
            <v>20400</v>
          </cell>
        </row>
        <row r="117">
          <cell r="B117">
            <v>106</v>
          </cell>
          <cell r="E117">
            <v>380.9000000000002</v>
          </cell>
          <cell r="F117">
            <v>431.30000000000086</v>
          </cell>
          <cell r="H117">
            <v>399.00000000000011</v>
          </cell>
          <cell r="K117">
            <v>20600</v>
          </cell>
        </row>
        <row r="118">
          <cell r="B118">
            <v>107</v>
          </cell>
          <cell r="E118">
            <v>383.4000000000002</v>
          </cell>
          <cell r="F118">
            <v>434.10000000000088</v>
          </cell>
          <cell r="H118">
            <v>401.2000000000001</v>
          </cell>
          <cell r="K118">
            <v>20800</v>
          </cell>
        </row>
        <row r="119">
          <cell r="B119">
            <v>108</v>
          </cell>
          <cell r="E119">
            <v>385.9000000000002</v>
          </cell>
          <cell r="F119">
            <v>436.90000000000089</v>
          </cell>
          <cell r="H119">
            <v>403.40000000000009</v>
          </cell>
          <cell r="K119">
            <v>21000</v>
          </cell>
        </row>
        <row r="120">
          <cell r="B120">
            <v>109</v>
          </cell>
          <cell r="E120">
            <v>388.4000000000002</v>
          </cell>
          <cell r="F120">
            <v>439.7000000000009</v>
          </cell>
          <cell r="H120">
            <v>405.60000000000008</v>
          </cell>
          <cell r="K120">
            <v>21200</v>
          </cell>
        </row>
        <row r="121">
          <cell r="B121">
            <v>110</v>
          </cell>
          <cell r="E121">
            <v>390.9000000000002</v>
          </cell>
          <cell r="F121">
            <v>442.50000000000091</v>
          </cell>
          <cell r="H121">
            <v>407.80000000000007</v>
          </cell>
          <cell r="K121">
            <v>21400</v>
          </cell>
        </row>
        <row r="122">
          <cell r="B122">
            <v>111</v>
          </cell>
          <cell r="E122">
            <v>393.4000000000002</v>
          </cell>
          <cell r="F122">
            <v>445.30000000000092</v>
          </cell>
          <cell r="H122">
            <v>410.00000000000006</v>
          </cell>
          <cell r="K122">
            <v>21600</v>
          </cell>
        </row>
        <row r="123">
          <cell r="B123">
            <v>112</v>
          </cell>
          <cell r="E123">
            <v>395.9000000000002</v>
          </cell>
          <cell r="F123">
            <v>448.10000000000093</v>
          </cell>
          <cell r="H123">
            <v>412.20000000000005</v>
          </cell>
          <cell r="K123">
            <v>21800</v>
          </cell>
        </row>
        <row r="124">
          <cell r="B124">
            <v>113</v>
          </cell>
          <cell r="E124">
            <v>398.4000000000002</v>
          </cell>
          <cell r="F124">
            <v>450.90000000000094</v>
          </cell>
          <cell r="H124">
            <v>414.40000000000003</v>
          </cell>
          <cell r="K124">
            <v>22000</v>
          </cell>
        </row>
        <row r="125">
          <cell r="B125">
            <v>114</v>
          </cell>
          <cell r="E125">
            <v>400.9000000000002</v>
          </cell>
          <cell r="F125">
            <v>453.70000000000095</v>
          </cell>
          <cell r="H125">
            <v>416.6</v>
          </cell>
          <cell r="K125">
            <v>22200</v>
          </cell>
        </row>
        <row r="126">
          <cell r="B126">
            <v>115</v>
          </cell>
          <cell r="E126">
            <v>403.4000000000002</v>
          </cell>
          <cell r="F126">
            <v>456.50000000000097</v>
          </cell>
          <cell r="H126">
            <v>418.8</v>
          </cell>
          <cell r="K126">
            <v>22400</v>
          </cell>
        </row>
        <row r="127">
          <cell r="B127">
            <v>116</v>
          </cell>
          <cell r="E127">
            <v>405.9000000000002</v>
          </cell>
          <cell r="F127">
            <v>459.30000000000098</v>
          </cell>
          <cell r="H127">
            <v>421</v>
          </cell>
          <cell r="K127">
            <v>22600</v>
          </cell>
        </row>
        <row r="128">
          <cell r="B128">
            <v>117</v>
          </cell>
          <cell r="E128">
            <v>408.4000000000002</v>
          </cell>
          <cell r="F128">
            <v>462.10000000000099</v>
          </cell>
          <cell r="H128">
            <v>423.2</v>
          </cell>
          <cell r="K128">
            <v>22800</v>
          </cell>
        </row>
        <row r="129">
          <cell r="B129">
            <v>118</v>
          </cell>
          <cell r="E129">
            <v>410.9000000000002</v>
          </cell>
          <cell r="F129">
            <v>464.900000000001</v>
          </cell>
          <cell r="H129">
            <v>425.4</v>
          </cell>
          <cell r="K129">
            <v>23000</v>
          </cell>
        </row>
        <row r="130">
          <cell r="B130">
            <v>119</v>
          </cell>
          <cell r="E130">
            <v>413.4000000000002</v>
          </cell>
          <cell r="F130">
            <v>467.70000000000101</v>
          </cell>
          <cell r="H130">
            <v>427.59999999999997</v>
          </cell>
          <cell r="K130">
            <v>23200</v>
          </cell>
        </row>
        <row r="131">
          <cell r="B131">
            <v>120</v>
          </cell>
          <cell r="E131">
            <v>415.9000000000002</v>
          </cell>
          <cell r="F131">
            <v>470.50000000000102</v>
          </cell>
          <cell r="H131">
            <v>429.79999999999995</v>
          </cell>
          <cell r="K131">
            <v>23400</v>
          </cell>
        </row>
        <row r="132">
          <cell r="B132">
            <v>121</v>
          </cell>
          <cell r="E132">
            <v>418.4000000000002</v>
          </cell>
          <cell r="F132">
            <v>473.30000000000103</v>
          </cell>
          <cell r="H132">
            <v>431.99999999999994</v>
          </cell>
          <cell r="K132">
            <v>23600</v>
          </cell>
        </row>
        <row r="133">
          <cell r="B133">
            <v>122</v>
          </cell>
          <cell r="E133">
            <v>420.9000000000002</v>
          </cell>
          <cell r="F133">
            <v>476.10000000000105</v>
          </cell>
          <cell r="H133">
            <v>434.19999999999993</v>
          </cell>
          <cell r="K133">
            <v>23800</v>
          </cell>
        </row>
        <row r="134">
          <cell r="B134">
            <v>123</v>
          </cell>
          <cell r="E134">
            <v>423.4000000000002</v>
          </cell>
          <cell r="F134">
            <v>478.90000000000106</v>
          </cell>
          <cell r="H134">
            <v>436.39999999999992</v>
          </cell>
          <cell r="K134">
            <v>24000</v>
          </cell>
        </row>
        <row r="135">
          <cell r="B135">
            <v>124</v>
          </cell>
          <cell r="E135">
            <v>425.9000000000002</v>
          </cell>
          <cell r="F135">
            <v>481.70000000000107</v>
          </cell>
          <cell r="H135">
            <v>438.59999999999991</v>
          </cell>
          <cell r="K135">
            <v>24200</v>
          </cell>
        </row>
        <row r="136">
          <cell r="B136">
            <v>125</v>
          </cell>
          <cell r="E136">
            <v>428.4000000000002</v>
          </cell>
          <cell r="F136">
            <v>484.50000000000108</v>
          </cell>
          <cell r="H136">
            <v>440.7999999999999</v>
          </cell>
          <cell r="K136">
            <v>24400</v>
          </cell>
        </row>
        <row r="137">
          <cell r="B137">
            <v>126</v>
          </cell>
          <cell r="E137">
            <v>430.9000000000002</v>
          </cell>
          <cell r="F137">
            <v>487.30000000000109</v>
          </cell>
          <cell r="H137">
            <v>442.99999999999989</v>
          </cell>
          <cell r="K137">
            <v>24600</v>
          </cell>
        </row>
        <row r="138">
          <cell r="B138">
            <v>127</v>
          </cell>
          <cell r="E138">
            <v>433.4000000000002</v>
          </cell>
          <cell r="F138">
            <v>490.1000000000011</v>
          </cell>
          <cell r="H138">
            <v>445.19999999999987</v>
          </cell>
          <cell r="K138">
            <v>24800</v>
          </cell>
        </row>
        <row r="139">
          <cell r="B139">
            <v>128</v>
          </cell>
          <cell r="E139">
            <v>435.9000000000002</v>
          </cell>
          <cell r="F139">
            <v>492.90000000000111</v>
          </cell>
          <cell r="H139">
            <v>447.39999999999986</v>
          </cell>
          <cell r="K139">
            <v>25000</v>
          </cell>
        </row>
        <row r="140">
          <cell r="B140">
            <v>129</v>
          </cell>
          <cell r="E140">
            <v>438.4000000000002</v>
          </cell>
          <cell r="F140">
            <v>495.70000000000113</v>
          </cell>
          <cell r="H140">
            <v>449.59999999999985</v>
          </cell>
          <cell r="K140">
            <v>25200</v>
          </cell>
        </row>
        <row r="141">
          <cell r="B141">
            <v>130</v>
          </cell>
          <cell r="E141">
            <v>440.9000000000002</v>
          </cell>
          <cell r="F141">
            <v>498.50000000000114</v>
          </cell>
          <cell r="H141">
            <v>451.79999999999984</v>
          </cell>
          <cell r="K141">
            <v>25400</v>
          </cell>
        </row>
        <row r="142">
          <cell r="B142">
            <v>131</v>
          </cell>
          <cell r="E142">
            <v>443.4000000000002</v>
          </cell>
          <cell r="F142">
            <v>501.30000000000115</v>
          </cell>
          <cell r="H142">
            <v>453.99999999999983</v>
          </cell>
          <cell r="K142">
            <v>25600</v>
          </cell>
        </row>
        <row r="143">
          <cell r="B143">
            <v>132</v>
          </cell>
          <cell r="E143">
            <v>445.9000000000002</v>
          </cell>
          <cell r="F143">
            <v>504.10000000000116</v>
          </cell>
          <cell r="H143">
            <v>456.19999999999982</v>
          </cell>
          <cell r="K143">
            <v>25800</v>
          </cell>
        </row>
        <row r="144">
          <cell r="B144">
            <v>133</v>
          </cell>
          <cell r="E144">
            <v>448.4000000000002</v>
          </cell>
          <cell r="F144">
            <v>506.90000000000117</v>
          </cell>
          <cell r="H144">
            <v>458.39999999999981</v>
          </cell>
          <cell r="K144">
            <v>26000</v>
          </cell>
        </row>
        <row r="145">
          <cell r="B145">
            <v>134</v>
          </cell>
          <cell r="E145">
            <v>450.9000000000002</v>
          </cell>
          <cell r="F145">
            <v>509.70000000000118</v>
          </cell>
          <cell r="H145">
            <v>460.5999999999998</v>
          </cell>
          <cell r="K145">
            <v>26200</v>
          </cell>
        </row>
        <row r="146">
          <cell r="B146">
            <v>135</v>
          </cell>
          <cell r="E146">
            <v>453.4000000000002</v>
          </cell>
          <cell r="F146">
            <v>512.50000000000114</v>
          </cell>
          <cell r="H146">
            <v>462.79999999999978</v>
          </cell>
          <cell r="K146">
            <v>26400</v>
          </cell>
        </row>
        <row r="147">
          <cell r="B147">
            <v>136</v>
          </cell>
          <cell r="E147">
            <v>455.9000000000002</v>
          </cell>
          <cell r="F147">
            <v>515.30000000000109</v>
          </cell>
          <cell r="H147">
            <v>464.99999999999977</v>
          </cell>
          <cell r="K147">
            <v>26600</v>
          </cell>
        </row>
        <row r="148">
          <cell r="B148">
            <v>137</v>
          </cell>
          <cell r="E148">
            <v>458.4000000000002</v>
          </cell>
          <cell r="F148">
            <v>518.10000000000105</v>
          </cell>
          <cell r="H148">
            <v>467.19999999999976</v>
          </cell>
          <cell r="K148">
            <v>26800</v>
          </cell>
        </row>
        <row r="149">
          <cell r="B149">
            <v>138</v>
          </cell>
          <cell r="E149">
            <v>460.9000000000002</v>
          </cell>
          <cell r="F149">
            <v>520.900000000001</v>
          </cell>
          <cell r="H149">
            <v>469.39999999999975</v>
          </cell>
          <cell r="K149">
            <v>27000</v>
          </cell>
        </row>
        <row r="150">
          <cell r="B150">
            <v>139</v>
          </cell>
          <cell r="E150">
            <v>463.4000000000002</v>
          </cell>
          <cell r="F150">
            <v>523.70000000000095</v>
          </cell>
          <cell r="H150">
            <v>471.59999999999974</v>
          </cell>
          <cell r="K150">
            <v>27200</v>
          </cell>
        </row>
        <row r="151">
          <cell r="B151">
            <v>140</v>
          </cell>
          <cell r="E151">
            <v>465.9000000000002</v>
          </cell>
          <cell r="F151">
            <v>526.50000000000091</v>
          </cell>
          <cell r="H151">
            <v>473.79999999999973</v>
          </cell>
          <cell r="K151">
            <v>27400</v>
          </cell>
        </row>
        <row r="152">
          <cell r="B152">
            <v>141</v>
          </cell>
          <cell r="E152">
            <v>468.4000000000002</v>
          </cell>
          <cell r="F152">
            <v>529.30000000000086</v>
          </cell>
          <cell r="H152">
            <v>475.99999999999972</v>
          </cell>
          <cell r="K152">
            <v>27600</v>
          </cell>
        </row>
        <row r="153">
          <cell r="B153">
            <v>142</v>
          </cell>
          <cell r="E153">
            <v>470.9000000000002</v>
          </cell>
          <cell r="F153">
            <v>532.10000000000082</v>
          </cell>
          <cell r="H153">
            <v>478.1999999999997</v>
          </cell>
          <cell r="K153">
            <v>27800</v>
          </cell>
        </row>
        <row r="154">
          <cell r="B154">
            <v>143</v>
          </cell>
          <cell r="E154">
            <v>473.4000000000002</v>
          </cell>
          <cell r="F154">
            <v>534.90000000000077</v>
          </cell>
          <cell r="H154">
            <v>480.39999999999969</v>
          </cell>
          <cell r="K154">
            <v>28000</v>
          </cell>
        </row>
        <row r="155">
          <cell r="B155">
            <v>144</v>
          </cell>
          <cell r="E155">
            <v>475.9000000000002</v>
          </cell>
          <cell r="F155">
            <v>537.70000000000073</v>
          </cell>
          <cell r="H155">
            <v>482.59999999999968</v>
          </cell>
          <cell r="K155">
            <v>28200</v>
          </cell>
        </row>
        <row r="156">
          <cell r="B156">
            <v>145</v>
          </cell>
          <cell r="E156">
            <v>478.4000000000002</v>
          </cell>
          <cell r="F156">
            <v>540.50000000000068</v>
          </cell>
          <cell r="H156">
            <v>484.79999999999967</v>
          </cell>
          <cell r="K156">
            <v>28400</v>
          </cell>
        </row>
        <row r="157">
          <cell r="B157">
            <v>146</v>
          </cell>
          <cell r="E157">
            <v>480.9000000000002</v>
          </cell>
          <cell r="F157">
            <v>543.30000000000064</v>
          </cell>
          <cell r="H157">
            <v>486.99999999999966</v>
          </cell>
          <cell r="K157">
            <v>28600</v>
          </cell>
        </row>
        <row r="158">
          <cell r="B158">
            <v>147</v>
          </cell>
          <cell r="E158">
            <v>483.4000000000002</v>
          </cell>
          <cell r="F158">
            <v>546.10000000000059</v>
          </cell>
          <cell r="H158">
            <v>489.19999999999965</v>
          </cell>
          <cell r="K158">
            <v>28800</v>
          </cell>
        </row>
        <row r="159">
          <cell r="B159">
            <v>148</v>
          </cell>
          <cell r="E159">
            <v>485.9000000000002</v>
          </cell>
          <cell r="F159">
            <v>548.90000000000055</v>
          </cell>
          <cell r="H159">
            <v>491.39999999999964</v>
          </cell>
          <cell r="K159">
            <v>29000</v>
          </cell>
        </row>
        <row r="160">
          <cell r="B160">
            <v>149</v>
          </cell>
          <cell r="E160">
            <v>488.4000000000002</v>
          </cell>
          <cell r="F160">
            <v>551.7000000000005</v>
          </cell>
          <cell r="H160">
            <v>493.59999999999962</v>
          </cell>
          <cell r="K160">
            <v>29200</v>
          </cell>
        </row>
        <row r="161">
          <cell r="B161">
            <v>150</v>
          </cell>
          <cell r="E161">
            <v>490.9000000000002</v>
          </cell>
          <cell r="F161">
            <v>554.50000000000045</v>
          </cell>
          <cell r="H161">
            <v>495.79999999999961</v>
          </cell>
          <cell r="K161">
            <v>29400</v>
          </cell>
        </row>
        <row r="162">
          <cell r="B162">
            <v>151</v>
          </cell>
          <cell r="E162">
            <v>493.4000000000002</v>
          </cell>
          <cell r="F162">
            <v>557.30000000000041</v>
          </cell>
          <cell r="H162">
            <v>497.9999999999996</v>
          </cell>
          <cell r="K162">
            <v>29600</v>
          </cell>
        </row>
        <row r="163">
          <cell r="B163">
            <v>152</v>
          </cell>
          <cell r="E163">
            <v>495.9000000000002</v>
          </cell>
          <cell r="F163">
            <v>560.10000000000036</v>
          </cell>
          <cell r="H163">
            <v>500.19999999999959</v>
          </cell>
          <cell r="K163">
            <v>29800</v>
          </cell>
        </row>
        <row r="164">
          <cell r="B164">
            <v>153</v>
          </cell>
          <cell r="E164">
            <v>498.4000000000002</v>
          </cell>
          <cell r="F164">
            <v>562.90000000000032</v>
          </cell>
          <cell r="H164">
            <v>502.39999999999958</v>
          </cell>
          <cell r="K164">
            <v>30000</v>
          </cell>
        </row>
        <row r="165">
          <cell r="B165">
            <v>154</v>
          </cell>
          <cell r="E165">
            <v>500.9000000000002</v>
          </cell>
          <cell r="F165">
            <v>565.70000000000027</v>
          </cell>
          <cell r="H165">
            <v>504.59999999999957</v>
          </cell>
          <cell r="K165">
            <v>30200</v>
          </cell>
        </row>
        <row r="166">
          <cell r="B166">
            <v>155</v>
          </cell>
          <cell r="E166">
            <v>503.4000000000002</v>
          </cell>
          <cell r="F166">
            <v>568.50000000000023</v>
          </cell>
          <cell r="H166">
            <v>506.79999999999956</v>
          </cell>
          <cell r="K166">
            <v>30400</v>
          </cell>
        </row>
        <row r="167">
          <cell r="B167">
            <v>156</v>
          </cell>
          <cell r="E167">
            <v>505.9000000000002</v>
          </cell>
          <cell r="F167">
            <v>571.30000000000018</v>
          </cell>
          <cell r="H167">
            <v>508.99999999999955</v>
          </cell>
          <cell r="K167">
            <v>30600</v>
          </cell>
        </row>
        <row r="168">
          <cell r="B168">
            <v>157</v>
          </cell>
          <cell r="E168">
            <v>508.4000000000002</v>
          </cell>
          <cell r="F168">
            <v>574.10000000000014</v>
          </cell>
          <cell r="H168">
            <v>511.19999999999953</v>
          </cell>
          <cell r="K168">
            <v>30800</v>
          </cell>
        </row>
        <row r="169">
          <cell r="B169">
            <v>158</v>
          </cell>
          <cell r="E169">
            <v>510.9000000000002</v>
          </cell>
          <cell r="F169">
            <v>576.90000000000009</v>
          </cell>
          <cell r="H169">
            <v>513.39999999999952</v>
          </cell>
          <cell r="K169">
            <v>31000</v>
          </cell>
        </row>
        <row r="170">
          <cell r="B170">
            <v>159</v>
          </cell>
          <cell r="E170">
            <v>513.4000000000002</v>
          </cell>
          <cell r="F170">
            <v>579.70000000000005</v>
          </cell>
          <cell r="H170">
            <v>515.59999999999957</v>
          </cell>
          <cell r="K170">
            <v>31200</v>
          </cell>
        </row>
        <row r="171">
          <cell r="B171">
            <v>160</v>
          </cell>
          <cell r="E171">
            <v>515.9000000000002</v>
          </cell>
          <cell r="F171">
            <v>582.5</v>
          </cell>
          <cell r="H171">
            <v>517.79999999999961</v>
          </cell>
          <cell r="K171">
            <v>31400</v>
          </cell>
        </row>
        <row r="172">
          <cell r="B172">
            <v>161</v>
          </cell>
          <cell r="E172">
            <v>518.4000000000002</v>
          </cell>
          <cell r="F172">
            <v>585.29999999999995</v>
          </cell>
          <cell r="H172">
            <v>519.99999999999966</v>
          </cell>
          <cell r="K172">
            <v>31600</v>
          </cell>
        </row>
        <row r="173">
          <cell r="B173">
            <v>162</v>
          </cell>
          <cell r="E173">
            <v>520.9000000000002</v>
          </cell>
          <cell r="F173">
            <v>588.09999999999991</v>
          </cell>
          <cell r="H173">
            <v>522.1999999999997</v>
          </cell>
          <cell r="K173">
            <v>31800</v>
          </cell>
        </row>
        <row r="174">
          <cell r="B174">
            <v>163</v>
          </cell>
          <cell r="E174">
            <v>523.4000000000002</v>
          </cell>
          <cell r="F174">
            <v>590.89999999999986</v>
          </cell>
          <cell r="H174">
            <v>524.39999999999975</v>
          </cell>
          <cell r="K174">
            <v>32000</v>
          </cell>
        </row>
        <row r="175">
          <cell r="B175">
            <v>164</v>
          </cell>
          <cell r="E175">
            <v>525.9000000000002</v>
          </cell>
          <cell r="F175">
            <v>593.69999999999982</v>
          </cell>
          <cell r="H175">
            <v>526.5999999999998</v>
          </cell>
          <cell r="K175">
            <v>32200</v>
          </cell>
        </row>
        <row r="176">
          <cell r="B176">
            <v>165</v>
          </cell>
          <cell r="E176">
            <v>528.4000000000002</v>
          </cell>
          <cell r="F176">
            <v>596.49999999999977</v>
          </cell>
          <cell r="H176">
            <v>528.79999999999984</v>
          </cell>
          <cell r="K176">
            <v>32400</v>
          </cell>
        </row>
        <row r="177">
          <cell r="B177">
            <v>166</v>
          </cell>
          <cell r="E177">
            <v>530.9000000000002</v>
          </cell>
          <cell r="F177">
            <v>599.29999999999973</v>
          </cell>
          <cell r="H177">
            <v>530.99999999999989</v>
          </cell>
          <cell r="K177">
            <v>32600</v>
          </cell>
        </row>
        <row r="178">
          <cell r="B178">
            <v>167</v>
          </cell>
          <cell r="E178">
            <v>533.4000000000002</v>
          </cell>
          <cell r="F178">
            <v>602.09999999999968</v>
          </cell>
          <cell r="H178">
            <v>533.19999999999993</v>
          </cell>
          <cell r="K178">
            <v>32800</v>
          </cell>
        </row>
        <row r="179">
          <cell r="B179">
            <v>168</v>
          </cell>
          <cell r="E179">
            <v>535.9000000000002</v>
          </cell>
          <cell r="F179">
            <v>604.89999999999964</v>
          </cell>
          <cell r="H179">
            <v>535.4</v>
          </cell>
          <cell r="K179">
            <v>33000</v>
          </cell>
        </row>
        <row r="180">
          <cell r="B180">
            <v>169</v>
          </cell>
          <cell r="E180">
            <v>538.4000000000002</v>
          </cell>
          <cell r="F180">
            <v>607.69999999999959</v>
          </cell>
          <cell r="H180">
            <v>537.6</v>
          </cell>
          <cell r="K180">
            <v>33200</v>
          </cell>
        </row>
        <row r="181">
          <cell r="B181">
            <v>170</v>
          </cell>
          <cell r="E181">
            <v>540.9000000000002</v>
          </cell>
          <cell r="F181">
            <v>610.49999999999955</v>
          </cell>
          <cell r="H181">
            <v>539.80000000000007</v>
          </cell>
          <cell r="K181">
            <v>33400</v>
          </cell>
        </row>
        <row r="182">
          <cell r="B182">
            <v>171</v>
          </cell>
          <cell r="E182">
            <v>543.4000000000002</v>
          </cell>
          <cell r="F182">
            <v>613.2999999999995</v>
          </cell>
          <cell r="H182">
            <v>542.00000000000011</v>
          </cell>
          <cell r="K182">
            <v>33600</v>
          </cell>
        </row>
        <row r="183">
          <cell r="B183">
            <v>172</v>
          </cell>
          <cell r="E183">
            <v>545.9000000000002</v>
          </cell>
          <cell r="F183">
            <v>616.09999999999945</v>
          </cell>
          <cell r="H183">
            <v>544.20000000000016</v>
          </cell>
          <cell r="K183">
            <v>33800</v>
          </cell>
        </row>
        <row r="184">
          <cell r="B184">
            <v>173</v>
          </cell>
          <cell r="E184">
            <v>548.4000000000002</v>
          </cell>
          <cell r="F184">
            <v>618.89999999999941</v>
          </cell>
          <cell r="H184">
            <v>546.4000000000002</v>
          </cell>
          <cell r="K184">
            <v>34000</v>
          </cell>
        </row>
        <row r="185">
          <cell r="B185">
            <v>174</v>
          </cell>
          <cell r="E185">
            <v>550.9000000000002</v>
          </cell>
          <cell r="F185">
            <v>621.69999999999936</v>
          </cell>
          <cell r="H185">
            <v>548.60000000000025</v>
          </cell>
          <cell r="K185">
            <v>34200</v>
          </cell>
        </row>
        <row r="186">
          <cell r="B186">
            <v>175</v>
          </cell>
          <cell r="E186">
            <v>553.4000000000002</v>
          </cell>
          <cell r="F186">
            <v>624.49999999999932</v>
          </cell>
          <cell r="H186">
            <v>550.8000000000003</v>
          </cell>
          <cell r="K186">
            <v>34400</v>
          </cell>
        </row>
        <row r="187">
          <cell r="B187">
            <v>176</v>
          </cell>
          <cell r="E187">
            <v>555.9000000000002</v>
          </cell>
          <cell r="F187">
            <v>627.29999999999927</v>
          </cell>
          <cell r="H187">
            <v>553.00000000000034</v>
          </cell>
          <cell r="K187">
            <v>34600</v>
          </cell>
        </row>
        <row r="188">
          <cell r="B188">
            <v>177</v>
          </cell>
          <cell r="E188">
            <v>558.4000000000002</v>
          </cell>
          <cell r="F188">
            <v>630.09999999999923</v>
          </cell>
          <cell r="H188">
            <v>555.20000000000039</v>
          </cell>
          <cell r="K188">
            <v>34800</v>
          </cell>
        </row>
        <row r="189">
          <cell r="B189">
            <v>178</v>
          </cell>
          <cell r="E189">
            <v>560.9000000000002</v>
          </cell>
          <cell r="F189">
            <v>632.89999999999918</v>
          </cell>
          <cell r="H189">
            <v>557.40000000000043</v>
          </cell>
          <cell r="K189">
            <v>35000</v>
          </cell>
        </row>
        <row r="190">
          <cell r="B190">
            <v>179</v>
          </cell>
          <cell r="E190">
            <v>563.4000000000002</v>
          </cell>
          <cell r="F190">
            <v>635.69999999999914</v>
          </cell>
          <cell r="H190">
            <v>559.60000000000048</v>
          </cell>
          <cell r="K190">
            <v>35200</v>
          </cell>
        </row>
        <row r="191">
          <cell r="B191">
            <v>180</v>
          </cell>
          <cell r="E191">
            <v>565.9000000000002</v>
          </cell>
          <cell r="F191">
            <v>638.49999999999909</v>
          </cell>
          <cell r="H191">
            <v>561.80000000000052</v>
          </cell>
          <cell r="K191">
            <v>35400</v>
          </cell>
        </row>
        <row r="192">
          <cell r="B192">
            <v>181</v>
          </cell>
          <cell r="E192">
            <v>568.4000000000002</v>
          </cell>
          <cell r="F192">
            <v>641.29999999999905</v>
          </cell>
          <cell r="H192">
            <v>564.00000000000057</v>
          </cell>
          <cell r="K192">
            <v>35600</v>
          </cell>
        </row>
        <row r="193">
          <cell r="B193">
            <v>182</v>
          </cell>
          <cell r="E193">
            <v>570.9000000000002</v>
          </cell>
          <cell r="F193">
            <v>644.099999999999</v>
          </cell>
          <cell r="H193">
            <v>566.20000000000061</v>
          </cell>
          <cell r="K193">
            <v>35800</v>
          </cell>
        </row>
        <row r="194">
          <cell r="B194">
            <v>183</v>
          </cell>
          <cell r="E194">
            <v>573.4000000000002</v>
          </cell>
          <cell r="F194">
            <v>646.89999999999895</v>
          </cell>
          <cell r="H194">
            <v>568.40000000000066</v>
          </cell>
          <cell r="K194">
            <v>36000</v>
          </cell>
        </row>
        <row r="195">
          <cell r="B195">
            <v>184</v>
          </cell>
          <cell r="E195">
            <v>575.9000000000002</v>
          </cell>
          <cell r="F195">
            <v>649.69999999999891</v>
          </cell>
          <cell r="H195">
            <v>570.6000000000007</v>
          </cell>
          <cell r="K195">
            <v>36200</v>
          </cell>
        </row>
        <row r="196">
          <cell r="B196">
            <v>185</v>
          </cell>
          <cell r="E196">
            <v>578.4000000000002</v>
          </cell>
          <cell r="F196">
            <v>652.49999999999886</v>
          </cell>
          <cell r="H196">
            <v>572.80000000000075</v>
          </cell>
          <cell r="K196">
            <v>36400</v>
          </cell>
        </row>
        <row r="197">
          <cell r="B197">
            <v>186</v>
          </cell>
          <cell r="E197">
            <v>580.9000000000002</v>
          </cell>
          <cell r="F197">
            <v>655.29999999999882</v>
          </cell>
          <cell r="H197">
            <v>575.0000000000008</v>
          </cell>
          <cell r="K197">
            <v>36600</v>
          </cell>
        </row>
        <row r="198">
          <cell r="B198">
            <v>187</v>
          </cell>
          <cell r="E198">
            <v>583.4000000000002</v>
          </cell>
          <cell r="F198">
            <v>658.09999999999877</v>
          </cell>
          <cell r="H198">
            <v>577.20000000000084</v>
          </cell>
          <cell r="K198">
            <v>36800</v>
          </cell>
        </row>
        <row r="199">
          <cell r="B199">
            <v>188</v>
          </cell>
          <cell r="E199">
            <v>585.9000000000002</v>
          </cell>
          <cell r="F199">
            <v>660.89999999999873</v>
          </cell>
          <cell r="H199">
            <v>579.40000000000089</v>
          </cell>
          <cell r="K199">
            <v>37000</v>
          </cell>
        </row>
        <row r="200">
          <cell r="B200">
            <v>189</v>
          </cell>
          <cell r="E200">
            <v>588.4000000000002</v>
          </cell>
          <cell r="F200">
            <v>663.69999999999868</v>
          </cell>
          <cell r="H200">
            <v>581.60000000000093</v>
          </cell>
          <cell r="K200">
            <v>37200</v>
          </cell>
        </row>
        <row r="201">
          <cell r="B201">
            <v>190</v>
          </cell>
          <cell r="E201">
            <v>590.9000000000002</v>
          </cell>
          <cell r="F201">
            <v>666.49999999999864</v>
          </cell>
          <cell r="H201">
            <v>583.80000000000098</v>
          </cell>
          <cell r="K201">
            <v>37400</v>
          </cell>
        </row>
        <row r="202">
          <cell r="B202">
            <v>191</v>
          </cell>
          <cell r="E202">
            <v>593.4000000000002</v>
          </cell>
          <cell r="F202">
            <v>669.29999999999859</v>
          </cell>
          <cell r="H202">
            <v>586.00000000000102</v>
          </cell>
          <cell r="K202">
            <v>37600</v>
          </cell>
        </row>
        <row r="203">
          <cell r="B203">
            <v>192</v>
          </cell>
          <cell r="E203">
            <v>595.9000000000002</v>
          </cell>
          <cell r="F203">
            <v>672.09999999999854</v>
          </cell>
          <cell r="H203">
            <v>588.20000000000107</v>
          </cell>
          <cell r="K203">
            <v>37800</v>
          </cell>
        </row>
        <row r="204">
          <cell r="B204">
            <v>193</v>
          </cell>
          <cell r="E204">
            <v>598.4000000000002</v>
          </cell>
          <cell r="F204">
            <v>674.8999999999985</v>
          </cell>
          <cell r="H204">
            <v>590.40000000000111</v>
          </cell>
          <cell r="K204">
            <v>38000</v>
          </cell>
        </row>
        <row r="205">
          <cell r="B205">
            <v>194</v>
          </cell>
          <cell r="E205">
            <v>600.9000000000002</v>
          </cell>
          <cell r="F205">
            <v>677.69999999999845</v>
          </cell>
          <cell r="H205">
            <v>592.60000000000116</v>
          </cell>
          <cell r="K205">
            <v>38200</v>
          </cell>
        </row>
        <row r="206">
          <cell r="B206">
            <v>195</v>
          </cell>
          <cell r="E206">
            <v>603.4000000000002</v>
          </cell>
          <cell r="F206">
            <v>680.49999999999841</v>
          </cell>
          <cell r="H206">
            <v>594.80000000000121</v>
          </cell>
          <cell r="K206">
            <v>38400</v>
          </cell>
        </row>
        <row r="207">
          <cell r="B207">
            <v>196</v>
          </cell>
          <cell r="E207">
            <v>605.9000000000002</v>
          </cell>
          <cell r="F207">
            <v>683.29999999999836</v>
          </cell>
          <cell r="H207">
            <v>597.00000000000125</v>
          </cell>
          <cell r="K207">
            <v>38600</v>
          </cell>
        </row>
        <row r="208">
          <cell r="B208">
            <v>197</v>
          </cell>
          <cell r="E208">
            <v>608.4000000000002</v>
          </cell>
          <cell r="F208">
            <v>686.09999999999832</v>
          </cell>
          <cell r="H208">
            <v>599.2000000000013</v>
          </cell>
          <cell r="K208">
            <v>38800</v>
          </cell>
        </row>
        <row r="209">
          <cell r="B209">
            <v>198</v>
          </cell>
          <cell r="E209">
            <v>610.9000000000002</v>
          </cell>
          <cell r="F209">
            <v>688.89999999999827</v>
          </cell>
          <cell r="H209">
            <v>601.40000000000134</v>
          </cell>
          <cell r="K209">
            <v>39000</v>
          </cell>
        </row>
        <row r="210">
          <cell r="B210">
            <v>199</v>
          </cell>
          <cell r="E210">
            <v>613.4000000000002</v>
          </cell>
          <cell r="F210">
            <v>691.69999999999823</v>
          </cell>
          <cell r="H210">
            <v>603.60000000000139</v>
          </cell>
          <cell r="K210">
            <v>39200</v>
          </cell>
        </row>
        <row r="211">
          <cell r="B211">
            <v>200</v>
          </cell>
          <cell r="E211">
            <v>615.9000000000002</v>
          </cell>
          <cell r="F211">
            <v>694.49999999999818</v>
          </cell>
          <cell r="H211">
            <v>605.80000000000143</v>
          </cell>
          <cell r="K211">
            <v>39400</v>
          </cell>
        </row>
        <row r="212">
          <cell r="B212">
            <v>201</v>
          </cell>
          <cell r="E212">
            <v>618.4000000000002</v>
          </cell>
          <cell r="F212">
            <v>697.29999999999814</v>
          </cell>
          <cell r="H212">
            <v>608.00000000000148</v>
          </cell>
          <cell r="K212">
            <v>39600</v>
          </cell>
        </row>
        <row r="213">
          <cell r="B213">
            <v>202</v>
          </cell>
          <cell r="E213">
            <v>620.9000000000002</v>
          </cell>
          <cell r="F213">
            <v>700.09999999999809</v>
          </cell>
          <cell r="H213">
            <v>610.20000000000152</v>
          </cell>
          <cell r="K213">
            <v>39800</v>
          </cell>
        </row>
        <row r="214">
          <cell r="B214">
            <v>203</v>
          </cell>
          <cell r="E214">
            <v>623.4000000000002</v>
          </cell>
          <cell r="F214">
            <v>702.89999999999804</v>
          </cell>
          <cell r="H214">
            <v>612.40000000000157</v>
          </cell>
          <cell r="K214">
            <v>40000</v>
          </cell>
        </row>
        <row r="215">
          <cell r="B215">
            <v>204</v>
          </cell>
          <cell r="E215">
            <v>625.9000000000002</v>
          </cell>
          <cell r="F215">
            <v>705.699999999998</v>
          </cell>
          <cell r="H215">
            <v>614.60000000000161</v>
          </cell>
          <cell r="K215">
            <v>40200</v>
          </cell>
        </row>
        <row r="216">
          <cell r="B216">
            <v>205</v>
          </cell>
          <cell r="E216">
            <v>628.4000000000002</v>
          </cell>
          <cell r="F216">
            <v>708.49999999999795</v>
          </cell>
          <cell r="H216">
            <v>616.80000000000166</v>
          </cell>
          <cell r="K216">
            <v>40400</v>
          </cell>
        </row>
        <row r="217">
          <cell r="B217">
            <v>206</v>
          </cell>
          <cell r="E217">
            <v>630.9000000000002</v>
          </cell>
          <cell r="F217">
            <v>711.29999999999791</v>
          </cell>
          <cell r="H217">
            <v>619.00000000000171</v>
          </cell>
          <cell r="K217">
            <v>40600</v>
          </cell>
        </row>
        <row r="218">
          <cell r="B218">
            <v>207</v>
          </cell>
          <cell r="E218">
            <v>633.4000000000002</v>
          </cell>
          <cell r="F218">
            <v>714.09999999999786</v>
          </cell>
          <cell r="H218">
            <v>621.20000000000175</v>
          </cell>
          <cell r="K218">
            <v>40800</v>
          </cell>
        </row>
        <row r="219">
          <cell r="B219">
            <v>208</v>
          </cell>
          <cell r="E219">
            <v>635.9000000000002</v>
          </cell>
          <cell r="F219">
            <v>716.89999999999782</v>
          </cell>
          <cell r="H219">
            <v>623.4000000000018</v>
          </cell>
          <cell r="K219">
            <v>41000</v>
          </cell>
        </row>
        <row r="220">
          <cell r="B220">
            <v>209</v>
          </cell>
          <cell r="E220">
            <v>638.4000000000002</v>
          </cell>
          <cell r="F220">
            <v>719.69999999999777</v>
          </cell>
          <cell r="H220">
            <v>625.60000000000184</v>
          </cell>
          <cell r="K220">
            <v>41200</v>
          </cell>
        </row>
        <row r="221">
          <cell r="B221">
            <v>210</v>
          </cell>
          <cell r="E221">
            <v>640.9000000000002</v>
          </cell>
          <cell r="F221">
            <v>722.49999999999773</v>
          </cell>
          <cell r="H221">
            <v>627.80000000000189</v>
          </cell>
          <cell r="K221">
            <v>41400</v>
          </cell>
        </row>
        <row r="222">
          <cell r="B222">
            <v>211</v>
          </cell>
          <cell r="E222">
            <v>643.4000000000002</v>
          </cell>
          <cell r="F222">
            <v>725.29999999999768</v>
          </cell>
          <cell r="H222">
            <v>630.00000000000193</v>
          </cell>
          <cell r="K222">
            <v>41600</v>
          </cell>
        </row>
        <row r="223">
          <cell r="B223">
            <v>212</v>
          </cell>
          <cell r="E223">
            <v>645.9000000000002</v>
          </cell>
          <cell r="F223">
            <v>728.09999999999764</v>
          </cell>
          <cell r="H223">
            <v>632.20000000000198</v>
          </cell>
          <cell r="K223">
            <v>41800</v>
          </cell>
        </row>
        <row r="224">
          <cell r="B224">
            <v>213</v>
          </cell>
          <cell r="E224">
            <v>648.4000000000002</v>
          </cell>
          <cell r="F224">
            <v>730.89999999999759</v>
          </cell>
          <cell r="H224">
            <v>634.40000000000202</v>
          </cell>
          <cell r="K224">
            <v>42000</v>
          </cell>
        </row>
        <row r="225">
          <cell r="B225">
            <v>214</v>
          </cell>
          <cell r="E225">
            <v>650.9000000000002</v>
          </cell>
          <cell r="F225">
            <v>733.69999999999754</v>
          </cell>
          <cell r="H225">
            <v>636.60000000000207</v>
          </cell>
          <cell r="K225">
            <v>42200</v>
          </cell>
        </row>
        <row r="226">
          <cell r="B226">
            <v>215</v>
          </cell>
          <cell r="E226">
            <v>653.4000000000002</v>
          </cell>
          <cell r="F226">
            <v>736.4999999999975</v>
          </cell>
          <cell r="H226">
            <v>638.80000000000211</v>
          </cell>
          <cell r="K226">
            <v>42400</v>
          </cell>
        </row>
        <row r="227">
          <cell r="B227">
            <v>216</v>
          </cell>
          <cell r="E227">
            <v>655.9000000000002</v>
          </cell>
          <cell r="F227">
            <v>739.29999999999745</v>
          </cell>
          <cell r="H227">
            <v>641.00000000000216</v>
          </cell>
          <cell r="K227">
            <v>42600</v>
          </cell>
        </row>
        <row r="228">
          <cell r="B228">
            <v>217</v>
          </cell>
          <cell r="E228">
            <v>658.4000000000002</v>
          </cell>
          <cell r="F228">
            <v>742.09999999999741</v>
          </cell>
          <cell r="H228">
            <v>643.20000000000221</v>
          </cell>
          <cell r="K228">
            <v>42800</v>
          </cell>
        </row>
        <row r="229">
          <cell r="B229">
            <v>218</v>
          </cell>
          <cell r="E229">
            <v>660.9000000000002</v>
          </cell>
          <cell r="F229">
            <v>744.89999999999736</v>
          </cell>
          <cell r="H229">
            <v>645.40000000000225</v>
          </cell>
          <cell r="K229">
            <v>43000</v>
          </cell>
        </row>
        <row r="230">
          <cell r="B230">
            <v>219</v>
          </cell>
          <cell r="E230">
            <v>663.4000000000002</v>
          </cell>
          <cell r="F230">
            <v>747.69999999999732</v>
          </cell>
          <cell r="H230">
            <v>647.6000000000023</v>
          </cell>
          <cell r="K230">
            <v>43200</v>
          </cell>
        </row>
        <row r="231">
          <cell r="B231">
            <v>220</v>
          </cell>
          <cell r="E231">
            <v>665.9000000000002</v>
          </cell>
          <cell r="F231">
            <v>750.49999999999727</v>
          </cell>
          <cell r="H231">
            <v>649.80000000000234</v>
          </cell>
          <cell r="K231">
            <v>43400</v>
          </cell>
        </row>
        <row r="232">
          <cell r="B232">
            <v>221</v>
          </cell>
          <cell r="E232">
            <v>668.4000000000002</v>
          </cell>
          <cell r="F232">
            <v>753.29999999999723</v>
          </cell>
          <cell r="H232">
            <v>652.00000000000239</v>
          </cell>
          <cell r="K232">
            <v>43600</v>
          </cell>
        </row>
        <row r="233">
          <cell r="B233">
            <v>222</v>
          </cell>
          <cell r="E233">
            <v>670.9000000000002</v>
          </cell>
          <cell r="F233">
            <v>756.09999999999718</v>
          </cell>
          <cell r="H233">
            <v>654.20000000000243</v>
          </cell>
          <cell r="K233">
            <v>43800</v>
          </cell>
        </row>
        <row r="234">
          <cell r="B234">
            <v>223</v>
          </cell>
          <cell r="E234">
            <v>673.4000000000002</v>
          </cell>
          <cell r="F234">
            <v>758.89999999999714</v>
          </cell>
          <cell r="H234">
            <v>656.40000000000248</v>
          </cell>
          <cell r="K234">
            <v>44000</v>
          </cell>
        </row>
        <row r="235">
          <cell r="B235">
            <v>224</v>
          </cell>
          <cell r="E235">
            <v>675.9000000000002</v>
          </cell>
          <cell r="F235">
            <v>761.69999999999709</v>
          </cell>
          <cell r="H235">
            <v>658.60000000000252</v>
          </cell>
          <cell r="K235">
            <v>44200</v>
          </cell>
        </row>
        <row r="236">
          <cell r="B236">
            <v>225</v>
          </cell>
          <cell r="E236">
            <v>678.4000000000002</v>
          </cell>
          <cell r="F236">
            <v>764.49999999999704</v>
          </cell>
          <cell r="H236">
            <v>660.80000000000257</v>
          </cell>
          <cell r="K236">
            <v>44400</v>
          </cell>
        </row>
        <row r="237">
          <cell r="B237">
            <v>226</v>
          </cell>
          <cell r="E237">
            <v>680.9000000000002</v>
          </cell>
          <cell r="F237">
            <v>767.299999999997</v>
          </cell>
          <cell r="H237">
            <v>663.00000000000261</v>
          </cell>
          <cell r="K237">
            <v>44600</v>
          </cell>
        </row>
        <row r="238">
          <cell r="B238">
            <v>227</v>
          </cell>
          <cell r="E238">
            <v>683.4000000000002</v>
          </cell>
          <cell r="F238">
            <v>770.09999999999695</v>
          </cell>
          <cell r="H238">
            <v>665.20000000000266</v>
          </cell>
          <cell r="K238">
            <v>44800</v>
          </cell>
        </row>
        <row r="239">
          <cell r="B239">
            <v>228</v>
          </cell>
          <cell r="E239">
            <v>685.9000000000002</v>
          </cell>
          <cell r="F239">
            <v>772.89999999999691</v>
          </cell>
          <cell r="H239">
            <v>667.40000000000271</v>
          </cell>
          <cell r="K239">
            <v>45000</v>
          </cell>
        </row>
        <row r="240">
          <cell r="B240">
            <v>229</v>
          </cell>
          <cell r="E240">
            <v>688.4000000000002</v>
          </cell>
          <cell r="F240">
            <v>775.69999999999686</v>
          </cell>
          <cell r="H240">
            <v>669.60000000000275</v>
          </cell>
          <cell r="K240">
            <v>45200</v>
          </cell>
        </row>
        <row r="241">
          <cell r="B241">
            <v>230</v>
          </cell>
          <cell r="E241">
            <v>690.9000000000002</v>
          </cell>
          <cell r="F241">
            <v>778.49999999999682</v>
          </cell>
          <cell r="H241">
            <v>671.8000000000028</v>
          </cell>
          <cell r="K241">
            <v>45400</v>
          </cell>
        </row>
        <row r="242">
          <cell r="B242">
            <v>231</v>
          </cell>
          <cell r="E242">
            <v>693.4000000000002</v>
          </cell>
          <cell r="F242">
            <v>781.29999999999677</v>
          </cell>
          <cell r="H242">
            <v>674.00000000000284</v>
          </cell>
          <cell r="K242">
            <v>45600</v>
          </cell>
        </row>
        <row r="243">
          <cell r="B243">
            <v>232</v>
          </cell>
          <cell r="E243">
            <v>695.9000000000002</v>
          </cell>
          <cell r="F243">
            <v>784.09999999999673</v>
          </cell>
          <cell r="H243">
            <v>676.20000000000289</v>
          </cell>
          <cell r="K243">
            <v>45800</v>
          </cell>
        </row>
        <row r="244">
          <cell r="B244">
            <v>233</v>
          </cell>
          <cell r="E244">
            <v>698.4000000000002</v>
          </cell>
          <cell r="F244">
            <v>786.89999999999668</v>
          </cell>
          <cell r="H244">
            <v>678.40000000000293</v>
          </cell>
          <cell r="K244">
            <v>46000</v>
          </cell>
        </row>
        <row r="245">
          <cell r="B245">
            <v>234</v>
          </cell>
          <cell r="E245">
            <v>700.9000000000002</v>
          </cell>
          <cell r="F245">
            <v>789.69999999999663</v>
          </cell>
          <cell r="H245">
            <v>680.60000000000298</v>
          </cell>
          <cell r="K245">
            <v>46200</v>
          </cell>
        </row>
        <row r="246">
          <cell r="B246">
            <v>235</v>
          </cell>
          <cell r="E246">
            <v>703.4000000000002</v>
          </cell>
          <cell r="F246">
            <v>792.49999999999659</v>
          </cell>
          <cell r="H246">
            <v>682.80000000000302</v>
          </cell>
          <cell r="K246">
            <v>46400</v>
          </cell>
        </row>
        <row r="247">
          <cell r="B247">
            <v>236</v>
          </cell>
          <cell r="E247">
            <v>705.9000000000002</v>
          </cell>
          <cell r="F247">
            <v>795.29999999999654</v>
          </cell>
          <cell r="H247">
            <v>685.00000000000307</v>
          </cell>
          <cell r="K247">
            <v>46600</v>
          </cell>
        </row>
        <row r="248">
          <cell r="B248">
            <v>237</v>
          </cell>
          <cell r="E248">
            <v>708.4000000000002</v>
          </cell>
          <cell r="F248">
            <v>798.0999999999965</v>
          </cell>
          <cell r="H248">
            <v>687.20000000000312</v>
          </cell>
          <cell r="K248">
            <v>46800</v>
          </cell>
        </row>
        <row r="249">
          <cell r="B249">
            <v>238</v>
          </cell>
          <cell r="E249">
            <v>710.9000000000002</v>
          </cell>
          <cell r="F249">
            <v>800.89999999999645</v>
          </cell>
          <cell r="H249">
            <v>689.40000000000316</v>
          </cell>
          <cell r="K249">
            <v>47000</v>
          </cell>
        </row>
        <row r="250">
          <cell r="B250">
            <v>239</v>
          </cell>
          <cell r="E250">
            <v>713.4000000000002</v>
          </cell>
          <cell r="F250">
            <v>803.69999999999641</v>
          </cell>
          <cell r="H250">
            <v>691.60000000000321</v>
          </cell>
          <cell r="K250">
            <v>47200</v>
          </cell>
        </row>
        <row r="251">
          <cell r="B251">
            <v>240</v>
          </cell>
          <cell r="E251">
            <v>715.9000000000002</v>
          </cell>
          <cell r="F251">
            <v>806.49999999999636</v>
          </cell>
          <cell r="H251">
            <v>693.80000000000325</v>
          </cell>
          <cell r="K251">
            <v>47400</v>
          </cell>
        </row>
        <row r="252">
          <cell r="B252">
            <v>241</v>
          </cell>
          <cell r="E252">
            <v>718.4000000000002</v>
          </cell>
          <cell r="F252">
            <v>809.29999999999632</v>
          </cell>
          <cell r="H252">
            <v>696.0000000000033</v>
          </cell>
          <cell r="K252">
            <v>47600</v>
          </cell>
        </row>
        <row r="253">
          <cell r="B253">
            <v>242</v>
          </cell>
          <cell r="E253">
            <v>720.9000000000002</v>
          </cell>
          <cell r="F253">
            <v>812.09999999999627</v>
          </cell>
          <cell r="H253">
            <v>698.20000000000334</v>
          </cell>
          <cell r="K253">
            <v>47800</v>
          </cell>
        </row>
        <row r="254">
          <cell r="B254">
            <v>243</v>
          </cell>
          <cell r="E254">
            <v>723.4000000000002</v>
          </cell>
          <cell r="F254">
            <v>814.89999999999623</v>
          </cell>
          <cell r="H254">
            <v>700.40000000000339</v>
          </cell>
          <cell r="K254">
            <v>48000</v>
          </cell>
        </row>
        <row r="255">
          <cell r="B255">
            <v>244</v>
          </cell>
          <cell r="E255">
            <v>725.9000000000002</v>
          </cell>
          <cell r="F255">
            <v>817.69999999999618</v>
          </cell>
          <cell r="H255">
            <v>702.60000000000343</v>
          </cell>
          <cell r="K255">
            <v>48200</v>
          </cell>
        </row>
        <row r="256">
          <cell r="B256">
            <v>245</v>
          </cell>
          <cell r="E256">
            <v>728.4000000000002</v>
          </cell>
          <cell r="F256">
            <v>820.49999999999613</v>
          </cell>
          <cell r="H256">
            <v>704.80000000000348</v>
          </cell>
          <cell r="K256">
            <v>48400</v>
          </cell>
        </row>
        <row r="257">
          <cell r="B257">
            <v>246</v>
          </cell>
          <cell r="E257">
            <v>730.9000000000002</v>
          </cell>
          <cell r="F257">
            <v>823.29999999999609</v>
          </cell>
          <cell r="H257">
            <v>707.00000000000352</v>
          </cell>
          <cell r="K257">
            <v>48600</v>
          </cell>
        </row>
        <row r="258">
          <cell r="B258">
            <v>247</v>
          </cell>
          <cell r="E258">
            <v>733.4000000000002</v>
          </cell>
          <cell r="F258">
            <v>826.09999999999604</v>
          </cell>
          <cell r="H258">
            <v>709.20000000000357</v>
          </cell>
          <cell r="K258">
            <v>48800</v>
          </cell>
        </row>
        <row r="259">
          <cell r="B259">
            <v>248</v>
          </cell>
          <cell r="E259">
            <v>735.9000000000002</v>
          </cell>
          <cell r="F259">
            <v>828.899999999996</v>
          </cell>
          <cell r="H259">
            <v>711.40000000000362</v>
          </cell>
          <cell r="K259">
            <v>49000</v>
          </cell>
        </row>
        <row r="260">
          <cell r="B260">
            <v>249</v>
          </cell>
          <cell r="E260">
            <v>738.4000000000002</v>
          </cell>
          <cell r="F260">
            <v>831.69999999999595</v>
          </cell>
          <cell r="H260">
            <v>713.60000000000366</v>
          </cell>
          <cell r="K260">
            <v>49200</v>
          </cell>
        </row>
        <row r="261">
          <cell r="B261">
            <v>250</v>
          </cell>
          <cell r="E261">
            <v>740.9000000000002</v>
          </cell>
          <cell r="F261">
            <v>834.49999999999591</v>
          </cell>
          <cell r="H261">
            <v>715.80000000000371</v>
          </cell>
          <cell r="K261">
            <v>49400</v>
          </cell>
        </row>
        <row r="262">
          <cell r="B262">
            <v>251</v>
          </cell>
          <cell r="E262">
            <v>743.4000000000002</v>
          </cell>
          <cell r="F262">
            <v>837.29999999999586</v>
          </cell>
          <cell r="H262">
            <v>718.00000000000375</v>
          </cell>
          <cell r="K262">
            <v>49600</v>
          </cell>
        </row>
        <row r="263">
          <cell r="B263">
            <v>252</v>
          </cell>
          <cell r="E263">
            <v>745.9000000000002</v>
          </cell>
          <cell r="F263">
            <v>840.09999999999582</v>
          </cell>
          <cell r="H263">
            <v>720.2000000000038</v>
          </cell>
          <cell r="K263">
            <v>49800</v>
          </cell>
        </row>
        <row r="264">
          <cell r="B264">
            <v>253</v>
          </cell>
          <cell r="E264">
            <v>748.4000000000002</v>
          </cell>
          <cell r="F264">
            <v>842.89999999999577</v>
          </cell>
          <cell r="H264">
            <v>722.40000000000384</v>
          </cell>
          <cell r="K264">
            <v>50000</v>
          </cell>
        </row>
        <row r="265">
          <cell r="B265">
            <v>254</v>
          </cell>
          <cell r="E265">
            <v>750.9000000000002</v>
          </cell>
          <cell r="F265">
            <v>845.69999999999573</v>
          </cell>
          <cell r="H265">
            <v>724.60000000000389</v>
          </cell>
          <cell r="K265">
            <v>50200</v>
          </cell>
        </row>
        <row r="266">
          <cell r="B266">
            <v>255</v>
          </cell>
          <cell r="E266">
            <v>753.4000000000002</v>
          </cell>
          <cell r="F266">
            <v>848.49999999999568</v>
          </cell>
          <cell r="H266">
            <v>726.80000000000393</v>
          </cell>
          <cell r="K266">
            <v>50400</v>
          </cell>
        </row>
        <row r="267">
          <cell r="B267">
            <v>256</v>
          </cell>
          <cell r="E267">
            <v>755.9000000000002</v>
          </cell>
          <cell r="F267">
            <v>851.29999999999563</v>
          </cell>
          <cell r="H267">
            <v>729.00000000000398</v>
          </cell>
          <cell r="K267">
            <v>50600</v>
          </cell>
        </row>
        <row r="268">
          <cell r="B268">
            <v>257</v>
          </cell>
          <cell r="E268">
            <v>758.4000000000002</v>
          </cell>
          <cell r="F268">
            <v>854.09999999999559</v>
          </cell>
          <cell r="H268">
            <v>731.20000000000402</v>
          </cell>
          <cell r="K268">
            <v>50800</v>
          </cell>
        </row>
        <row r="269">
          <cell r="B269">
            <v>258</v>
          </cell>
          <cell r="E269">
            <v>760.9000000000002</v>
          </cell>
          <cell r="F269">
            <v>856.89999999999554</v>
          </cell>
          <cell r="H269">
            <v>733.40000000000407</v>
          </cell>
          <cell r="K269">
            <v>51000</v>
          </cell>
        </row>
        <row r="270">
          <cell r="B270">
            <v>259</v>
          </cell>
          <cell r="E270">
            <v>763.4000000000002</v>
          </cell>
          <cell r="F270">
            <v>859.6999999999955</v>
          </cell>
          <cell r="H270">
            <v>735.60000000000412</v>
          </cell>
          <cell r="K270">
            <v>51200</v>
          </cell>
        </row>
        <row r="271">
          <cell r="B271">
            <v>260</v>
          </cell>
          <cell r="E271">
            <v>765.9000000000002</v>
          </cell>
          <cell r="F271">
            <v>862.49999999999545</v>
          </cell>
          <cell r="H271">
            <v>737.80000000000416</v>
          </cell>
          <cell r="K271">
            <v>51400</v>
          </cell>
        </row>
        <row r="272">
          <cell r="B272">
            <v>261</v>
          </cell>
          <cell r="E272">
            <v>768.4000000000002</v>
          </cell>
          <cell r="F272">
            <v>865.29999999999541</v>
          </cell>
          <cell r="H272">
            <v>740.00000000000421</v>
          </cell>
          <cell r="K272">
            <v>51600</v>
          </cell>
        </row>
        <row r="273">
          <cell r="B273">
            <v>262</v>
          </cell>
          <cell r="E273">
            <v>770.9000000000002</v>
          </cell>
          <cell r="F273">
            <v>868.09999999999536</v>
          </cell>
          <cell r="H273">
            <v>742.20000000000425</v>
          </cell>
          <cell r="K273">
            <v>51800</v>
          </cell>
        </row>
        <row r="274">
          <cell r="B274">
            <v>263</v>
          </cell>
          <cell r="E274">
            <v>773.4000000000002</v>
          </cell>
          <cell r="F274">
            <v>870.89999999999532</v>
          </cell>
          <cell r="H274">
            <v>744.4000000000043</v>
          </cell>
          <cell r="K274">
            <v>52000</v>
          </cell>
        </row>
        <row r="275">
          <cell r="B275">
            <v>264</v>
          </cell>
          <cell r="E275">
            <v>775.9000000000002</v>
          </cell>
          <cell r="F275">
            <v>873.69999999999527</v>
          </cell>
          <cell r="H275">
            <v>746.60000000000434</v>
          </cell>
          <cell r="K275">
            <v>52200</v>
          </cell>
        </row>
        <row r="276">
          <cell r="B276">
            <v>265</v>
          </cell>
          <cell r="E276">
            <v>778.4000000000002</v>
          </cell>
          <cell r="F276">
            <v>876.49999999999523</v>
          </cell>
          <cell r="H276">
            <v>748.80000000000439</v>
          </cell>
          <cell r="K276">
            <v>52400</v>
          </cell>
        </row>
        <row r="277">
          <cell r="B277">
            <v>266</v>
          </cell>
          <cell r="E277">
            <v>780.9000000000002</v>
          </cell>
          <cell r="F277">
            <v>879.29999999999518</v>
          </cell>
          <cell r="H277">
            <v>751.00000000000443</v>
          </cell>
          <cell r="K277">
            <v>52600</v>
          </cell>
        </row>
        <row r="278">
          <cell r="B278">
            <v>267</v>
          </cell>
          <cell r="E278">
            <v>783.4000000000002</v>
          </cell>
          <cell r="F278">
            <v>882.09999999999513</v>
          </cell>
          <cell r="H278">
            <v>753.20000000000448</v>
          </cell>
          <cell r="K278">
            <v>52800</v>
          </cell>
        </row>
        <row r="279">
          <cell r="B279">
            <v>268</v>
          </cell>
          <cell r="E279">
            <v>785.9000000000002</v>
          </cell>
          <cell r="F279">
            <v>884.89999999999509</v>
          </cell>
          <cell r="H279">
            <v>755.40000000000452</v>
          </cell>
          <cell r="K279">
            <v>53000</v>
          </cell>
        </row>
        <row r="280">
          <cell r="B280">
            <v>269</v>
          </cell>
          <cell r="E280">
            <v>788.4000000000002</v>
          </cell>
          <cell r="F280">
            <v>887.69999999999504</v>
          </cell>
          <cell r="H280">
            <v>757.60000000000457</v>
          </cell>
          <cell r="K280">
            <v>53200</v>
          </cell>
        </row>
        <row r="281">
          <cell r="B281">
            <v>270</v>
          </cell>
          <cell r="E281">
            <v>790.9000000000002</v>
          </cell>
          <cell r="F281">
            <v>890.499999999995</v>
          </cell>
          <cell r="H281">
            <v>759.80000000000462</v>
          </cell>
          <cell r="K281">
            <v>53400</v>
          </cell>
        </row>
        <row r="282">
          <cell r="B282">
            <v>271</v>
          </cell>
          <cell r="E282">
            <v>793.4000000000002</v>
          </cell>
          <cell r="F282">
            <v>893.29999999999495</v>
          </cell>
          <cell r="H282">
            <v>762.00000000000466</v>
          </cell>
          <cell r="K282">
            <v>53600</v>
          </cell>
        </row>
        <row r="283">
          <cell r="B283">
            <v>272</v>
          </cell>
          <cell r="E283">
            <v>795.9000000000002</v>
          </cell>
          <cell r="F283">
            <v>896.09999999999491</v>
          </cell>
          <cell r="H283">
            <v>764.20000000000471</v>
          </cell>
          <cell r="K283">
            <v>53800</v>
          </cell>
        </row>
        <row r="284">
          <cell r="B284">
            <v>273</v>
          </cell>
          <cell r="E284">
            <v>798.4000000000002</v>
          </cell>
          <cell r="F284">
            <v>898.89999999999486</v>
          </cell>
          <cell r="H284">
            <v>766.40000000000475</v>
          </cell>
          <cell r="K284">
            <v>54000</v>
          </cell>
        </row>
        <row r="285">
          <cell r="B285">
            <v>274</v>
          </cell>
          <cell r="E285">
            <v>800.9000000000002</v>
          </cell>
          <cell r="F285">
            <v>901.69999999999482</v>
          </cell>
          <cell r="H285">
            <v>768.6000000000048</v>
          </cell>
          <cell r="K285">
            <v>54200</v>
          </cell>
        </row>
        <row r="286">
          <cell r="B286">
            <v>275</v>
          </cell>
          <cell r="E286">
            <v>803.4000000000002</v>
          </cell>
          <cell r="F286">
            <v>904.49999999999477</v>
          </cell>
          <cell r="H286">
            <v>770.80000000000484</v>
          </cell>
          <cell r="K286">
            <v>54400</v>
          </cell>
        </row>
        <row r="287">
          <cell r="B287">
            <v>276</v>
          </cell>
          <cell r="E287">
            <v>805.9000000000002</v>
          </cell>
          <cell r="F287">
            <v>907.29999999999472</v>
          </cell>
          <cell r="H287">
            <v>773.00000000000489</v>
          </cell>
          <cell r="K287">
            <v>54600</v>
          </cell>
        </row>
        <row r="288">
          <cell r="B288">
            <v>277</v>
          </cell>
          <cell r="E288">
            <v>808.4000000000002</v>
          </cell>
          <cell r="F288">
            <v>910.09999999999468</v>
          </cell>
          <cell r="H288">
            <v>775.20000000000493</v>
          </cell>
          <cell r="K288">
            <v>54800</v>
          </cell>
        </row>
        <row r="289">
          <cell r="B289">
            <v>278</v>
          </cell>
          <cell r="E289">
            <v>810.9000000000002</v>
          </cell>
          <cell r="F289">
            <v>912.89999999999463</v>
          </cell>
          <cell r="H289">
            <v>777.40000000000498</v>
          </cell>
          <cell r="K289">
            <v>55000</v>
          </cell>
        </row>
        <row r="290">
          <cell r="B290">
            <v>279</v>
          </cell>
          <cell r="E290">
            <v>813.4000000000002</v>
          </cell>
          <cell r="F290">
            <v>915.69999999999459</v>
          </cell>
          <cell r="H290">
            <v>779.60000000000502</v>
          </cell>
          <cell r="K290">
            <v>55200</v>
          </cell>
        </row>
        <row r="291">
          <cell r="B291">
            <v>280</v>
          </cell>
          <cell r="E291">
            <v>815.9000000000002</v>
          </cell>
          <cell r="F291">
            <v>918.49999999999454</v>
          </cell>
          <cell r="H291">
            <v>781.80000000000507</v>
          </cell>
          <cell r="K291">
            <v>55400</v>
          </cell>
        </row>
        <row r="292">
          <cell r="B292">
            <v>281</v>
          </cell>
          <cell r="E292">
            <v>818.4000000000002</v>
          </cell>
          <cell r="F292">
            <v>921.2999999999945</v>
          </cell>
          <cell r="H292">
            <v>784.00000000000512</v>
          </cell>
          <cell r="K292">
            <v>55600</v>
          </cell>
        </row>
        <row r="293">
          <cell r="B293">
            <v>282</v>
          </cell>
          <cell r="E293">
            <v>820.9000000000002</v>
          </cell>
          <cell r="F293">
            <v>924.09999999999445</v>
          </cell>
          <cell r="H293">
            <v>786.20000000000516</v>
          </cell>
          <cell r="K293">
            <v>55800</v>
          </cell>
        </row>
        <row r="294">
          <cell r="B294">
            <v>283</v>
          </cell>
          <cell r="E294">
            <v>823.4000000000002</v>
          </cell>
          <cell r="F294">
            <v>926.89999999999441</v>
          </cell>
          <cell r="H294">
            <v>788.40000000000521</v>
          </cell>
          <cell r="K294">
            <v>56000</v>
          </cell>
        </row>
        <row r="295">
          <cell r="B295">
            <v>284</v>
          </cell>
          <cell r="E295">
            <v>825.9000000000002</v>
          </cell>
          <cell r="F295">
            <v>929.69999999999436</v>
          </cell>
          <cell r="H295">
            <v>790.60000000000525</v>
          </cell>
          <cell r="K295">
            <v>56200</v>
          </cell>
        </row>
        <row r="296">
          <cell r="B296">
            <v>285</v>
          </cell>
          <cell r="E296">
            <v>828.4000000000002</v>
          </cell>
          <cell r="F296">
            <v>932.49999999999432</v>
          </cell>
          <cell r="H296">
            <v>792.8000000000053</v>
          </cell>
          <cell r="K296">
            <v>56400</v>
          </cell>
        </row>
        <row r="297">
          <cell r="B297">
            <v>286</v>
          </cell>
          <cell r="E297">
            <v>830.9000000000002</v>
          </cell>
          <cell r="F297">
            <v>935.29999999999427</v>
          </cell>
          <cell r="H297">
            <v>795.00000000000534</v>
          </cell>
          <cell r="K297">
            <v>56600</v>
          </cell>
        </row>
        <row r="298">
          <cell r="B298">
            <v>287</v>
          </cell>
          <cell r="E298">
            <v>833.4000000000002</v>
          </cell>
          <cell r="F298">
            <v>938.09999999999422</v>
          </cell>
          <cell r="H298">
            <v>797.20000000000539</v>
          </cell>
          <cell r="K298">
            <v>56800</v>
          </cell>
        </row>
        <row r="299">
          <cell r="B299">
            <v>288</v>
          </cell>
          <cell r="E299">
            <v>835.9000000000002</v>
          </cell>
          <cell r="F299">
            <v>940.89999999999418</v>
          </cell>
          <cell r="H299">
            <v>799.40000000000543</v>
          </cell>
          <cell r="K299">
            <v>57000</v>
          </cell>
        </row>
        <row r="300">
          <cell r="B300">
            <v>289</v>
          </cell>
          <cell r="E300">
            <v>838.4000000000002</v>
          </cell>
          <cell r="F300">
            <v>943.69999999999413</v>
          </cell>
          <cell r="H300">
            <v>801.60000000000548</v>
          </cell>
          <cell r="K300">
            <v>57200</v>
          </cell>
        </row>
        <row r="301">
          <cell r="B301">
            <v>290</v>
          </cell>
          <cell r="E301">
            <v>840.9000000000002</v>
          </cell>
          <cell r="F301">
            <v>946.49999999999409</v>
          </cell>
          <cell r="H301">
            <v>803.80000000000553</v>
          </cell>
          <cell r="K301">
            <v>57400</v>
          </cell>
        </row>
        <row r="302">
          <cell r="B302">
            <v>291</v>
          </cell>
          <cell r="E302">
            <v>843.4000000000002</v>
          </cell>
          <cell r="F302">
            <v>949.29999999999404</v>
          </cell>
          <cell r="H302">
            <v>806.00000000000557</v>
          </cell>
          <cell r="K302">
            <v>57600</v>
          </cell>
        </row>
        <row r="303">
          <cell r="B303">
            <v>292</v>
          </cell>
          <cell r="E303">
            <v>845.9000000000002</v>
          </cell>
          <cell r="F303">
            <v>952.099999999994</v>
          </cell>
          <cell r="H303">
            <v>808.20000000000562</v>
          </cell>
          <cell r="K303">
            <v>57800</v>
          </cell>
        </row>
        <row r="304">
          <cell r="B304">
            <v>293</v>
          </cell>
          <cell r="E304">
            <v>848.4000000000002</v>
          </cell>
          <cell r="F304">
            <v>954.89999999999395</v>
          </cell>
          <cell r="H304">
            <v>810.40000000000566</v>
          </cell>
          <cell r="K304">
            <v>58000</v>
          </cell>
        </row>
        <row r="305">
          <cell r="B305">
            <v>294</v>
          </cell>
          <cell r="E305">
            <v>850.9000000000002</v>
          </cell>
          <cell r="F305">
            <v>957.69999999999391</v>
          </cell>
          <cell r="H305">
            <v>812.60000000000571</v>
          </cell>
          <cell r="K305">
            <v>58200</v>
          </cell>
        </row>
        <row r="306">
          <cell r="B306">
            <v>295</v>
          </cell>
          <cell r="E306">
            <v>853.4000000000002</v>
          </cell>
          <cell r="F306">
            <v>960.49999999999386</v>
          </cell>
          <cell r="H306">
            <v>814.80000000000575</v>
          </cell>
          <cell r="K306">
            <v>58400</v>
          </cell>
        </row>
        <row r="307">
          <cell r="B307">
            <v>296</v>
          </cell>
          <cell r="E307">
            <v>855.9000000000002</v>
          </cell>
          <cell r="F307">
            <v>963.29999999999382</v>
          </cell>
          <cell r="H307">
            <v>817.0000000000058</v>
          </cell>
          <cell r="K307">
            <v>58600</v>
          </cell>
        </row>
        <row r="308">
          <cell r="B308">
            <v>297</v>
          </cell>
          <cell r="E308">
            <v>858.4000000000002</v>
          </cell>
          <cell r="F308">
            <v>966.09999999999377</v>
          </cell>
          <cell r="H308">
            <v>819.20000000000584</v>
          </cell>
          <cell r="K308">
            <v>58800</v>
          </cell>
        </row>
        <row r="309">
          <cell r="B309">
            <v>298</v>
          </cell>
          <cell r="E309">
            <v>860.9000000000002</v>
          </cell>
          <cell r="F309">
            <v>968.89999999999372</v>
          </cell>
          <cell r="H309">
            <v>821.40000000000589</v>
          </cell>
          <cell r="K309">
            <v>59000</v>
          </cell>
        </row>
        <row r="310">
          <cell r="B310">
            <v>299</v>
          </cell>
          <cell r="E310">
            <v>863.4000000000002</v>
          </cell>
          <cell r="F310">
            <v>971.69999999999368</v>
          </cell>
          <cell r="H310">
            <v>823.60000000000593</v>
          </cell>
          <cell r="K310">
            <v>59200</v>
          </cell>
        </row>
        <row r="311">
          <cell r="B311">
            <v>300</v>
          </cell>
          <cell r="E311">
            <v>865.9000000000002</v>
          </cell>
          <cell r="F311">
            <v>974.49999999999363</v>
          </cell>
          <cell r="H311">
            <v>825.80000000000598</v>
          </cell>
          <cell r="K311">
            <v>59400</v>
          </cell>
        </row>
        <row r="312">
          <cell r="B312">
            <v>301</v>
          </cell>
          <cell r="E312">
            <v>868.4000000000002</v>
          </cell>
          <cell r="F312">
            <v>977.29999999999359</v>
          </cell>
          <cell r="H312">
            <v>828.00000000000603</v>
          </cell>
          <cell r="K312">
            <v>59600</v>
          </cell>
        </row>
        <row r="313">
          <cell r="B313">
            <v>302</v>
          </cell>
          <cell r="E313">
            <v>870.9000000000002</v>
          </cell>
          <cell r="F313">
            <v>980.09999999999354</v>
          </cell>
          <cell r="H313">
            <v>830.20000000000607</v>
          </cell>
          <cell r="K313">
            <v>59800</v>
          </cell>
        </row>
        <row r="314">
          <cell r="B314">
            <v>303</v>
          </cell>
          <cell r="E314">
            <v>873.4000000000002</v>
          </cell>
          <cell r="F314">
            <v>982.8999999999935</v>
          </cell>
          <cell r="H314">
            <v>832.40000000000612</v>
          </cell>
          <cell r="K314">
            <v>60000</v>
          </cell>
        </row>
        <row r="315">
          <cell r="B315">
            <v>304</v>
          </cell>
          <cell r="E315">
            <v>875.9000000000002</v>
          </cell>
          <cell r="F315">
            <v>985.69999999999345</v>
          </cell>
          <cell r="H315">
            <v>834.60000000000616</v>
          </cell>
          <cell r="K315">
            <v>60200</v>
          </cell>
        </row>
        <row r="316">
          <cell r="B316">
            <v>305</v>
          </cell>
          <cell r="E316">
            <v>878.4000000000002</v>
          </cell>
          <cell r="F316">
            <v>988.49999999999341</v>
          </cell>
          <cell r="H316">
            <v>836.80000000000621</v>
          </cell>
          <cell r="K316">
            <v>60400</v>
          </cell>
        </row>
        <row r="317">
          <cell r="B317">
            <v>306</v>
          </cell>
          <cell r="E317">
            <v>880.9000000000002</v>
          </cell>
          <cell r="F317">
            <v>991.29999999999336</v>
          </cell>
          <cell r="H317">
            <v>839.00000000000625</v>
          </cell>
          <cell r="K317">
            <v>60600</v>
          </cell>
        </row>
        <row r="318">
          <cell r="B318">
            <v>307</v>
          </cell>
          <cell r="E318">
            <v>883.4000000000002</v>
          </cell>
          <cell r="F318">
            <v>994.09999999999332</v>
          </cell>
          <cell r="H318">
            <v>841.2000000000063</v>
          </cell>
          <cell r="K318">
            <v>60800</v>
          </cell>
        </row>
        <row r="319">
          <cell r="B319">
            <v>308</v>
          </cell>
          <cell r="E319">
            <v>885.9000000000002</v>
          </cell>
          <cell r="F319">
            <v>996.89999999999327</v>
          </cell>
          <cell r="H319">
            <v>843.40000000000634</v>
          </cell>
          <cell r="K319">
            <v>61000</v>
          </cell>
        </row>
      </sheetData>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Kutti TRC"/>
      <sheetName val="Kutti TRC (2)"/>
      <sheetName val="EQ "/>
      <sheetName val="BEAM(1)"/>
      <sheetName val="BEAM (2)"/>
      <sheetName val="BEAM (3)"/>
      <sheetName val="BEAM (3A)"/>
      <sheetName val="BEAM (4)"/>
      <sheetName val="wall ,raft slab"/>
      <sheetName val="column(bi)"/>
      <sheetName val="structure -ref"/>
      <sheetName val="Design"/>
      <sheetName val="diaphragm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Kutti TRC"/>
      <sheetName val="Kutti TRC (2)"/>
      <sheetName val="EQ "/>
      <sheetName val="BEAM(1)"/>
      <sheetName val="BEAM (2)"/>
      <sheetName val="BEAM (3)"/>
      <sheetName val="BEAM (3A)"/>
      <sheetName val="BEAM (4)"/>
      <sheetName val="wall ,raft slab"/>
      <sheetName val="column(bi)"/>
      <sheetName val="structure -ref"/>
      <sheetName val="Design"/>
      <sheetName val="diaphragm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hart1"/>
      <sheetName val="us ratio plot"/>
      <sheetName val="Chart3"/>
      <sheetName val="head loss calc"/>
      <sheetName val="Basic designs"/>
      <sheetName val="OF section"/>
      <sheetName val="Stability of OF"/>
      <sheetName val="OF section (2)"/>
      <sheetName val="Stability of NOF"/>
      <sheetName val="Sheet3"/>
      <sheetName val="D.W.table"/>
      <sheetName val="head loss calc (2)"/>
      <sheetName val="floor slab-RS2"/>
      <sheetName val="Flight-1"/>
    </sheetNames>
    <sheetDataSet>
      <sheetData sheetId="0" refreshError="1"/>
      <sheetData sheetId="1" refreshError="1"/>
      <sheetData sheetId="2" refreshError="1"/>
      <sheetData sheetId="3" refreshError="1">
        <row r="8">
          <cell r="F8">
            <v>6.32</v>
          </cell>
        </row>
      </sheetData>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tITLE"/>
      <sheetName val="Index"/>
      <sheetName val="-19.252"/>
      <sheetName val="sum-19.252"/>
      <sheetName val="pc-loads"/>
      <sheetName val="Pile cap"/>
      <sheetName val="General&amp;Local"/>
      <sheetName val="Appendix"/>
      <sheetName val="Design"/>
      <sheetName val="summary"/>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ummary"/>
      <sheetName val="5.4"/>
      <sheetName val="Bar_Sched_5.4"/>
      <sheetName val="ROB III NORMAL"/>
      <sheetName val="ROB III SEISMIC"/>
      <sheetName val="Bar_Sched_302.245"/>
      <sheetName val="Sheet2"/>
      <sheetName val="3.1"/>
      <sheetName val="Bar_Sched_3.1"/>
      <sheetName val="7.1"/>
      <sheetName val="Bar_Sched_7.1"/>
      <sheetName val="4.8"/>
      <sheetName val="Bar_Sched_4.8"/>
    </sheetNames>
    <sheetDataSet>
      <sheetData sheetId="0" refreshError="1"/>
      <sheetData sheetId="1">
        <row r="61">
          <cell r="R61">
            <v>2.1</v>
          </cell>
        </row>
        <row r="62">
          <cell r="R62">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sheetName val="5.4"/>
      <sheetName val="Bar_Sched_5.4"/>
      <sheetName val="ROB III NORMAL"/>
      <sheetName val="ROB III SEISMIC"/>
      <sheetName val="Bar_Sched_302.245"/>
      <sheetName val="Sheet2"/>
      <sheetName val="3.1"/>
      <sheetName val="Bar_Sched_3.1"/>
      <sheetName val="7.1"/>
      <sheetName val="Bar_Sched_7.1"/>
      <sheetName val="4.8"/>
      <sheetName val="Bar_Sched_4.8"/>
    </sheetNames>
    <sheetDataSet>
      <sheetData sheetId="0" refreshError="1"/>
      <sheetData sheetId="1">
        <row r="61">
          <cell r="R61">
            <v>2.1</v>
          </cell>
        </row>
        <row r="62">
          <cell r="R62">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ummary"/>
      <sheetName val="5.4"/>
      <sheetName val="Bar_Sched_5.4"/>
      <sheetName val="ROB III NORMAL"/>
      <sheetName val="ROB III SEISMIC"/>
      <sheetName val="Bar_Sched_302.245"/>
      <sheetName val="Sheet2"/>
      <sheetName val="3.1"/>
      <sheetName val="Bar_Sched_3.1"/>
      <sheetName val="7.1"/>
      <sheetName val="Bar_Sched_7.1"/>
      <sheetName val="4.8"/>
      <sheetName val="Bar_Sched_4.8"/>
    </sheetNames>
    <sheetDataSet>
      <sheetData sheetId="0" refreshError="1"/>
      <sheetData sheetId="1">
        <row r="61">
          <cell r="R61">
            <v>2.1</v>
          </cell>
        </row>
        <row r="62">
          <cell r="R62">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ESIGN FEATURES"/>
      <sheetName val="HPs"/>
      <sheetName val="design"/>
      <sheetName val="scour depth ("/>
      <sheetName val="scour depth "/>
      <sheetName val="pail wall-u-S"/>
      <sheetName val="head wall u.s"/>
      <sheetName val="wing u-s"/>
      <sheetName val="headwall D-S"/>
      <sheetName val="Load on pipe"/>
      <sheetName val="ESTIMATE"/>
      <sheetName val="DRAWING"/>
      <sheetName val="sections"/>
      <sheetName val="ESTIMATE (2)"/>
      <sheetName val="fixixing of O.T Sills"/>
      <sheetName val="scour depth"/>
      <sheetName val="head wall u.s (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P"/>
      <sheetName val="wind for SP"/>
      <sheetName val="SP (4)"/>
      <sheetName val="wind for SP (4)"/>
      <sheetName val="footing Mx4"/>
      <sheetName val="footingMz4"/>
      <sheetName val="concrete ret wall"/>
      <sheetName val="Deck Slab"/>
      <sheetName val="concrete ret wall (2)"/>
      <sheetName val="footing (4)"/>
      <sheetName val="footing for SP"/>
      <sheetName val="footing for SP(2)"/>
      <sheetName val="Design Pad - 1"/>
      <sheetName val="Design Pad - 1 (2)"/>
      <sheetName val="slab bridge"/>
      <sheetName val="Box type"/>
      <sheetName val="pier"/>
      <sheetName val="footing"/>
      <sheetName val="Wind-old "/>
      <sheetName val="SP (2)"/>
      <sheetName val="SP (3)"/>
      <sheetName val="SP (with hloss for rec)"/>
      <sheetName val="Mason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
          <cell r="F10" t="str">
            <v>FOOTING</v>
          </cell>
        </row>
        <row r="11">
          <cell r="F11" t="str">
            <v>RECTANGULAR</v>
          </cell>
        </row>
        <row r="12">
          <cell r="F12" t="str">
            <v>TENSION NOT ALLOWED</v>
          </cell>
        </row>
        <row r="13">
          <cell r="F13">
            <v>0</v>
          </cell>
        </row>
        <row r="14">
          <cell r="F14" t="str">
            <v>FLAT</v>
          </cell>
        </row>
        <row r="15">
          <cell r="F15" t="str">
            <v>Limit-State of IS:456-2000</v>
          </cell>
        </row>
        <row r="16">
          <cell r="F16">
            <v>1.5</v>
          </cell>
        </row>
        <row r="17">
          <cell r="F17">
            <v>2305</v>
          </cell>
        </row>
        <row r="18">
          <cell r="F18">
            <v>932</v>
          </cell>
        </row>
        <row r="19">
          <cell r="F19">
            <v>0</v>
          </cell>
        </row>
        <row r="20">
          <cell r="F20">
            <v>4100</v>
          </cell>
        </row>
        <row r="21">
          <cell r="F21">
            <v>800</v>
          </cell>
        </row>
        <row r="22">
          <cell r="F22">
            <v>0</v>
          </cell>
        </row>
        <row r="23">
          <cell r="F23">
            <v>0</v>
          </cell>
        </row>
        <row r="24">
          <cell r="F24" t="str">
            <v>M20</v>
          </cell>
        </row>
        <row r="25">
          <cell r="F25" t="str">
            <v>Fe415</v>
          </cell>
        </row>
        <row r="26">
          <cell r="F26">
            <v>250</v>
          </cell>
        </row>
        <row r="27">
          <cell r="F27">
            <v>2</v>
          </cell>
        </row>
        <row r="28">
          <cell r="F28">
            <v>18</v>
          </cell>
        </row>
        <row r="29">
          <cell r="F29">
            <v>25</v>
          </cell>
        </row>
        <row r="30">
          <cell r="F30">
            <v>50</v>
          </cell>
        </row>
        <row r="31">
          <cell r="F31" t="str">
            <v>is considered</v>
          </cell>
        </row>
        <row r="32">
          <cell r="F32">
            <v>0</v>
          </cell>
        </row>
        <row r="33">
          <cell r="F33">
            <v>16</v>
          </cell>
        </row>
        <row r="34">
          <cell r="F34">
            <v>5</v>
          </cell>
        </row>
        <row r="35">
          <cell r="F35">
            <v>16</v>
          </cell>
        </row>
        <row r="36">
          <cell r="F36">
            <v>0</v>
          </cell>
        </row>
        <row r="37">
          <cell r="F37">
            <v>0</v>
          </cell>
        </row>
        <row r="40">
          <cell r="F40">
            <v>6.15</v>
          </cell>
        </row>
        <row r="41">
          <cell r="F41">
            <v>2.85</v>
          </cell>
        </row>
        <row r="42">
          <cell r="F42">
            <v>600</v>
          </cell>
        </row>
        <row r="43">
          <cell r="F43">
            <v>600</v>
          </cell>
        </row>
        <row r="44">
          <cell r="F44">
            <v>262.91300000000001</v>
          </cell>
        </row>
        <row r="45">
          <cell r="F45">
            <v>359.03699999999998</v>
          </cell>
        </row>
        <row r="46">
          <cell r="F46">
            <v>2926.95</v>
          </cell>
        </row>
        <row r="51">
          <cell r="B51" t="str">
            <v>( 0.000,0.000 )( 6.150,0.000 )( 6.150,2.850 )( 0.000,2.850 )( 0.000,0.000 )</v>
          </cell>
        </row>
        <row r="65">
          <cell r="B65" t="str">
            <v>L = 6150 mm</v>
          </cell>
          <cell r="D65" t="str">
            <v>B = 2850 mm</v>
          </cell>
        </row>
        <row r="66">
          <cell r="B66" t="str">
            <v>COLX = 4100 mm</v>
          </cell>
          <cell r="D66" t="str">
            <v>COLZ = 800 mm</v>
          </cell>
        </row>
        <row r="67">
          <cell r="B67" t="str">
            <v>X1 = 1.025 mm</v>
          </cell>
          <cell r="D67" t="str">
            <v>X2 = 1.025 mm</v>
          </cell>
        </row>
        <row r="68">
          <cell r="B68" t="str">
            <v>Z1 = 1.025 mm</v>
          </cell>
          <cell r="D68" t="str">
            <v>Z2 = 1.025 mm</v>
          </cell>
        </row>
        <row r="69">
          <cell r="F69">
            <v>0.52600000000000002</v>
          </cell>
        </row>
        <row r="70">
          <cell r="F70">
            <v>0.54200000000000004</v>
          </cell>
        </row>
        <row r="73">
          <cell r="B73" t="str">
            <v>Area of Footing</v>
          </cell>
          <cell r="E73" t="str">
            <v>=</v>
          </cell>
          <cell r="F73">
            <v>17.527999999999999</v>
          </cell>
          <cell r="G73" t="str">
            <v>m2</v>
          </cell>
        </row>
        <row r="74">
          <cell r="B74" t="str">
            <v>Ix = L x B3 / 12</v>
          </cell>
          <cell r="E74" t="str">
            <v>=</v>
          </cell>
          <cell r="F74">
            <v>11.864000000000001</v>
          </cell>
          <cell r="G74" t="str">
            <v>m4</v>
          </cell>
        </row>
        <row r="75">
          <cell r="B75" t="str">
            <v>Iz = B x L3 / 12</v>
          </cell>
          <cell r="E75" t="str">
            <v>=</v>
          </cell>
          <cell r="F75">
            <v>55.244</v>
          </cell>
          <cell r="G75" t="str">
            <v>m4</v>
          </cell>
        </row>
        <row r="77">
          <cell r="F77">
            <v>0</v>
          </cell>
        </row>
        <row r="79">
          <cell r="F79">
            <v>0.318</v>
          </cell>
        </row>
        <row r="80">
          <cell r="B80" t="str">
            <v>Maximum Gross Pressure under the Footing = P/A + Mx/Zx + Mz/Zz</v>
          </cell>
          <cell r="F80">
            <v>278.93599999999998</v>
          </cell>
        </row>
        <row r="81">
          <cell r="B81" t="str">
            <v>Minimum Gross Pressure under the Footing = P/A - Mx/Zx - Mz/Zz</v>
          </cell>
          <cell r="F81">
            <v>55.046999999999997</v>
          </cell>
        </row>
        <row r="83">
          <cell r="F83">
            <v>243.452</v>
          </cell>
        </row>
        <row r="87">
          <cell r="B87" t="str">
            <v>p1  =  278.936</v>
          </cell>
          <cell r="C87" t="str">
            <v>p6  =  278.936</v>
          </cell>
          <cell r="D87" t="str">
            <v>p11  =   55.047</v>
          </cell>
          <cell r="E87" t="str">
            <v>p16  =   55.047</v>
          </cell>
          <cell r="F87" t="str">
            <v>p21  =  198.415</v>
          </cell>
        </row>
        <row r="88">
          <cell r="B88" t="str">
            <v>p2  =  278.936</v>
          </cell>
          <cell r="C88" t="str">
            <v>p7  =  240.993</v>
          </cell>
          <cell r="D88" t="str">
            <v>p12  =   55.047</v>
          </cell>
          <cell r="E88" t="str">
            <v>p17  =   92.991</v>
          </cell>
          <cell r="F88" t="str">
            <v>p22  =  198.415</v>
          </cell>
        </row>
        <row r="89">
          <cell r="B89" t="str">
            <v>p3  =  278.936</v>
          </cell>
          <cell r="C89" t="str">
            <v>p8  =  198.415</v>
          </cell>
          <cell r="D89" t="str">
            <v>p13  =   55.047</v>
          </cell>
          <cell r="E89" t="str">
            <v>p18  =  135.569</v>
          </cell>
          <cell r="F89" t="str">
            <v>p23  =  135.569</v>
          </cell>
        </row>
        <row r="90">
          <cell r="B90" t="str">
            <v>p4  =  278.936</v>
          </cell>
          <cell r="C90" t="str">
            <v>p9  =  135.569</v>
          </cell>
          <cell r="D90" t="str">
            <v>p14  =   55.047</v>
          </cell>
          <cell r="E90" t="str">
            <v>p19  =  198.415</v>
          </cell>
          <cell r="F90" t="str">
            <v>p24  =  135.569</v>
          </cell>
        </row>
        <row r="91">
          <cell r="B91" t="str">
            <v>p5  =  278.936</v>
          </cell>
          <cell r="C91" t="str">
            <v>p10  =   92.991</v>
          </cell>
          <cell r="D91" t="str">
            <v>p15  =   55.047</v>
          </cell>
          <cell r="E91" t="str">
            <v>p20  =  240.993</v>
          </cell>
        </row>
        <row r="97">
          <cell r="F97">
            <v>297.05500000000001</v>
          </cell>
        </row>
        <row r="98">
          <cell r="B98" t="str">
            <v>Moment due to soilwt, Msoilx</v>
          </cell>
          <cell r="E98" t="str">
            <v>=</v>
          </cell>
          <cell r="F98">
            <v>37.728000000000002</v>
          </cell>
          <cell r="G98" t="str">
            <v>kNm</v>
          </cell>
        </row>
        <row r="99">
          <cell r="B99" t="str">
            <v>Moment due to surcharge,Msurx</v>
          </cell>
          <cell r="E99" t="str">
            <v>=</v>
          </cell>
          <cell r="F99">
            <v>0</v>
          </cell>
          <cell r="G99" t="str">
            <v>kNm</v>
          </cell>
        </row>
        <row r="100">
          <cell r="B100" t="str">
            <v>Moment due to selfweight, Mselfx</v>
          </cell>
          <cell r="E100" t="str">
            <v>=</v>
          </cell>
          <cell r="F100">
            <v>22.457000000000001</v>
          </cell>
          <cell r="G100" t="str">
            <v>kNm</v>
          </cell>
        </row>
        <row r="101">
          <cell r="B101" t="str">
            <v>Hence net Bending moment along Negative x</v>
          </cell>
          <cell r="E101" t="str">
            <v>=</v>
          </cell>
          <cell r="F101">
            <v>236.87</v>
          </cell>
          <cell r="G101" t="str">
            <v>kNm</v>
          </cell>
        </row>
        <row r="104">
          <cell r="F104">
            <v>297.05500000000001</v>
          </cell>
        </row>
        <row r="105">
          <cell r="B105" t="str">
            <v>Moment due to soilwt, Msoilx</v>
          </cell>
          <cell r="E105" t="str">
            <v>=</v>
          </cell>
          <cell r="F105">
            <v>37.728000000000002</v>
          </cell>
          <cell r="G105" t="str">
            <v>kNm</v>
          </cell>
        </row>
        <row r="106">
          <cell r="B106" t="str">
            <v>Moment due to surcharge,Msurx</v>
          </cell>
          <cell r="E106" t="str">
            <v>=</v>
          </cell>
          <cell r="F106">
            <v>0</v>
          </cell>
          <cell r="G106" t="str">
            <v>kNm</v>
          </cell>
        </row>
        <row r="107">
          <cell r="B107" t="str">
            <v>Moment due to selfweight, Mselfx</v>
          </cell>
          <cell r="E107" t="str">
            <v>=</v>
          </cell>
          <cell r="F107">
            <v>22.457000000000001</v>
          </cell>
          <cell r="G107" t="str">
            <v>kNm</v>
          </cell>
        </row>
        <row r="108">
          <cell r="B108" t="str">
            <v>Hence net Bending moment along Positive x</v>
          </cell>
          <cell r="E108" t="str">
            <v>=</v>
          </cell>
          <cell r="F108">
            <v>236.87</v>
          </cell>
          <cell r="G108" t="str">
            <v>kNm</v>
          </cell>
        </row>
        <row r="110">
          <cell r="F110">
            <v>236.87</v>
          </cell>
        </row>
        <row r="113">
          <cell r="F113">
            <v>355.30500000000001</v>
          </cell>
        </row>
        <row r="114">
          <cell r="F114">
            <v>2850</v>
          </cell>
        </row>
        <row r="115">
          <cell r="F115">
            <v>0.45100000000000001</v>
          </cell>
        </row>
        <row r="116">
          <cell r="F116">
            <v>1.2999999999999999E-3</v>
          </cell>
        </row>
        <row r="117">
          <cell r="F117">
            <v>1922</v>
          </cell>
        </row>
        <row r="118">
          <cell r="F118">
            <v>1710000</v>
          </cell>
        </row>
        <row r="119">
          <cell r="B119" t="str">
            <v xml:space="preserve">Minimum % of steel required = 0.12% of Gross area </v>
          </cell>
          <cell r="F119">
            <v>2052</v>
          </cell>
        </row>
        <row r="120">
          <cell r="F120">
            <v>2052</v>
          </cell>
        </row>
        <row r="122">
          <cell r="B122" t="str">
            <v>Provide Y16 @ 270 mm C/C (spacing for a width  = 2850 mm)</v>
          </cell>
        </row>
        <row r="125">
          <cell r="F125">
            <v>264.553</v>
          </cell>
        </row>
        <row r="126">
          <cell r="B126" t="str">
            <v>Moment due to soilwt, Msoilz</v>
          </cell>
          <cell r="E126" t="str">
            <v>=</v>
          </cell>
          <cell r="F126">
            <v>81.412999999999997</v>
          </cell>
          <cell r="G126" t="str">
            <v>kNm</v>
          </cell>
        </row>
        <row r="127">
          <cell r="B127" t="str">
            <v>Moment due to surcharge,Msurz</v>
          </cell>
          <cell r="E127" t="str">
            <v>=</v>
          </cell>
          <cell r="F127">
            <v>0</v>
          </cell>
          <cell r="G127" t="str">
            <v>kNm</v>
          </cell>
        </row>
        <row r="128">
          <cell r="B128" t="str">
            <v>Moment due to selfweight, Mselfz</v>
          </cell>
          <cell r="E128" t="str">
            <v>=</v>
          </cell>
          <cell r="F128">
            <v>48.46</v>
          </cell>
          <cell r="G128" t="str">
            <v>kNm</v>
          </cell>
        </row>
        <row r="129">
          <cell r="B129" t="str">
            <v>Hence net Bending moment along Negative z</v>
          </cell>
          <cell r="E129" t="str">
            <v>=</v>
          </cell>
          <cell r="F129">
            <v>134.67999999999998</v>
          </cell>
          <cell r="G129" t="str">
            <v>kNm</v>
          </cell>
        </row>
        <row r="132">
          <cell r="F132">
            <v>814.43899999999996</v>
          </cell>
        </row>
        <row r="133">
          <cell r="B133" t="str">
            <v>Moment due to soilwt, Msoilz</v>
          </cell>
          <cell r="E133" t="str">
            <v>=</v>
          </cell>
          <cell r="F133">
            <v>81.412999999999997</v>
          </cell>
          <cell r="G133" t="str">
            <v>kNm</v>
          </cell>
        </row>
        <row r="134">
          <cell r="B134" t="str">
            <v>Moment due to surcharge,Msurz</v>
          </cell>
          <cell r="E134" t="str">
            <v>=</v>
          </cell>
          <cell r="F134">
            <v>0</v>
          </cell>
          <cell r="G134" t="str">
            <v>kNm</v>
          </cell>
        </row>
        <row r="135">
          <cell r="B135" t="str">
            <v>Moment due to selfweight, Mselfz</v>
          </cell>
          <cell r="E135" t="str">
            <v>=</v>
          </cell>
          <cell r="F135">
            <v>48.46</v>
          </cell>
          <cell r="G135" t="str">
            <v>kNm</v>
          </cell>
        </row>
        <row r="136">
          <cell r="B136" t="str">
            <v>Hence net Bending moment along Positive z</v>
          </cell>
          <cell r="E136" t="str">
            <v>=</v>
          </cell>
          <cell r="F136">
            <v>684.56599999999992</v>
          </cell>
          <cell r="G136" t="str">
            <v>kNm</v>
          </cell>
        </row>
        <row r="138">
          <cell r="F138">
            <v>684.56600000000003</v>
          </cell>
        </row>
        <row r="141">
          <cell r="F141">
            <v>1026.8489999999999</v>
          </cell>
        </row>
        <row r="142">
          <cell r="F142">
            <v>6150</v>
          </cell>
        </row>
        <row r="143">
          <cell r="F143">
            <v>0.56799999999999995</v>
          </cell>
        </row>
        <row r="144">
          <cell r="F144">
            <v>1.6000000000000001E-3</v>
          </cell>
        </row>
        <row r="145">
          <cell r="F145">
            <v>5431</v>
          </cell>
        </row>
        <row r="146">
          <cell r="F146">
            <v>3690000</v>
          </cell>
        </row>
        <row r="147">
          <cell r="B147" t="str">
            <v>Minimum % of steel required = 0.12% of Gross area =</v>
          </cell>
          <cell r="F147">
            <v>4428</v>
          </cell>
        </row>
        <row r="148">
          <cell r="F148">
            <v>5431</v>
          </cell>
        </row>
        <row r="150">
          <cell r="B150" t="str">
            <v>Provide Y16 @ 330 mm C/C in the end band (spacing for a width  = 3300 mm)</v>
          </cell>
        </row>
        <row r="152">
          <cell r="B152" t="str">
            <v>Negative Bending Moment Due to Uplift</v>
          </cell>
        </row>
        <row r="154">
          <cell r="B154" t="str">
            <v xml:space="preserve">Area not in contact with soil </v>
          </cell>
          <cell r="E154" t="str">
            <v>=</v>
          </cell>
          <cell r="F154">
            <v>0</v>
          </cell>
          <cell r="G154" t="str">
            <v>m2</v>
          </cell>
        </row>
        <row r="155">
          <cell r="B155" t="str">
            <v>Weight of Soil +Footing above this Area</v>
          </cell>
          <cell r="E155" t="str">
            <v>=</v>
          </cell>
          <cell r="F155">
            <v>0</v>
          </cell>
          <cell r="G155" t="str">
            <v>kN</v>
          </cell>
        </row>
        <row r="156">
          <cell r="B156" t="str">
            <v>Steel Required along X(TOP)</v>
          </cell>
        </row>
        <row r="157">
          <cell r="B157" t="str">
            <v>Approximate Bending moment along X,(Mxn)</v>
          </cell>
          <cell r="E157" t="str">
            <v>=</v>
          </cell>
          <cell r="F157">
            <v>0</v>
          </cell>
          <cell r="G157" t="str">
            <v>kNm</v>
          </cell>
        </row>
        <row r="158">
          <cell r="B158" t="str">
            <v>Mu/bd2</v>
          </cell>
          <cell r="E158" t="str">
            <v>=</v>
          </cell>
          <cell r="F158">
            <v>0</v>
          </cell>
        </row>
        <row r="159">
          <cell r="B159" t="str">
            <v>Gross Area</v>
          </cell>
          <cell r="E159" t="str">
            <v>=</v>
          </cell>
          <cell r="F159">
            <v>1710000</v>
          </cell>
          <cell r="G159" t="str">
            <v>mm2</v>
          </cell>
        </row>
        <row r="160">
          <cell r="B160" t="str">
            <v>Ast required</v>
          </cell>
          <cell r="E160" t="str">
            <v>=</v>
          </cell>
          <cell r="F160">
            <v>0</v>
          </cell>
          <cell r="G160" t="str">
            <v>mm2</v>
          </cell>
        </row>
        <row r="161">
          <cell r="B161" t="str">
            <v xml:space="preserve">Minimum % of steel required = 0.06% of Gross area </v>
          </cell>
          <cell r="E161" t="str">
            <v>=</v>
          </cell>
          <cell r="F161">
            <v>1026</v>
          </cell>
          <cell r="G161" t="str">
            <v>mm2</v>
          </cell>
        </row>
        <row r="162">
          <cell r="B162" t="str">
            <v xml:space="preserve">Hence Area of Steel Provided </v>
          </cell>
          <cell r="E162" t="str">
            <v>=</v>
          </cell>
          <cell r="F162">
            <v>1026</v>
          </cell>
          <cell r="G162" t="str">
            <v>mm2</v>
          </cell>
        </row>
        <row r="163">
          <cell r="B163" t="str">
            <v>Hence percentage of steel provided</v>
          </cell>
          <cell r="E163" t="str">
            <v>=</v>
          </cell>
          <cell r="F163">
            <v>0.06</v>
          </cell>
          <cell r="G163" t="str">
            <v>%</v>
          </cell>
        </row>
        <row r="165">
          <cell r="A165" t="str">
            <v>Cl. 34.3.1</v>
          </cell>
          <cell r="B165" t="str">
            <v>Provide Y5 @  50 mm C/C (spacing for a width = 2850 mm)</v>
          </cell>
        </row>
        <row r="166">
          <cell r="B166" t="str">
            <v>Steel Required along Z(TOP)</v>
          </cell>
        </row>
        <row r="167">
          <cell r="B167" t="str">
            <v>Approximate Bending moment along Z,(Mzn)</v>
          </cell>
          <cell r="E167" t="str">
            <v>=</v>
          </cell>
          <cell r="F167">
            <v>0</v>
          </cell>
          <cell r="G167" t="str">
            <v>kNm</v>
          </cell>
        </row>
        <row r="168">
          <cell r="B168" t="str">
            <v>Mu/bd2</v>
          </cell>
          <cell r="E168" t="str">
            <v>=</v>
          </cell>
          <cell r="F168">
            <v>0</v>
          </cell>
        </row>
        <row r="169">
          <cell r="B169" t="str">
            <v>Gross Area</v>
          </cell>
          <cell r="E169" t="str">
            <v>=</v>
          </cell>
          <cell r="F169">
            <v>3690000</v>
          </cell>
          <cell r="G169" t="str">
            <v>mm2</v>
          </cell>
        </row>
        <row r="170">
          <cell r="B170" t="str">
            <v>Ast required</v>
          </cell>
          <cell r="E170" t="str">
            <v>=</v>
          </cell>
          <cell r="F170">
            <v>0</v>
          </cell>
          <cell r="G170" t="str">
            <v>mm2</v>
          </cell>
        </row>
        <row r="171">
          <cell r="B171" t="str">
            <v xml:space="preserve">Minimum % of steel required = 0.06% of Gross area </v>
          </cell>
          <cell r="E171" t="str">
            <v>=</v>
          </cell>
          <cell r="F171">
            <v>2214</v>
          </cell>
          <cell r="G171" t="str">
            <v>mm2</v>
          </cell>
        </row>
        <row r="172">
          <cell r="B172" t="str">
            <v>Hence Area of Steel provided</v>
          </cell>
          <cell r="E172" t="str">
            <v>=</v>
          </cell>
          <cell r="F172">
            <v>2214</v>
          </cell>
          <cell r="G172" t="str">
            <v>mm2</v>
          </cell>
        </row>
        <row r="173">
          <cell r="B173" t="str">
            <v>Hence percentage of steel provided</v>
          </cell>
          <cell r="E173" t="str">
            <v>=</v>
          </cell>
          <cell r="F173">
            <v>0.06</v>
          </cell>
          <cell r="G173" t="str">
            <v>%</v>
          </cell>
        </row>
        <row r="175">
          <cell r="B175" t="str">
            <v>Provide Y0 @   0 mm C/C (spacing for a width = 6150 mm)</v>
          </cell>
        </row>
        <row r="179">
          <cell r="B179" t="str">
            <v>Gross Shear, SFx1 =  (p1 + p2 + p15 + p16) x B x ( X1 - d) / 4                      =</v>
          </cell>
          <cell r="F179">
            <v>237.48699999999999</v>
          </cell>
          <cell r="G179" t="str">
            <v>kN</v>
          </cell>
        </row>
        <row r="180">
          <cell r="B180" t="str">
            <v>Net Shear Vx1 = SFx1 - (Vsoilx1 + Vselfx1 + Vsurx1)</v>
          </cell>
          <cell r="E180" t="str">
            <v>=</v>
          </cell>
          <cell r="F180">
            <v>180.31700000000001</v>
          </cell>
          <cell r="G180" t="str">
            <v>kN</v>
          </cell>
        </row>
        <row r="182">
          <cell r="B182" t="str">
            <v>Gross Shear SFx2 = (p5 + p6 + p11 + p12) x B x ( X2 - d) / 4                        =</v>
          </cell>
          <cell r="F182">
            <v>237.48699999999999</v>
          </cell>
          <cell r="G182" t="str">
            <v>kN</v>
          </cell>
        </row>
        <row r="183">
          <cell r="B183" t="str">
            <v>Net Shear Vx2 = SFx2 - (Vsoilx2 + Vselfx2 + Vsurx2)</v>
          </cell>
          <cell r="E183" t="str">
            <v>=</v>
          </cell>
          <cell r="F183" t="str">
            <v>180.317 kN</v>
          </cell>
          <cell r="G183" t="str">
            <v>kN</v>
          </cell>
        </row>
        <row r="185">
          <cell r="B185" t="str">
            <v xml:space="preserve">Hence maximum shear force,V along X=MAX(Vx1,Vx2) </v>
          </cell>
          <cell r="E185" t="str">
            <v>=</v>
          </cell>
          <cell r="F185">
            <v>180.31700000000001</v>
          </cell>
          <cell r="G185" t="str">
            <v>kN</v>
          </cell>
        </row>
        <row r="186">
          <cell r="B186" t="str">
            <v>Shear area @ a distance d from the face of the column ,As</v>
          </cell>
          <cell r="F186">
            <v>1499100</v>
          </cell>
          <cell r="G186" t="str">
            <v>mm2</v>
          </cell>
        </row>
        <row r="187">
          <cell r="B187" t="str">
            <v>tv   = Vu / As</v>
          </cell>
          <cell r="E187" t="str">
            <v>=</v>
          </cell>
          <cell r="F187">
            <v>0.18</v>
          </cell>
          <cell r="G187" t="str">
            <v>N/mm2</v>
          </cell>
        </row>
        <row r="188">
          <cell r="B188" t="str">
            <v>% of Steel provided p = 100 x Astx / As</v>
          </cell>
          <cell r="E188" t="str">
            <v>=</v>
          </cell>
          <cell r="F188">
            <v>1.3699999999999999E-3</v>
          </cell>
        </row>
        <row r="189">
          <cell r="A189" t="str">
            <v>Table 19</v>
          </cell>
          <cell r="B189" t="str">
            <v xml:space="preserve">Allowable shear stress tc </v>
          </cell>
          <cell r="E189" t="str">
            <v>=</v>
          </cell>
          <cell r="F189">
            <v>0.27600000000000002</v>
          </cell>
          <cell r="G189" t="str">
            <v>N/mm2</v>
          </cell>
        </row>
        <row r="190">
          <cell r="D190" t="str">
            <v>Hence Safe In Shear</v>
          </cell>
          <cell r="F190" t="str">
            <v>.</v>
          </cell>
        </row>
        <row r="194">
          <cell r="B194" t="str">
            <v>Gross Shear SFz1 =  (p1 + p6 + p7 + p20) x L x ( Z1 - d) / 4</v>
          </cell>
          <cell r="E194" t="str">
            <v>=</v>
          </cell>
          <cell r="F194">
            <v>772.21199999999999</v>
          </cell>
          <cell r="G194" t="str">
            <v>kN</v>
          </cell>
        </row>
        <row r="195">
          <cell r="B195" t="str">
            <v>Net Shear Vz1 = SFz1 - (Vsoilz1 + Vselfz1 + Vsurz1)</v>
          </cell>
          <cell r="E195" t="str">
            <v>=</v>
          </cell>
          <cell r="F195">
            <v>652.79999999999995</v>
          </cell>
          <cell r="G195" t="str">
            <v>kN</v>
          </cell>
        </row>
        <row r="197">
          <cell r="B197" t="str">
            <v>SFz2 =(p11 + p16 + p10 + p17) x L x ( Y2 - d) / 4</v>
          </cell>
          <cell r="E197" t="str">
            <v>=</v>
          </cell>
          <cell r="F197">
            <v>219.87</v>
          </cell>
          <cell r="G197" t="str">
            <v>kN</v>
          </cell>
        </row>
        <row r="198">
          <cell r="B198" t="str">
            <v>Net Shear Vz2 = SFz2 - (Vsoilz2 + Vselfz2 + Vsurz2)</v>
          </cell>
          <cell r="E198" t="str">
            <v>=</v>
          </cell>
          <cell r="F198">
            <v>100.458</v>
          </cell>
          <cell r="G198" t="str">
            <v>kN</v>
          </cell>
        </row>
        <row r="200">
          <cell r="B200" t="str">
            <v xml:space="preserve">Hence maximum shear force,V along X = MAX(Vz1,Vz2) </v>
          </cell>
          <cell r="E200" t="str">
            <v>=</v>
          </cell>
          <cell r="F200">
            <v>652.79999999999995</v>
          </cell>
          <cell r="G200" t="str">
            <v>kN</v>
          </cell>
        </row>
        <row r="201">
          <cell r="B201" t="str">
            <v>Shear area @ a distance d from the face of the column ,As</v>
          </cell>
          <cell r="F201">
            <v>3333300</v>
          </cell>
          <cell r="G201" t="str">
            <v>mm2</v>
          </cell>
        </row>
        <row r="202">
          <cell r="B202" t="str">
            <v>tv   = Vu / As</v>
          </cell>
          <cell r="E202" t="str">
            <v>=</v>
          </cell>
          <cell r="F202">
            <v>0.29399999999999998</v>
          </cell>
          <cell r="G202" t="str">
            <v>N/mm2</v>
          </cell>
        </row>
        <row r="203">
          <cell r="B203" t="str">
            <v>% of Steel provided p    = 100 x Astz / As</v>
          </cell>
          <cell r="E203" t="str">
            <v>=</v>
          </cell>
          <cell r="F203">
            <v>1.6299999999999999E-3</v>
          </cell>
        </row>
        <row r="204">
          <cell r="A204" t="str">
            <v>Table 19</v>
          </cell>
          <cell r="B204" t="str">
            <v xml:space="preserve">Allowable shear stress tc </v>
          </cell>
          <cell r="E204" t="str">
            <v>=</v>
          </cell>
          <cell r="F204">
            <v>0.29799999999999999</v>
          </cell>
          <cell r="G204" t="str">
            <v>N/mm2</v>
          </cell>
        </row>
        <row r="205">
          <cell r="D205" t="str">
            <v xml:space="preserve"> Hence Safe In Shear</v>
          </cell>
        </row>
        <row r="209">
          <cell r="F209">
            <v>17.527999999999999</v>
          </cell>
        </row>
        <row r="210">
          <cell r="F210">
            <v>6.2080000000000002</v>
          </cell>
        </row>
        <row r="211">
          <cell r="F211">
            <v>11.319000000000001</v>
          </cell>
        </row>
        <row r="212">
          <cell r="F212">
            <v>1432.6659999999999</v>
          </cell>
        </row>
        <row r="213">
          <cell r="F213">
            <v>526</v>
          </cell>
        </row>
        <row r="214">
          <cell r="F214">
            <v>526</v>
          </cell>
        </row>
        <row r="215">
          <cell r="F215">
            <v>542</v>
          </cell>
        </row>
        <row r="216">
          <cell r="F216">
            <v>542</v>
          </cell>
        </row>
        <row r="217">
          <cell r="F217">
            <v>534</v>
          </cell>
        </row>
        <row r="218">
          <cell r="F218">
            <v>6373825</v>
          </cell>
        </row>
        <row r="219">
          <cell r="F219">
            <v>2148.9989999999998</v>
          </cell>
        </row>
        <row r="220">
          <cell r="F220">
            <v>0.33700000000000002</v>
          </cell>
        </row>
        <row r="221">
          <cell r="F221">
            <v>1.1180000000000001</v>
          </cell>
        </row>
        <row r="225">
          <cell r="F225">
            <v>17527500</v>
          </cell>
        </row>
        <row r="226">
          <cell r="F226">
            <v>3280000</v>
          </cell>
        </row>
        <row r="227">
          <cell r="F227">
            <v>2</v>
          </cell>
        </row>
        <row r="228">
          <cell r="F228">
            <v>3457.5</v>
          </cell>
        </row>
        <row r="229">
          <cell r="F229">
            <v>1.054</v>
          </cell>
        </row>
        <row r="230">
          <cell r="F230">
            <v>18</v>
          </cell>
        </row>
        <row r="234">
          <cell r="F234">
            <v>1004.374</v>
          </cell>
        </row>
        <row r="235">
          <cell r="F235">
            <v>10.516999999999999</v>
          </cell>
        </row>
        <row r="236">
          <cell r="F236">
            <v>10.8</v>
          </cell>
        </row>
        <row r="237">
          <cell r="F237">
            <v>95.504999999999995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vent way"/>
      <sheetName val="ScourDepth"/>
      <sheetName val="Abutment"/>
      <sheetName val="bed block"/>
      <sheetName val="wing wall"/>
      <sheetName val="bar bending"/>
      <sheetName val="SPT vs PHI"/>
      <sheetName val="peripheral walls"/>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MR"/>
      <sheetName val="Road Abst."/>
      <sheetName val="CD works Abst."/>
      <sheetName val="CC drains Abst."/>
      <sheetName val="Road Detail Est."/>
      <sheetName val="CD works detail Est."/>
      <sheetName val="CC drains detail Est."/>
      <sheetName val="Earth work Cal"/>
      <sheetName val="Earth Volume"/>
      <sheetName val="General Abst."/>
      <sheetName val="Lead Statement"/>
      <sheetName val="Road data"/>
      <sheetName val="CD works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bstract"/>
      <sheetName val="Data"/>
      <sheetName val="0000000000000"/>
      <sheetName val="1000000000000"/>
      <sheetName val="2000000000000"/>
      <sheetName val="3000000000000"/>
      <sheetName val="4000000000000"/>
      <sheetName val="5000000000000"/>
      <sheetName val="COVER"/>
      <sheetName val="Report"/>
      <sheetName val="Sections"/>
      <sheetName val="allowance"/>
      <sheetName val="Inspection Report"/>
      <sheetName val="Lead charges"/>
      <sheetName val="Lead chart"/>
      <sheetName val="leads ssr"/>
      <sheetName val="Detailed Estimate"/>
      <sheetName val="drawing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bstract"/>
      <sheetName val="Data"/>
      <sheetName val="0000000000000"/>
      <sheetName val="1000000000000"/>
      <sheetName val="2000000000000"/>
      <sheetName val="3000000000000"/>
      <sheetName val="4000000000000"/>
      <sheetName val="5000000000000"/>
      <sheetName val="COVER"/>
      <sheetName val="Report"/>
      <sheetName val="Sections"/>
      <sheetName val="allowance"/>
      <sheetName val="Inspection Report"/>
      <sheetName val="Lead charges"/>
      <sheetName val="Lead chart"/>
      <sheetName val="leads ssr"/>
      <sheetName val="Detailed Estimate"/>
      <sheetName val="drawing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utoOpen Stub Data"/>
      <sheetName val="Design"/>
      <sheetName val="Guidelines"/>
    </sheetNames>
    <sheetDataSet>
      <sheetData sheetId="0" refreshError="1"/>
      <sheetData sheetId="1"/>
      <sheetData sheetId="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roforma"/>
      <sheetName val="Sheet2"/>
      <sheetName val="Instructions"/>
    </sheetNames>
    <sheetDataSet>
      <sheetData sheetId="0"/>
      <sheetData sheetId="1">
        <row r="2">
          <cell r="E2" t="str">
            <v>EE</v>
          </cell>
          <cell r="F2" t="str">
            <v>AA Not Accorded</v>
          </cell>
          <cell r="G2" t="str">
            <v>Adilabad</v>
          </cell>
        </row>
        <row r="3">
          <cell r="E3" t="str">
            <v>SE</v>
          </cell>
          <cell r="F3" t="str">
            <v>AA Accorded but TS not given</v>
          </cell>
          <cell r="G3" t="str">
            <v>Ananthapur</v>
          </cell>
        </row>
        <row r="4">
          <cell r="E4" t="str">
            <v>CE</v>
          </cell>
          <cell r="F4" t="str">
            <v>TS accorded but Tender not invited</v>
          </cell>
          <cell r="G4" t="str">
            <v>Chittoor</v>
          </cell>
        </row>
        <row r="5">
          <cell r="E5" t="str">
            <v>COT</v>
          </cell>
          <cell r="F5" t="str">
            <v>Tender invited but not grounded</v>
          </cell>
          <cell r="G5" t="str">
            <v>East Godavari</v>
          </cell>
        </row>
        <row r="6">
          <cell r="F6" t="str">
            <v>Work Grounded</v>
          </cell>
          <cell r="G6" t="str">
            <v>Kadapa</v>
          </cell>
        </row>
        <row r="7">
          <cell r="G7" t="str">
            <v>Karimnagar</v>
          </cell>
        </row>
        <row r="8">
          <cell r="G8" t="str">
            <v>Khammam</v>
          </cell>
        </row>
        <row r="9">
          <cell r="G9" t="str">
            <v>Krishna</v>
          </cell>
        </row>
        <row r="10">
          <cell r="G10" t="str">
            <v>Kurnool</v>
          </cell>
        </row>
        <row r="11">
          <cell r="G11" t="str">
            <v>Mahaboobnagar</v>
          </cell>
        </row>
        <row r="12">
          <cell r="G12" t="str">
            <v>Medak</v>
          </cell>
        </row>
        <row r="13">
          <cell r="G13" t="str">
            <v>Nalgonda</v>
          </cell>
        </row>
        <row r="14">
          <cell r="G14" t="str">
            <v>Nellore</v>
          </cell>
        </row>
        <row r="15">
          <cell r="G15" t="str">
            <v>Nizamabad</v>
          </cell>
        </row>
        <row r="16">
          <cell r="G16" t="str">
            <v>Prakasam</v>
          </cell>
        </row>
        <row r="17">
          <cell r="G17" t="str">
            <v>Rangareddy</v>
          </cell>
        </row>
        <row r="18">
          <cell r="G18" t="str">
            <v>Srikakulam</v>
          </cell>
        </row>
        <row r="19">
          <cell r="G19" t="str">
            <v>Vijayanagaram</v>
          </cell>
        </row>
        <row r="20">
          <cell r="G20" t="str">
            <v>Visakapatnam</v>
          </cell>
        </row>
        <row r="21">
          <cell r="G21" t="str">
            <v>Warangal</v>
          </cell>
        </row>
        <row r="22">
          <cell r="G22" t="str">
            <v>West Godavari</v>
          </cell>
        </row>
      </sheetData>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oforma"/>
      <sheetName val="Sheet2"/>
      <sheetName val="Instructions"/>
    </sheetNames>
    <sheetDataSet>
      <sheetData sheetId="0"/>
      <sheetData sheetId="1">
        <row r="2">
          <cell r="E2" t="str">
            <v>EE</v>
          </cell>
          <cell r="F2" t="str">
            <v>AA Not Accorded</v>
          </cell>
          <cell r="G2" t="str">
            <v>Adilabad</v>
          </cell>
        </row>
        <row r="3">
          <cell r="E3" t="str">
            <v>SE</v>
          </cell>
          <cell r="F3" t="str">
            <v>AA Accorded but TS not given</v>
          </cell>
          <cell r="G3" t="str">
            <v>Ananthapur</v>
          </cell>
        </row>
        <row r="4">
          <cell r="E4" t="str">
            <v>CE</v>
          </cell>
          <cell r="F4" t="str">
            <v>TS accorded but Tender not invited</v>
          </cell>
          <cell r="G4" t="str">
            <v>Chittoor</v>
          </cell>
        </row>
        <row r="5">
          <cell r="E5" t="str">
            <v>COT</v>
          </cell>
          <cell r="F5" t="str">
            <v>Tender invited but not grounded</v>
          </cell>
          <cell r="G5" t="str">
            <v>East Godavari</v>
          </cell>
        </row>
        <row r="6">
          <cell r="F6" t="str">
            <v>Work Grounded</v>
          </cell>
          <cell r="G6" t="str">
            <v>Kadapa</v>
          </cell>
        </row>
        <row r="7">
          <cell r="G7" t="str">
            <v>Karimnagar</v>
          </cell>
        </row>
        <row r="8">
          <cell r="G8" t="str">
            <v>Khammam</v>
          </cell>
        </row>
        <row r="9">
          <cell r="G9" t="str">
            <v>Krishna</v>
          </cell>
        </row>
        <row r="10">
          <cell r="G10" t="str">
            <v>Kurnool</v>
          </cell>
        </row>
        <row r="11">
          <cell r="G11" t="str">
            <v>Mahaboobnagar</v>
          </cell>
        </row>
        <row r="12">
          <cell r="G12" t="str">
            <v>Medak</v>
          </cell>
        </row>
        <row r="13">
          <cell r="G13" t="str">
            <v>Nalgonda</v>
          </cell>
        </row>
        <row r="14">
          <cell r="G14" t="str">
            <v>Nellore</v>
          </cell>
        </row>
        <row r="15">
          <cell r="G15" t="str">
            <v>Nizamabad</v>
          </cell>
        </row>
        <row r="16">
          <cell r="G16" t="str">
            <v>Prakasam</v>
          </cell>
        </row>
        <row r="17">
          <cell r="G17" t="str">
            <v>Rangareddy</v>
          </cell>
        </row>
        <row r="18">
          <cell r="G18" t="str">
            <v>Srikakulam</v>
          </cell>
        </row>
        <row r="19">
          <cell r="G19" t="str">
            <v>Vijayanagaram</v>
          </cell>
        </row>
        <row r="20">
          <cell r="G20" t="str">
            <v>Visakapatnam</v>
          </cell>
        </row>
        <row r="21">
          <cell r="G21" t="str">
            <v>Warangal</v>
          </cell>
        </row>
        <row r="22">
          <cell r="G22" t="str">
            <v>West Godavari</v>
          </cell>
        </row>
      </sheetData>
      <sheetData sheetId="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ewst"/>
      <sheetName val="Majoduck_SK_1"/>
      <sheetName val="bund"/>
      <sheetName val="Sheet3"/>
    </sheetNames>
    <sheetDataSet>
      <sheetData sheetId="0" refreshError="1">
        <row r="13">
          <cell r="E13">
            <v>0.1</v>
          </cell>
          <cell r="F13">
            <v>4.5999999999999996</v>
          </cell>
          <cell r="G13">
            <v>1.38</v>
          </cell>
          <cell r="H13">
            <v>0</v>
          </cell>
          <cell r="I13">
            <v>0</v>
          </cell>
          <cell r="J13">
            <v>1.02</v>
          </cell>
          <cell r="K13">
            <v>0</v>
          </cell>
          <cell r="L13">
            <v>0</v>
          </cell>
          <cell r="M13">
            <v>0</v>
          </cell>
          <cell r="N13">
            <v>0.5</v>
          </cell>
          <cell r="O13">
            <v>0</v>
          </cell>
          <cell r="P13">
            <v>0</v>
          </cell>
          <cell r="Q13">
            <v>0</v>
          </cell>
          <cell r="R13">
            <v>0.1</v>
          </cell>
        </row>
        <row r="14">
          <cell r="E14">
            <v>0.2</v>
          </cell>
          <cell r="F14">
            <v>5</v>
          </cell>
          <cell r="G14">
            <v>1.5</v>
          </cell>
          <cell r="H14">
            <v>0</v>
          </cell>
          <cell r="I14">
            <v>0</v>
          </cell>
          <cell r="J14">
            <v>1.5</v>
          </cell>
          <cell r="K14">
            <v>0</v>
          </cell>
          <cell r="L14">
            <v>0</v>
          </cell>
          <cell r="M14">
            <v>0</v>
          </cell>
          <cell r="N14">
            <v>0.5</v>
          </cell>
          <cell r="O14">
            <v>0</v>
          </cell>
          <cell r="P14">
            <v>0</v>
          </cell>
          <cell r="Q14">
            <v>0</v>
          </cell>
          <cell r="R14">
            <v>0.2</v>
          </cell>
        </row>
        <row r="15">
          <cell r="E15">
            <v>0.3</v>
          </cell>
          <cell r="F15">
            <v>5.4</v>
          </cell>
          <cell r="G15">
            <v>1.62</v>
          </cell>
          <cell r="H15">
            <v>0</v>
          </cell>
          <cell r="I15">
            <v>0</v>
          </cell>
          <cell r="J15">
            <v>2.02</v>
          </cell>
          <cell r="K15">
            <v>0</v>
          </cell>
          <cell r="L15">
            <v>0</v>
          </cell>
          <cell r="M15">
            <v>0</v>
          </cell>
          <cell r="N15">
            <v>0.5</v>
          </cell>
          <cell r="O15">
            <v>0</v>
          </cell>
          <cell r="P15">
            <v>0</v>
          </cell>
          <cell r="Q15">
            <v>0</v>
          </cell>
          <cell r="R15">
            <v>0.3</v>
          </cell>
        </row>
        <row r="16">
          <cell r="E16">
            <v>0.4</v>
          </cell>
          <cell r="F16">
            <v>5.8</v>
          </cell>
          <cell r="G16">
            <v>1.74</v>
          </cell>
          <cell r="H16">
            <v>0</v>
          </cell>
          <cell r="I16">
            <v>0</v>
          </cell>
          <cell r="J16">
            <v>2.58</v>
          </cell>
          <cell r="K16">
            <v>0</v>
          </cell>
          <cell r="L16">
            <v>0</v>
          </cell>
          <cell r="M16">
            <v>0</v>
          </cell>
          <cell r="N16">
            <v>0.5</v>
          </cell>
          <cell r="O16">
            <v>0</v>
          </cell>
          <cell r="P16">
            <v>0</v>
          </cell>
          <cell r="Q16">
            <v>0</v>
          </cell>
          <cell r="R16">
            <v>0.4</v>
          </cell>
        </row>
        <row r="17">
          <cell r="E17">
            <v>0.5</v>
          </cell>
          <cell r="F17">
            <v>6.2</v>
          </cell>
          <cell r="G17">
            <v>1.86</v>
          </cell>
          <cell r="H17">
            <v>0</v>
          </cell>
          <cell r="I17">
            <v>0</v>
          </cell>
          <cell r="J17">
            <v>3.18</v>
          </cell>
          <cell r="K17">
            <v>0</v>
          </cell>
          <cell r="L17">
            <v>0</v>
          </cell>
          <cell r="M17">
            <v>0</v>
          </cell>
          <cell r="N17">
            <v>0.5</v>
          </cell>
          <cell r="O17">
            <v>0</v>
          </cell>
          <cell r="P17">
            <v>0</v>
          </cell>
          <cell r="Q17">
            <v>0</v>
          </cell>
          <cell r="R17">
            <v>0.5</v>
          </cell>
        </row>
        <row r="18">
          <cell r="E18">
            <v>0.6</v>
          </cell>
          <cell r="F18">
            <v>6.6</v>
          </cell>
          <cell r="G18">
            <v>1.98</v>
          </cell>
          <cell r="H18">
            <v>0</v>
          </cell>
          <cell r="I18">
            <v>0</v>
          </cell>
          <cell r="J18">
            <v>3.82</v>
          </cell>
          <cell r="K18">
            <v>0</v>
          </cell>
          <cell r="L18">
            <v>0</v>
          </cell>
          <cell r="M18">
            <v>0</v>
          </cell>
          <cell r="N18">
            <v>0.5</v>
          </cell>
          <cell r="O18">
            <v>0</v>
          </cell>
          <cell r="P18">
            <v>0</v>
          </cell>
          <cell r="Q18">
            <v>0</v>
          </cell>
          <cell r="R18">
            <v>0.6</v>
          </cell>
        </row>
        <row r="19">
          <cell r="E19">
            <v>0.7</v>
          </cell>
          <cell r="F19">
            <v>7</v>
          </cell>
          <cell r="G19">
            <v>2.1</v>
          </cell>
          <cell r="H19">
            <v>0</v>
          </cell>
          <cell r="I19">
            <v>0</v>
          </cell>
          <cell r="J19">
            <v>4.5</v>
          </cell>
          <cell r="K19">
            <v>0</v>
          </cell>
          <cell r="L19">
            <v>0</v>
          </cell>
          <cell r="M19">
            <v>0</v>
          </cell>
          <cell r="N19">
            <v>0.5</v>
          </cell>
          <cell r="O19">
            <v>0</v>
          </cell>
          <cell r="P19">
            <v>0</v>
          </cell>
          <cell r="Q19">
            <v>0</v>
          </cell>
          <cell r="R19">
            <v>0.7</v>
          </cell>
        </row>
        <row r="20">
          <cell r="E20">
            <v>0.8</v>
          </cell>
          <cell r="F20">
            <v>7.4</v>
          </cell>
          <cell r="G20">
            <v>2.2200000000000002</v>
          </cell>
          <cell r="H20">
            <v>0</v>
          </cell>
          <cell r="I20">
            <v>0</v>
          </cell>
          <cell r="J20">
            <v>5.22</v>
          </cell>
          <cell r="K20">
            <v>0</v>
          </cell>
          <cell r="L20">
            <v>0</v>
          </cell>
          <cell r="M20">
            <v>0</v>
          </cell>
          <cell r="N20">
            <v>0.5</v>
          </cell>
          <cell r="O20">
            <v>0</v>
          </cell>
          <cell r="P20">
            <v>0</v>
          </cell>
          <cell r="Q20">
            <v>0</v>
          </cell>
          <cell r="R20">
            <v>0.8</v>
          </cell>
        </row>
        <row r="21">
          <cell r="E21">
            <v>0.9</v>
          </cell>
          <cell r="F21">
            <v>7.8</v>
          </cell>
          <cell r="G21">
            <v>2.34</v>
          </cell>
          <cell r="H21">
            <v>0</v>
          </cell>
          <cell r="I21">
            <v>0</v>
          </cell>
          <cell r="J21">
            <v>5.98</v>
          </cell>
          <cell r="K21">
            <v>0</v>
          </cell>
          <cell r="L21">
            <v>0</v>
          </cell>
          <cell r="M21">
            <v>0</v>
          </cell>
          <cell r="N21">
            <v>0.5</v>
          </cell>
          <cell r="O21">
            <v>0</v>
          </cell>
          <cell r="P21">
            <v>0</v>
          </cell>
          <cell r="Q21">
            <v>0</v>
          </cell>
          <cell r="R21">
            <v>0.9</v>
          </cell>
        </row>
        <row r="22">
          <cell r="E22">
            <v>1</v>
          </cell>
          <cell r="F22">
            <v>8.1999999999999993</v>
          </cell>
          <cell r="G22">
            <v>2.46</v>
          </cell>
          <cell r="H22">
            <v>0</v>
          </cell>
          <cell r="I22">
            <v>0</v>
          </cell>
          <cell r="J22">
            <v>6.78</v>
          </cell>
          <cell r="K22">
            <v>0</v>
          </cell>
          <cell r="L22">
            <v>0</v>
          </cell>
          <cell r="M22">
            <v>0</v>
          </cell>
          <cell r="N22">
            <v>0.5</v>
          </cell>
          <cell r="O22">
            <v>0</v>
          </cell>
          <cell r="P22">
            <v>0</v>
          </cell>
          <cell r="Q22">
            <v>0</v>
          </cell>
          <cell r="R22">
            <v>1</v>
          </cell>
        </row>
        <row r="23">
          <cell r="E23">
            <v>1.1000000000000001</v>
          </cell>
          <cell r="F23">
            <v>8.6</v>
          </cell>
          <cell r="G23">
            <v>2.58</v>
          </cell>
          <cell r="H23">
            <v>0</v>
          </cell>
          <cell r="I23">
            <v>0</v>
          </cell>
          <cell r="J23">
            <v>7.62</v>
          </cell>
          <cell r="K23">
            <v>0</v>
          </cell>
          <cell r="L23">
            <v>0</v>
          </cell>
          <cell r="M23">
            <v>0</v>
          </cell>
          <cell r="N23">
            <v>0.5</v>
          </cell>
          <cell r="O23">
            <v>0</v>
          </cell>
          <cell r="P23">
            <v>0</v>
          </cell>
          <cell r="Q23">
            <v>0</v>
          </cell>
          <cell r="R23">
            <v>1.1000000000000001</v>
          </cell>
        </row>
        <row r="24">
          <cell r="E24">
            <v>1.2</v>
          </cell>
          <cell r="F24">
            <v>9</v>
          </cell>
          <cell r="G24">
            <v>2.7</v>
          </cell>
          <cell r="H24">
            <v>0</v>
          </cell>
          <cell r="I24">
            <v>0</v>
          </cell>
          <cell r="J24">
            <v>8.5</v>
          </cell>
          <cell r="K24">
            <v>0</v>
          </cell>
          <cell r="L24">
            <v>0</v>
          </cell>
          <cell r="M24">
            <v>0</v>
          </cell>
          <cell r="N24">
            <v>0.5</v>
          </cell>
          <cell r="O24">
            <v>0</v>
          </cell>
          <cell r="P24">
            <v>0</v>
          </cell>
          <cell r="Q24">
            <v>0</v>
          </cell>
          <cell r="R24">
            <v>1.2</v>
          </cell>
        </row>
        <row r="25">
          <cell r="E25">
            <v>1.3</v>
          </cell>
          <cell r="F25">
            <v>9.4</v>
          </cell>
          <cell r="G25">
            <v>2.82</v>
          </cell>
          <cell r="H25">
            <v>0</v>
          </cell>
          <cell r="I25">
            <v>0</v>
          </cell>
          <cell r="J25">
            <v>9.42</v>
          </cell>
          <cell r="K25">
            <v>0</v>
          </cell>
          <cell r="L25">
            <v>0</v>
          </cell>
          <cell r="M25">
            <v>0</v>
          </cell>
          <cell r="N25">
            <v>0.5</v>
          </cell>
          <cell r="O25">
            <v>0</v>
          </cell>
          <cell r="P25">
            <v>0</v>
          </cell>
          <cell r="Q25">
            <v>0</v>
          </cell>
          <cell r="R25">
            <v>1.3</v>
          </cell>
        </row>
        <row r="26">
          <cell r="E26">
            <v>1.4</v>
          </cell>
          <cell r="F26">
            <v>9.8000000000000007</v>
          </cell>
          <cell r="G26">
            <v>2.94</v>
          </cell>
          <cell r="H26">
            <v>1.98</v>
          </cell>
          <cell r="I26">
            <v>0</v>
          </cell>
          <cell r="J26">
            <v>10.38</v>
          </cell>
          <cell r="K26">
            <v>0</v>
          </cell>
          <cell r="L26">
            <v>0</v>
          </cell>
          <cell r="M26">
            <v>0</v>
          </cell>
          <cell r="N26">
            <v>0.5</v>
          </cell>
          <cell r="O26">
            <v>0</v>
          </cell>
          <cell r="P26">
            <v>0</v>
          </cell>
          <cell r="Q26">
            <v>0</v>
          </cell>
          <cell r="R26">
            <v>1.4</v>
          </cell>
        </row>
        <row r="27">
          <cell r="E27">
            <v>1.5</v>
          </cell>
          <cell r="F27">
            <v>10.199999999999999</v>
          </cell>
          <cell r="G27">
            <v>3.48</v>
          </cell>
          <cell r="H27">
            <v>1.98</v>
          </cell>
          <cell r="I27">
            <v>0</v>
          </cell>
          <cell r="J27">
            <v>9.09</v>
          </cell>
          <cell r="K27">
            <v>1.57</v>
          </cell>
          <cell r="L27">
            <v>1.1100000000000001</v>
          </cell>
          <cell r="M27">
            <v>0</v>
          </cell>
          <cell r="N27">
            <v>0.47</v>
          </cell>
          <cell r="O27">
            <v>0</v>
          </cell>
          <cell r="P27">
            <v>0</v>
          </cell>
          <cell r="Q27">
            <v>0</v>
          </cell>
          <cell r="R27">
            <v>1.5</v>
          </cell>
        </row>
        <row r="28">
          <cell r="E28">
            <v>1.6</v>
          </cell>
          <cell r="F28">
            <v>10.6</v>
          </cell>
          <cell r="G28">
            <v>3.6</v>
          </cell>
          <cell r="H28">
            <v>1.98</v>
          </cell>
          <cell r="I28">
            <v>0</v>
          </cell>
          <cell r="J28">
            <v>10</v>
          </cell>
          <cell r="K28">
            <v>1.64</v>
          </cell>
          <cell r="L28">
            <v>1.17</v>
          </cell>
          <cell r="M28">
            <v>0</v>
          </cell>
          <cell r="N28">
            <v>0.47</v>
          </cell>
          <cell r="O28">
            <v>0</v>
          </cell>
          <cell r="P28">
            <v>0</v>
          </cell>
          <cell r="Q28">
            <v>0</v>
          </cell>
          <cell r="R28">
            <v>1.6</v>
          </cell>
        </row>
        <row r="29">
          <cell r="E29">
            <v>1.7</v>
          </cell>
          <cell r="F29">
            <v>11</v>
          </cell>
          <cell r="G29">
            <v>3.72</v>
          </cell>
          <cell r="H29">
            <v>1.98</v>
          </cell>
          <cell r="I29">
            <v>0</v>
          </cell>
          <cell r="J29">
            <v>10.95</v>
          </cell>
          <cell r="K29">
            <v>1.7</v>
          </cell>
          <cell r="L29">
            <v>1.24</v>
          </cell>
          <cell r="M29">
            <v>0</v>
          </cell>
          <cell r="N29">
            <v>0.47</v>
          </cell>
          <cell r="O29">
            <v>0</v>
          </cell>
          <cell r="P29">
            <v>0</v>
          </cell>
          <cell r="Q29">
            <v>0</v>
          </cell>
          <cell r="R29">
            <v>1.7</v>
          </cell>
        </row>
        <row r="30">
          <cell r="E30">
            <v>1.8</v>
          </cell>
          <cell r="F30">
            <v>11.4</v>
          </cell>
          <cell r="G30">
            <v>3.84</v>
          </cell>
          <cell r="H30">
            <v>1.98</v>
          </cell>
          <cell r="I30">
            <v>0</v>
          </cell>
          <cell r="J30">
            <v>11.93</v>
          </cell>
          <cell r="K30">
            <v>1.77</v>
          </cell>
          <cell r="L30">
            <v>1.31</v>
          </cell>
          <cell r="M30">
            <v>0</v>
          </cell>
          <cell r="N30">
            <v>0.47</v>
          </cell>
          <cell r="O30">
            <v>0</v>
          </cell>
          <cell r="P30">
            <v>0</v>
          </cell>
          <cell r="Q30">
            <v>0</v>
          </cell>
          <cell r="R30">
            <v>1.8</v>
          </cell>
        </row>
        <row r="31">
          <cell r="E31">
            <v>1.9</v>
          </cell>
          <cell r="F31">
            <v>11.8</v>
          </cell>
          <cell r="G31">
            <v>3.96</v>
          </cell>
          <cell r="H31">
            <v>1.98</v>
          </cell>
          <cell r="I31">
            <v>0</v>
          </cell>
          <cell r="J31">
            <v>12.95</v>
          </cell>
          <cell r="K31">
            <v>1.84</v>
          </cell>
          <cell r="L31">
            <v>1.38</v>
          </cell>
          <cell r="M31">
            <v>0</v>
          </cell>
          <cell r="N31">
            <v>0.47</v>
          </cell>
          <cell r="O31">
            <v>0</v>
          </cell>
          <cell r="P31">
            <v>0</v>
          </cell>
          <cell r="Q31">
            <v>0</v>
          </cell>
          <cell r="R31">
            <v>1.9</v>
          </cell>
        </row>
        <row r="32">
          <cell r="E32">
            <v>2</v>
          </cell>
          <cell r="F32">
            <v>12.2</v>
          </cell>
          <cell r="G32">
            <v>4.08</v>
          </cell>
          <cell r="H32">
            <v>1.98</v>
          </cell>
          <cell r="I32">
            <v>0</v>
          </cell>
          <cell r="J32">
            <v>14.03</v>
          </cell>
          <cell r="K32">
            <v>1.9</v>
          </cell>
          <cell r="L32">
            <v>1.44</v>
          </cell>
          <cell r="M32">
            <v>0</v>
          </cell>
          <cell r="N32">
            <v>0.47</v>
          </cell>
          <cell r="O32">
            <v>0</v>
          </cell>
          <cell r="P32">
            <v>0</v>
          </cell>
          <cell r="Q32">
            <v>0</v>
          </cell>
          <cell r="R32">
            <v>2</v>
          </cell>
        </row>
        <row r="33">
          <cell r="E33">
            <v>2.1</v>
          </cell>
          <cell r="F33">
            <v>12.6</v>
          </cell>
          <cell r="G33">
            <v>4.2</v>
          </cell>
          <cell r="H33">
            <v>1.98</v>
          </cell>
          <cell r="I33">
            <v>0</v>
          </cell>
          <cell r="J33">
            <v>15.13</v>
          </cell>
          <cell r="K33">
            <v>1.97</v>
          </cell>
          <cell r="L33">
            <v>1.51</v>
          </cell>
          <cell r="M33">
            <v>0</v>
          </cell>
          <cell r="N33">
            <v>0.47</v>
          </cell>
          <cell r="O33">
            <v>0</v>
          </cell>
          <cell r="P33">
            <v>0</v>
          </cell>
          <cell r="Q33">
            <v>0</v>
          </cell>
          <cell r="R33">
            <v>2.1</v>
          </cell>
        </row>
        <row r="34">
          <cell r="E34">
            <v>2.2000000000000002</v>
          </cell>
          <cell r="F34">
            <v>13</v>
          </cell>
          <cell r="G34">
            <v>4.32</v>
          </cell>
          <cell r="H34">
            <v>1.978</v>
          </cell>
          <cell r="I34">
            <v>0</v>
          </cell>
          <cell r="J34">
            <v>16.27</v>
          </cell>
          <cell r="K34">
            <v>2.04</v>
          </cell>
          <cell r="L34">
            <v>1.58</v>
          </cell>
          <cell r="M34">
            <v>0</v>
          </cell>
          <cell r="N34">
            <v>0.47</v>
          </cell>
          <cell r="O34">
            <v>0</v>
          </cell>
          <cell r="P34">
            <v>0</v>
          </cell>
          <cell r="Q34">
            <v>0</v>
          </cell>
          <cell r="R34">
            <v>2.2000000000000002</v>
          </cell>
        </row>
        <row r="35">
          <cell r="E35">
            <v>2.2999999999999998</v>
          </cell>
          <cell r="F35">
            <v>13.4</v>
          </cell>
          <cell r="G35">
            <v>4.4400000000000004</v>
          </cell>
          <cell r="H35">
            <v>1.98</v>
          </cell>
          <cell r="I35">
            <v>0</v>
          </cell>
          <cell r="J35">
            <v>17.47</v>
          </cell>
          <cell r="K35">
            <v>2.1</v>
          </cell>
          <cell r="L35">
            <v>1.64</v>
          </cell>
          <cell r="M35">
            <v>0</v>
          </cell>
          <cell r="N35">
            <v>0.47</v>
          </cell>
          <cell r="O35">
            <v>0</v>
          </cell>
          <cell r="P35">
            <v>0</v>
          </cell>
          <cell r="Q35">
            <v>0</v>
          </cell>
          <cell r="R35">
            <v>2.2999999999999998</v>
          </cell>
        </row>
        <row r="36">
          <cell r="E36">
            <v>2.4</v>
          </cell>
          <cell r="F36">
            <v>13.8</v>
          </cell>
          <cell r="G36">
            <v>4.5599999999999996</v>
          </cell>
          <cell r="H36">
            <v>1.98</v>
          </cell>
          <cell r="I36">
            <v>0</v>
          </cell>
          <cell r="J36">
            <v>18.690000000000001</v>
          </cell>
          <cell r="K36">
            <v>2.17</v>
          </cell>
          <cell r="L36">
            <v>1.71</v>
          </cell>
          <cell r="M36">
            <v>0</v>
          </cell>
          <cell r="N36">
            <v>0.47</v>
          </cell>
          <cell r="O36">
            <v>0</v>
          </cell>
          <cell r="P36">
            <v>0</v>
          </cell>
          <cell r="Q36">
            <v>0</v>
          </cell>
          <cell r="R36">
            <v>2.4</v>
          </cell>
        </row>
        <row r="37">
          <cell r="E37">
            <v>2.5</v>
          </cell>
          <cell r="F37">
            <v>14.2</v>
          </cell>
          <cell r="G37">
            <v>4.68</v>
          </cell>
          <cell r="H37">
            <v>1.98</v>
          </cell>
          <cell r="I37">
            <v>0</v>
          </cell>
          <cell r="J37">
            <v>19.95</v>
          </cell>
          <cell r="K37">
            <v>2.2400000000000002</v>
          </cell>
          <cell r="L37">
            <v>1.78</v>
          </cell>
          <cell r="M37">
            <v>0</v>
          </cell>
          <cell r="N37">
            <v>0.47</v>
          </cell>
          <cell r="O37">
            <v>0</v>
          </cell>
          <cell r="P37">
            <v>0</v>
          </cell>
          <cell r="Q37">
            <v>0</v>
          </cell>
          <cell r="R37">
            <v>2.5</v>
          </cell>
        </row>
        <row r="38">
          <cell r="E38">
            <v>2.6</v>
          </cell>
          <cell r="F38">
            <v>14.6</v>
          </cell>
          <cell r="G38">
            <v>4.8</v>
          </cell>
          <cell r="H38">
            <v>1.98</v>
          </cell>
          <cell r="I38">
            <v>0</v>
          </cell>
          <cell r="J38">
            <v>21.25</v>
          </cell>
          <cell r="K38">
            <v>2.31</v>
          </cell>
          <cell r="L38">
            <v>1.85</v>
          </cell>
          <cell r="M38">
            <v>0</v>
          </cell>
          <cell r="N38">
            <v>0.47</v>
          </cell>
          <cell r="O38">
            <v>0</v>
          </cell>
          <cell r="P38">
            <v>0</v>
          </cell>
          <cell r="Q38">
            <v>0</v>
          </cell>
          <cell r="R38">
            <v>2.6</v>
          </cell>
        </row>
        <row r="39">
          <cell r="E39">
            <v>2.7</v>
          </cell>
          <cell r="F39">
            <v>15</v>
          </cell>
          <cell r="G39">
            <v>4.92</v>
          </cell>
          <cell r="H39">
            <v>1.98</v>
          </cell>
          <cell r="I39">
            <v>0</v>
          </cell>
          <cell r="J39">
            <v>22.61</v>
          </cell>
          <cell r="K39">
            <v>2.37</v>
          </cell>
          <cell r="L39">
            <v>1.91</v>
          </cell>
          <cell r="M39">
            <v>0</v>
          </cell>
          <cell r="N39">
            <v>0.47</v>
          </cell>
          <cell r="O39">
            <v>0</v>
          </cell>
          <cell r="P39">
            <v>0</v>
          </cell>
          <cell r="Q39">
            <v>0</v>
          </cell>
          <cell r="R39">
            <v>2.7</v>
          </cell>
        </row>
        <row r="40">
          <cell r="E40">
            <v>2.8</v>
          </cell>
          <cell r="F40">
            <v>15.4</v>
          </cell>
          <cell r="G40">
            <v>5.04</v>
          </cell>
          <cell r="H40">
            <v>2.16</v>
          </cell>
          <cell r="I40">
            <v>0</v>
          </cell>
          <cell r="J40">
            <v>24.1</v>
          </cell>
          <cell r="K40">
            <v>2.44</v>
          </cell>
          <cell r="L40">
            <v>1.98</v>
          </cell>
          <cell r="M40">
            <v>0</v>
          </cell>
          <cell r="N40">
            <v>0.47</v>
          </cell>
          <cell r="O40">
            <v>0</v>
          </cell>
          <cell r="P40">
            <v>0</v>
          </cell>
          <cell r="Q40">
            <v>0</v>
          </cell>
          <cell r="R40">
            <v>2.8</v>
          </cell>
        </row>
        <row r="41">
          <cell r="E41">
            <v>2.9</v>
          </cell>
          <cell r="F41">
            <v>15.8</v>
          </cell>
          <cell r="G41">
            <v>5.16</v>
          </cell>
          <cell r="H41">
            <v>2.35</v>
          </cell>
          <cell r="I41">
            <v>0</v>
          </cell>
          <cell r="J41">
            <v>25.41</v>
          </cell>
          <cell r="K41">
            <v>2.5099999999999998</v>
          </cell>
          <cell r="L41">
            <v>2.0499999999999998</v>
          </cell>
          <cell r="M41">
            <v>0</v>
          </cell>
          <cell r="N41">
            <v>0.47</v>
          </cell>
          <cell r="O41">
            <v>0</v>
          </cell>
          <cell r="P41">
            <v>0</v>
          </cell>
          <cell r="Q41">
            <v>0</v>
          </cell>
          <cell r="R41">
            <v>2.9</v>
          </cell>
        </row>
        <row r="42">
          <cell r="E42">
            <v>3</v>
          </cell>
          <cell r="F42">
            <v>16.2</v>
          </cell>
          <cell r="G42">
            <v>5.28</v>
          </cell>
          <cell r="H42">
            <v>2.5299999999999998</v>
          </cell>
          <cell r="I42">
            <v>0</v>
          </cell>
          <cell r="J42">
            <v>26.89</v>
          </cell>
          <cell r="K42">
            <v>2.57</v>
          </cell>
          <cell r="L42">
            <v>2.11</v>
          </cell>
          <cell r="M42">
            <v>0</v>
          </cell>
          <cell r="N42">
            <v>0.47</v>
          </cell>
          <cell r="O42">
            <v>0</v>
          </cell>
          <cell r="P42">
            <v>0</v>
          </cell>
          <cell r="Q42">
            <v>0</v>
          </cell>
          <cell r="R42">
            <v>3</v>
          </cell>
        </row>
        <row r="43">
          <cell r="E43">
            <v>3.1</v>
          </cell>
          <cell r="F43">
            <v>16.600000000000001</v>
          </cell>
          <cell r="G43">
            <v>5.4</v>
          </cell>
          <cell r="H43">
            <v>2.72</v>
          </cell>
          <cell r="I43">
            <v>0</v>
          </cell>
          <cell r="J43">
            <v>28.39</v>
          </cell>
          <cell r="K43">
            <v>2.64</v>
          </cell>
          <cell r="L43">
            <v>2.1800000000000002</v>
          </cell>
          <cell r="M43">
            <v>0</v>
          </cell>
          <cell r="N43">
            <v>0.47</v>
          </cell>
          <cell r="O43">
            <v>0</v>
          </cell>
          <cell r="P43">
            <v>0</v>
          </cell>
          <cell r="Q43">
            <v>0</v>
          </cell>
          <cell r="R43">
            <v>3.1</v>
          </cell>
        </row>
        <row r="44">
          <cell r="E44">
            <v>3.2</v>
          </cell>
          <cell r="F44">
            <v>17</v>
          </cell>
          <cell r="G44">
            <v>5.52</v>
          </cell>
          <cell r="H44">
            <v>2.91</v>
          </cell>
          <cell r="I44">
            <v>0</v>
          </cell>
          <cell r="J44">
            <v>29.93</v>
          </cell>
          <cell r="K44">
            <v>2.71</v>
          </cell>
          <cell r="L44">
            <v>2.25</v>
          </cell>
          <cell r="M44">
            <v>0</v>
          </cell>
          <cell r="N44">
            <v>0.47</v>
          </cell>
          <cell r="O44">
            <v>0</v>
          </cell>
          <cell r="P44">
            <v>0</v>
          </cell>
          <cell r="Q44">
            <v>0</v>
          </cell>
          <cell r="R44">
            <v>3.2</v>
          </cell>
        </row>
        <row r="45">
          <cell r="E45">
            <v>3.3</v>
          </cell>
          <cell r="F45">
            <v>17.399999999999999</v>
          </cell>
          <cell r="G45">
            <v>5.64</v>
          </cell>
          <cell r="H45">
            <v>3.11</v>
          </cell>
          <cell r="I45">
            <v>0</v>
          </cell>
          <cell r="J45">
            <v>31.53</v>
          </cell>
          <cell r="K45">
            <v>2.77</v>
          </cell>
          <cell r="L45">
            <v>2.31</v>
          </cell>
          <cell r="M45">
            <v>0</v>
          </cell>
          <cell r="N45">
            <v>0.47</v>
          </cell>
          <cell r="O45">
            <v>0</v>
          </cell>
          <cell r="P45">
            <v>0</v>
          </cell>
          <cell r="Q45">
            <v>0</v>
          </cell>
          <cell r="R45">
            <v>3.3</v>
          </cell>
        </row>
        <row r="46">
          <cell r="E46">
            <v>3.4</v>
          </cell>
          <cell r="F46">
            <v>17.8</v>
          </cell>
          <cell r="G46">
            <v>5.76</v>
          </cell>
          <cell r="H46">
            <v>3.03</v>
          </cell>
          <cell r="I46">
            <v>0</v>
          </cell>
          <cell r="J46">
            <v>33.15</v>
          </cell>
          <cell r="K46">
            <v>2.84</v>
          </cell>
          <cell r="L46">
            <v>2.38</v>
          </cell>
          <cell r="M46">
            <v>0</v>
          </cell>
          <cell r="N46">
            <v>0.47</v>
          </cell>
          <cell r="O46">
            <v>0</v>
          </cell>
          <cell r="P46">
            <v>0</v>
          </cell>
          <cell r="Q46">
            <v>0</v>
          </cell>
          <cell r="R46">
            <v>3.4</v>
          </cell>
        </row>
        <row r="47">
          <cell r="E47">
            <v>3.5</v>
          </cell>
          <cell r="F47">
            <v>18</v>
          </cell>
          <cell r="G47">
            <v>7.82</v>
          </cell>
          <cell r="H47">
            <v>3.5</v>
          </cell>
          <cell r="I47">
            <v>0</v>
          </cell>
          <cell r="J47">
            <v>29.63</v>
          </cell>
          <cell r="K47">
            <v>2.91</v>
          </cell>
          <cell r="L47">
            <v>2.4500000000000002</v>
          </cell>
          <cell r="M47">
            <v>2.64</v>
          </cell>
          <cell r="N47">
            <v>0.47</v>
          </cell>
          <cell r="O47">
            <v>2.64</v>
          </cell>
          <cell r="P47">
            <v>0.38</v>
          </cell>
          <cell r="Q47">
            <v>1.01</v>
          </cell>
          <cell r="R47">
            <v>3.05</v>
          </cell>
        </row>
        <row r="48">
          <cell r="E48">
            <v>3.6</v>
          </cell>
          <cell r="F48">
            <v>18.399999999999999</v>
          </cell>
          <cell r="G48">
            <v>7.94</v>
          </cell>
          <cell r="H48">
            <v>3.7</v>
          </cell>
          <cell r="I48">
            <v>0</v>
          </cell>
          <cell r="J48">
            <v>31.17</v>
          </cell>
          <cell r="K48">
            <v>2.98</v>
          </cell>
          <cell r="L48">
            <v>2.52</v>
          </cell>
          <cell r="M48">
            <v>2.64</v>
          </cell>
          <cell r="N48">
            <v>0.47</v>
          </cell>
          <cell r="O48">
            <v>2.8</v>
          </cell>
          <cell r="P48">
            <v>0.38</v>
          </cell>
          <cell r="Q48">
            <v>1.01</v>
          </cell>
          <cell r="R48">
            <v>3.15</v>
          </cell>
        </row>
        <row r="49">
          <cell r="E49">
            <v>3.7</v>
          </cell>
          <cell r="F49">
            <v>18.8</v>
          </cell>
          <cell r="G49">
            <v>8.06</v>
          </cell>
          <cell r="H49">
            <v>3.91</v>
          </cell>
          <cell r="I49">
            <v>0</v>
          </cell>
          <cell r="J49">
            <v>32.78</v>
          </cell>
          <cell r="K49">
            <v>3.04</v>
          </cell>
          <cell r="L49">
            <v>2.58</v>
          </cell>
          <cell r="M49">
            <v>2.64</v>
          </cell>
          <cell r="N49">
            <v>0.47</v>
          </cell>
          <cell r="O49">
            <v>2.95</v>
          </cell>
          <cell r="P49">
            <v>0.38</v>
          </cell>
          <cell r="Q49">
            <v>1.01</v>
          </cell>
          <cell r="R49">
            <v>3.25</v>
          </cell>
        </row>
        <row r="50">
          <cell r="E50">
            <v>3.8</v>
          </cell>
          <cell r="F50">
            <v>19.2</v>
          </cell>
          <cell r="G50">
            <v>8.18</v>
          </cell>
          <cell r="H50">
            <v>4.1100000000000003</v>
          </cell>
          <cell r="I50">
            <v>0</v>
          </cell>
          <cell r="J50">
            <v>34.4</v>
          </cell>
          <cell r="K50">
            <v>3.11</v>
          </cell>
          <cell r="L50">
            <v>2.65</v>
          </cell>
          <cell r="M50">
            <v>2.64</v>
          </cell>
          <cell r="N50">
            <v>0.47</v>
          </cell>
          <cell r="O50">
            <v>3.11</v>
          </cell>
          <cell r="P50">
            <v>0.38</v>
          </cell>
          <cell r="Q50">
            <v>1.01</v>
          </cell>
          <cell r="R50">
            <v>3.35</v>
          </cell>
        </row>
        <row r="51">
          <cell r="E51">
            <v>3.9</v>
          </cell>
          <cell r="F51">
            <v>19.600000000000001</v>
          </cell>
          <cell r="G51">
            <v>8.3000000000000007</v>
          </cell>
          <cell r="H51">
            <v>4.32</v>
          </cell>
          <cell r="I51">
            <v>0</v>
          </cell>
          <cell r="J51">
            <v>36.06</v>
          </cell>
          <cell r="K51">
            <v>3.18</v>
          </cell>
          <cell r="L51">
            <v>2.72</v>
          </cell>
          <cell r="M51">
            <v>2.64</v>
          </cell>
          <cell r="N51">
            <v>0.47</v>
          </cell>
          <cell r="O51">
            <v>3.27</v>
          </cell>
          <cell r="P51">
            <v>0.38</v>
          </cell>
          <cell r="Q51">
            <v>1.01</v>
          </cell>
          <cell r="R51">
            <v>3.45</v>
          </cell>
        </row>
        <row r="52">
          <cell r="E52">
            <v>4</v>
          </cell>
          <cell r="F52">
            <v>20</v>
          </cell>
          <cell r="G52">
            <v>8.42</v>
          </cell>
          <cell r="H52">
            <v>4.53</v>
          </cell>
          <cell r="I52">
            <v>0</v>
          </cell>
          <cell r="J52">
            <v>37.79</v>
          </cell>
          <cell r="K52">
            <v>3.24</v>
          </cell>
          <cell r="L52">
            <v>2.78</v>
          </cell>
          <cell r="M52">
            <v>2.64</v>
          </cell>
          <cell r="N52">
            <v>0.47</v>
          </cell>
          <cell r="O52">
            <v>3.42</v>
          </cell>
          <cell r="P52">
            <v>0.38</v>
          </cell>
          <cell r="Q52">
            <v>1.01</v>
          </cell>
          <cell r="R52">
            <v>3.55</v>
          </cell>
        </row>
        <row r="53">
          <cell r="E53">
            <v>4.0999999999999996</v>
          </cell>
          <cell r="F53">
            <v>20.399999999999999</v>
          </cell>
          <cell r="G53">
            <v>8.5399999999999991</v>
          </cell>
          <cell r="H53">
            <v>4.75</v>
          </cell>
          <cell r="I53">
            <v>0</v>
          </cell>
          <cell r="J53">
            <v>39.53</v>
          </cell>
          <cell r="K53">
            <v>3.31</v>
          </cell>
          <cell r="L53">
            <v>2.85</v>
          </cell>
          <cell r="M53">
            <v>2.64</v>
          </cell>
          <cell r="N53">
            <v>0.47</v>
          </cell>
          <cell r="O53">
            <v>3.58</v>
          </cell>
          <cell r="P53">
            <v>0.38</v>
          </cell>
          <cell r="Q53">
            <v>1.01</v>
          </cell>
          <cell r="R53">
            <v>3.65</v>
          </cell>
        </row>
        <row r="54">
          <cell r="E54">
            <v>4.2</v>
          </cell>
          <cell r="F54">
            <v>20.8</v>
          </cell>
          <cell r="G54">
            <v>8.66</v>
          </cell>
          <cell r="H54">
            <v>4.96</v>
          </cell>
          <cell r="I54">
            <v>0</v>
          </cell>
          <cell r="J54">
            <v>41.31</v>
          </cell>
          <cell r="K54">
            <v>3.38</v>
          </cell>
          <cell r="L54">
            <v>2.92</v>
          </cell>
          <cell r="M54">
            <v>2.64</v>
          </cell>
          <cell r="N54">
            <v>0.47</v>
          </cell>
          <cell r="O54">
            <v>3.74</v>
          </cell>
          <cell r="P54">
            <v>0.38</v>
          </cell>
          <cell r="Q54">
            <v>1.01</v>
          </cell>
          <cell r="R54">
            <v>3.75</v>
          </cell>
        </row>
        <row r="55">
          <cell r="E55">
            <v>4.3</v>
          </cell>
          <cell r="F55">
            <v>21.2</v>
          </cell>
          <cell r="G55">
            <v>8.7799999999999994</v>
          </cell>
          <cell r="H55">
            <v>5.18</v>
          </cell>
          <cell r="I55">
            <v>0</v>
          </cell>
          <cell r="J55">
            <v>43.13</v>
          </cell>
          <cell r="K55">
            <v>3.45</v>
          </cell>
          <cell r="L55">
            <v>2.99</v>
          </cell>
          <cell r="M55">
            <v>2.64</v>
          </cell>
          <cell r="N55">
            <v>0.47</v>
          </cell>
          <cell r="O55">
            <v>3.9</v>
          </cell>
          <cell r="P55">
            <v>0.38</v>
          </cell>
          <cell r="Q55">
            <v>1.01</v>
          </cell>
          <cell r="R55">
            <v>3.85</v>
          </cell>
        </row>
        <row r="56">
          <cell r="E56">
            <v>4.4000000000000004</v>
          </cell>
          <cell r="F56">
            <v>21.6</v>
          </cell>
          <cell r="G56">
            <v>8.9</v>
          </cell>
          <cell r="H56">
            <v>5.4</v>
          </cell>
          <cell r="I56">
            <v>0</v>
          </cell>
          <cell r="J56">
            <v>45.02</v>
          </cell>
          <cell r="K56">
            <v>3.51</v>
          </cell>
          <cell r="L56">
            <v>3.05</v>
          </cell>
          <cell r="M56">
            <v>2.64</v>
          </cell>
          <cell r="N56">
            <v>0.47</v>
          </cell>
          <cell r="O56">
            <v>4.05</v>
          </cell>
          <cell r="P56">
            <v>0.38</v>
          </cell>
          <cell r="Q56">
            <v>1.01</v>
          </cell>
          <cell r="R56">
            <v>3.95</v>
          </cell>
        </row>
        <row r="57">
          <cell r="E57">
            <v>4.5</v>
          </cell>
          <cell r="F57">
            <v>22</v>
          </cell>
          <cell r="G57">
            <v>9.02</v>
          </cell>
          <cell r="H57">
            <v>5.63</v>
          </cell>
          <cell r="I57">
            <v>0</v>
          </cell>
          <cell r="J57">
            <v>46.92</v>
          </cell>
          <cell r="K57">
            <v>3.58</v>
          </cell>
          <cell r="L57">
            <v>3.12</v>
          </cell>
          <cell r="M57">
            <v>2.64</v>
          </cell>
          <cell r="N57">
            <v>0.47</v>
          </cell>
          <cell r="O57">
            <v>4.21</v>
          </cell>
          <cell r="P57">
            <v>0.38</v>
          </cell>
          <cell r="Q57">
            <v>1.01</v>
          </cell>
          <cell r="R57">
            <v>4.05</v>
          </cell>
        </row>
        <row r="58">
          <cell r="E58">
            <v>4.5999999999999996</v>
          </cell>
          <cell r="F58">
            <v>22.4</v>
          </cell>
          <cell r="G58">
            <v>9.14</v>
          </cell>
          <cell r="H58">
            <v>5.85</v>
          </cell>
          <cell r="I58">
            <v>0</v>
          </cell>
          <cell r="J58">
            <v>48.86</v>
          </cell>
          <cell r="K58">
            <v>3.65</v>
          </cell>
          <cell r="L58">
            <v>3.19</v>
          </cell>
          <cell r="M58">
            <v>2.64</v>
          </cell>
          <cell r="N58">
            <v>0.47</v>
          </cell>
          <cell r="O58">
            <v>4.37</v>
          </cell>
          <cell r="P58">
            <v>0.38</v>
          </cell>
          <cell r="Q58">
            <v>1.01</v>
          </cell>
          <cell r="R58">
            <v>4.1500000000000004</v>
          </cell>
        </row>
        <row r="59">
          <cell r="E59">
            <v>4.7</v>
          </cell>
          <cell r="F59">
            <v>22.8</v>
          </cell>
          <cell r="G59">
            <v>9.26</v>
          </cell>
          <cell r="H59">
            <v>6.08</v>
          </cell>
          <cell r="I59">
            <v>0</v>
          </cell>
          <cell r="J59">
            <v>50.86</v>
          </cell>
          <cell r="K59">
            <v>3.71</v>
          </cell>
          <cell r="L59">
            <v>3.25</v>
          </cell>
          <cell r="M59">
            <v>2.64</v>
          </cell>
          <cell r="N59">
            <v>0.47</v>
          </cell>
          <cell r="O59">
            <v>4.53</v>
          </cell>
          <cell r="P59">
            <v>0.38</v>
          </cell>
          <cell r="Q59">
            <v>1.01</v>
          </cell>
          <cell r="R59">
            <v>4.25</v>
          </cell>
        </row>
        <row r="60">
          <cell r="E60">
            <v>4.8</v>
          </cell>
          <cell r="F60">
            <v>23.2</v>
          </cell>
          <cell r="G60">
            <v>9.3800000000000008</v>
          </cell>
          <cell r="H60">
            <v>6.31</v>
          </cell>
          <cell r="I60">
            <v>0</v>
          </cell>
          <cell r="J60">
            <v>52.89</v>
          </cell>
          <cell r="K60">
            <v>3.78</v>
          </cell>
          <cell r="L60">
            <v>3.32</v>
          </cell>
          <cell r="M60">
            <v>2.64</v>
          </cell>
          <cell r="N60">
            <v>0.47</v>
          </cell>
          <cell r="O60">
            <v>4.68</v>
          </cell>
          <cell r="P60">
            <v>0.38</v>
          </cell>
          <cell r="Q60">
            <v>1.01</v>
          </cell>
          <cell r="R60">
            <v>4.3499999999999996</v>
          </cell>
        </row>
        <row r="61">
          <cell r="E61">
            <v>4.9000000000000004</v>
          </cell>
          <cell r="F61">
            <v>23.6</v>
          </cell>
          <cell r="G61">
            <v>9.5</v>
          </cell>
          <cell r="H61">
            <v>6.55</v>
          </cell>
          <cell r="I61">
            <v>0</v>
          </cell>
          <cell r="J61">
            <v>54.95</v>
          </cell>
          <cell r="K61">
            <v>3.85</v>
          </cell>
          <cell r="L61">
            <v>3.39</v>
          </cell>
          <cell r="M61">
            <v>2.64</v>
          </cell>
          <cell r="N61">
            <v>0.47</v>
          </cell>
          <cell r="O61">
            <v>4.84</v>
          </cell>
          <cell r="P61">
            <v>0.38</v>
          </cell>
          <cell r="Q61">
            <v>1.01</v>
          </cell>
          <cell r="R61">
            <v>4.45</v>
          </cell>
        </row>
        <row r="62">
          <cell r="E62">
            <v>5</v>
          </cell>
          <cell r="F62">
            <v>24</v>
          </cell>
          <cell r="G62">
            <v>9.6199999999999992</v>
          </cell>
          <cell r="H62">
            <v>6.78</v>
          </cell>
          <cell r="I62">
            <v>0</v>
          </cell>
          <cell r="J62">
            <v>57.05</v>
          </cell>
          <cell r="K62">
            <v>3.92</v>
          </cell>
          <cell r="L62">
            <v>3.46</v>
          </cell>
          <cell r="M62">
            <v>2.64</v>
          </cell>
          <cell r="N62">
            <v>0.47</v>
          </cell>
          <cell r="O62">
            <v>5</v>
          </cell>
          <cell r="P62">
            <v>0.38</v>
          </cell>
          <cell r="Q62">
            <v>1.01</v>
          </cell>
          <cell r="R62">
            <v>4.55</v>
          </cell>
        </row>
        <row r="63">
          <cell r="E63">
            <v>5.0999999999999996</v>
          </cell>
          <cell r="F63">
            <v>24.4</v>
          </cell>
          <cell r="G63">
            <v>9.74</v>
          </cell>
          <cell r="H63">
            <v>7.01</v>
          </cell>
          <cell r="I63">
            <v>0</v>
          </cell>
          <cell r="J63">
            <v>59.21</v>
          </cell>
          <cell r="K63">
            <v>3.98</v>
          </cell>
          <cell r="L63">
            <v>3.52</v>
          </cell>
          <cell r="M63">
            <v>2.64</v>
          </cell>
          <cell r="N63">
            <v>0.47</v>
          </cell>
          <cell r="O63">
            <v>5.16</v>
          </cell>
          <cell r="P63">
            <v>0.38</v>
          </cell>
          <cell r="Q63">
            <v>1.01</v>
          </cell>
          <cell r="R63">
            <v>4.6500000000000004</v>
          </cell>
        </row>
        <row r="64">
          <cell r="E64">
            <v>5.2</v>
          </cell>
          <cell r="F64">
            <v>24.8</v>
          </cell>
          <cell r="G64">
            <v>9.86</v>
          </cell>
          <cell r="H64">
            <v>7.26</v>
          </cell>
          <cell r="I64">
            <v>0</v>
          </cell>
          <cell r="J64">
            <v>61.4</v>
          </cell>
          <cell r="K64">
            <v>4.05</v>
          </cell>
          <cell r="L64">
            <v>3.59</v>
          </cell>
          <cell r="M64">
            <v>2.64</v>
          </cell>
          <cell r="N64">
            <v>0.47</v>
          </cell>
          <cell r="O64">
            <v>5.31</v>
          </cell>
          <cell r="P64">
            <v>0.38</v>
          </cell>
          <cell r="Q64">
            <v>1.01</v>
          </cell>
          <cell r="R64">
            <v>4.75</v>
          </cell>
        </row>
        <row r="65">
          <cell r="E65">
            <v>5.3</v>
          </cell>
          <cell r="F65">
            <v>25.2</v>
          </cell>
          <cell r="G65">
            <v>9.98</v>
          </cell>
          <cell r="H65">
            <v>7.51</v>
          </cell>
          <cell r="I65">
            <v>0</v>
          </cell>
          <cell r="J65">
            <v>63.62</v>
          </cell>
          <cell r="K65">
            <v>4.12</v>
          </cell>
          <cell r="L65">
            <v>3.66</v>
          </cell>
          <cell r="M65">
            <v>2.64</v>
          </cell>
          <cell r="N65">
            <v>0.47</v>
          </cell>
          <cell r="O65">
            <v>5.47</v>
          </cell>
          <cell r="P65">
            <v>0.38</v>
          </cell>
          <cell r="Q65">
            <v>1.01</v>
          </cell>
          <cell r="R65">
            <v>4.8499999999999996</v>
          </cell>
        </row>
        <row r="66">
          <cell r="E66">
            <v>5.4</v>
          </cell>
          <cell r="F66">
            <v>25.6</v>
          </cell>
          <cell r="G66">
            <v>10.1</v>
          </cell>
          <cell r="H66">
            <v>7.75</v>
          </cell>
          <cell r="I66">
            <v>0</v>
          </cell>
          <cell r="J66">
            <v>65.89</v>
          </cell>
          <cell r="K66">
            <v>4.1900000000000004</v>
          </cell>
          <cell r="L66">
            <v>3.72</v>
          </cell>
          <cell r="M66">
            <v>2.64</v>
          </cell>
          <cell r="N66">
            <v>0.47</v>
          </cell>
          <cell r="O66">
            <v>5.63</v>
          </cell>
          <cell r="P66">
            <v>0.38</v>
          </cell>
          <cell r="Q66">
            <v>1.01</v>
          </cell>
          <cell r="R66">
            <v>4.95</v>
          </cell>
        </row>
        <row r="67">
          <cell r="E67">
            <v>5.5</v>
          </cell>
          <cell r="F67">
            <v>26</v>
          </cell>
          <cell r="G67">
            <v>10.220000000000001</v>
          </cell>
          <cell r="H67">
            <v>8</v>
          </cell>
          <cell r="I67">
            <v>0</v>
          </cell>
          <cell r="J67">
            <v>68.2</v>
          </cell>
          <cell r="K67">
            <v>4.25</v>
          </cell>
          <cell r="L67">
            <v>3.79</v>
          </cell>
          <cell r="M67">
            <v>2.64</v>
          </cell>
          <cell r="N67">
            <v>0.47</v>
          </cell>
          <cell r="O67">
            <v>5.79</v>
          </cell>
          <cell r="P67">
            <v>0.38</v>
          </cell>
          <cell r="Q67">
            <v>1.01</v>
          </cell>
          <cell r="R67">
            <v>5.05</v>
          </cell>
        </row>
        <row r="68">
          <cell r="E68">
            <v>5.6</v>
          </cell>
          <cell r="F68">
            <v>26.4</v>
          </cell>
          <cell r="G68">
            <v>10.34</v>
          </cell>
          <cell r="H68">
            <v>8.25</v>
          </cell>
          <cell r="I68">
            <v>0</v>
          </cell>
          <cell r="J68">
            <v>70.55</v>
          </cell>
          <cell r="K68">
            <v>4.32</v>
          </cell>
          <cell r="L68">
            <v>3.86</v>
          </cell>
          <cell r="M68">
            <v>2.64</v>
          </cell>
          <cell r="N68">
            <v>0.47</v>
          </cell>
          <cell r="O68">
            <v>5.94</v>
          </cell>
          <cell r="P68">
            <v>0.38</v>
          </cell>
          <cell r="Q68">
            <v>1.01</v>
          </cell>
          <cell r="R68">
            <v>5.15</v>
          </cell>
        </row>
        <row r="69">
          <cell r="E69">
            <v>5.7</v>
          </cell>
          <cell r="F69">
            <v>26.8</v>
          </cell>
          <cell r="G69">
            <v>10.46</v>
          </cell>
          <cell r="H69">
            <v>8.51</v>
          </cell>
          <cell r="I69">
            <v>0</v>
          </cell>
          <cell r="J69">
            <v>72.95</v>
          </cell>
          <cell r="K69">
            <v>4.38</v>
          </cell>
          <cell r="L69">
            <v>3.92</v>
          </cell>
          <cell r="M69">
            <v>2.64</v>
          </cell>
          <cell r="N69">
            <v>0.47</v>
          </cell>
          <cell r="O69">
            <v>6.1</v>
          </cell>
          <cell r="P69">
            <v>0.38</v>
          </cell>
          <cell r="Q69">
            <v>1.01</v>
          </cell>
          <cell r="R69">
            <v>5.25</v>
          </cell>
        </row>
        <row r="70">
          <cell r="E70">
            <v>5.8</v>
          </cell>
          <cell r="F70">
            <v>27.2</v>
          </cell>
          <cell r="G70">
            <v>10.58</v>
          </cell>
          <cell r="H70">
            <v>8.76</v>
          </cell>
          <cell r="I70">
            <v>0</v>
          </cell>
          <cell r="J70">
            <v>75.37</v>
          </cell>
          <cell r="K70">
            <v>4.45</v>
          </cell>
          <cell r="L70">
            <v>3.99</v>
          </cell>
          <cell r="M70">
            <v>2.64</v>
          </cell>
          <cell r="N70">
            <v>0.47</v>
          </cell>
          <cell r="O70">
            <v>6.26</v>
          </cell>
          <cell r="P70">
            <v>0.38</v>
          </cell>
          <cell r="Q70">
            <v>1.01</v>
          </cell>
          <cell r="R70">
            <v>5.35</v>
          </cell>
        </row>
        <row r="71">
          <cell r="E71">
            <v>5.9</v>
          </cell>
          <cell r="F71">
            <v>27.6</v>
          </cell>
          <cell r="G71">
            <v>10.7</v>
          </cell>
          <cell r="H71">
            <v>9.02</v>
          </cell>
          <cell r="I71">
            <v>0</v>
          </cell>
          <cell r="J71">
            <v>77.83</v>
          </cell>
          <cell r="K71">
            <v>4.5199999999999996</v>
          </cell>
          <cell r="L71">
            <v>4.0599999999999996</v>
          </cell>
          <cell r="M71">
            <v>2.64</v>
          </cell>
          <cell r="N71">
            <v>0.47</v>
          </cell>
          <cell r="O71">
            <v>6.42</v>
          </cell>
          <cell r="P71">
            <v>0.38</v>
          </cell>
          <cell r="Q71">
            <v>1.01</v>
          </cell>
          <cell r="R71">
            <v>5.45</v>
          </cell>
        </row>
        <row r="72">
          <cell r="E72">
            <v>6</v>
          </cell>
          <cell r="F72">
            <v>28</v>
          </cell>
          <cell r="G72">
            <v>10.82</v>
          </cell>
          <cell r="H72">
            <v>9.2799999999999994</v>
          </cell>
          <cell r="I72">
            <v>0</v>
          </cell>
          <cell r="J72">
            <v>80.34</v>
          </cell>
          <cell r="K72">
            <v>4.59</v>
          </cell>
          <cell r="L72">
            <v>4.13</v>
          </cell>
          <cell r="M72">
            <v>2.64</v>
          </cell>
          <cell r="N72">
            <v>0.47</v>
          </cell>
          <cell r="O72">
            <v>6.57</v>
          </cell>
          <cell r="P72">
            <v>0.38</v>
          </cell>
          <cell r="Q72">
            <v>1.01</v>
          </cell>
          <cell r="R72">
            <v>5.55</v>
          </cell>
        </row>
        <row r="73">
          <cell r="E73">
            <v>6.1</v>
          </cell>
          <cell r="F73">
            <v>28.4</v>
          </cell>
          <cell r="G73">
            <v>10.94</v>
          </cell>
          <cell r="H73">
            <v>9.5500000000000007</v>
          </cell>
          <cell r="I73">
            <v>0</v>
          </cell>
          <cell r="J73">
            <v>82.9</v>
          </cell>
          <cell r="K73">
            <v>4.6500000000000004</v>
          </cell>
          <cell r="L73">
            <v>4.1900000000000004</v>
          </cell>
          <cell r="M73">
            <v>2.64</v>
          </cell>
          <cell r="N73">
            <v>0.47</v>
          </cell>
          <cell r="O73">
            <v>6.73</v>
          </cell>
          <cell r="P73">
            <v>0.38</v>
          </cell>
          <cell r="Q73">
            <v>1.01</v>
          </cell>
          <cell r="R73">
            <v>5.65</v>
          </cell>
        </row>
        <row r="74">
          <cell r="E74">
            <v>6.2</v>
          </cell>
          <cell r="F74">
            <v>28.8</v>
          </cell>
          <cell r="G74">
            <v>11.06</v>
          </cell>
          <cell r="H74">
            <v>9.81</v>
          </cell>
          <cell r="I74">
            <v>0</v>
          </cell>
          <cell r="J74">
            <v>85.48</v>
          </cell>
          <cell r="K74">
            <v>4.72</v>
          </cell>
          <cell r="L74">
            <v>4.26</v>
          </cell>
          <cell r="M74">
            <v>2.64</v>
          </cell>
          <cell r="N74">
            <v>0.47</v>
          </cell>
          <cell r="O74">
            <v>6.89</v>
          </cell>
          <cell r="P74">
            <v>0.38</v>
          </cell>
          <cell r="Q74">
            <v>1.01</v>
          </cell>
          <cell r="R74">
            <v>5.75</v>
          </cell>
        </row>
        <row r="75">
          <cell r="E75">
            <v>6.3</v>
          </cell>
          <cell r="F75">
            <v>29.2</v>
          </cell>
          <cell r="G75">
            <v>11.18</v>
          </cell>
          <cell r="H75">
            <v>10.08</v>
          </cell>
          <cell r="I75">
            <v>0</v>
          </cell>
          <cell r="J75">
            <v>88.1</v>
          </cell>
          <cell r="K75">
            <v>4.79</v>
          </cell>
          <cell r="L75">
            <v>4.33</v>
          </cell>
          <cell r="M75">
            <v>2.64</v>
          </cell>
          <cell r="N75">
            <v>0.47</v>
          </cell>
          <cell r="O75">
            <v>7.05</v>
          </cell>
          <cell r="P75">
            <v>0.38</v>
          </cell>
          <cell r="Q75">
            <v>1.01</v>
          </cell>
          <cell r="R75">
            <v>5.85</v>
          </cell>
        </row>
        <row r="76">
          <cell r="E76">
            <v>6.4</v>
          </cell>
          <cell r="F76">
            <v>29.6</v>
          </cell>
          <cell r="G76">
            <v>11.3</v>
          </cell>
          <cell r="H76">
            <v>10.35</v>
          </cell>
          <cell r="I76">
            <v>0</v>
          </cell>
          <cell r="J76">
            <v>90.79</v>
          </cell>
          <cell r="K76">
            <v>4.8499999999999996</v>
          </cell>
          <cell r="L76">
            <v>4.3899999999999997</v>
          </cell>
          <cell r="M76">
            <v>2.64</v>
          </cell>
          <cell r="N76">
            <v>0.47</v>
          </cell>
          <cell r="O76">
            <v>7.2</v>
          </cell>
          <cell r="P76">
            <v>0.38</v>
          </cell>
          <cell r="Q76">
            <v>1.01</v>
          </cell>
          <cell r="R76">
            <v>5.95</v>
          </cell>
        </row>
        <row r="77">
          <cell r="E77">
            <v>6.5</v>
          </cell>
          <cell r="F77">
            <v>30</v>
          </cell>
          <cell r="G77">
            <v>11.42</v>
          </cell>
          <cell r="H77">
            <v>10.63</v>
          </cell>
          <cell r="I77">
            <v>0</v>
          </cell>
          <cell r="J77">
            <v>93.5</v>
          </cell>
          <cell r="K77">
            <v>4.92</v>
          </cell>
          <cell r="L77">
            <v>4.46</v>
          </cell>
          <cell r="M77">
            <v>2.64</v>
          </cell>
          <cell r="N77">
            <v>0.47</v>
          </cell>
          <cell r="O77">
            <v>7.36</v>
          </cell>
          <cell r="P77">
            <v>0.38</v>
          </cell>
          <cell r="Q77">
            <v>1.01</v>
          </cell>
          <cell r="R77">
            <v>6.05</v>
          </cell>
        </row>
        <row r="78">
          <cell r="E78">
            <v>6.6</v>
          </cell>
          <cell r="F78">
            <v>30.4</v>
          </cell>
          <cell r="G78">
            <v>11.54</v>
          </cell>
          <cell r="H78">
            <v>10.9</v>
          </cell>
          <cell r="I78">
            <v>0</v>
          </cell>
          <cell r="J78">
            <v>96.23</v>
          </cell>
          <cell r="K78">
            <v>4.99</v>
          </cell>
          <cell r="L78">
            <v>4.53</v>
          </cell>
          <cell r="M78">
            <v>2.64</v>
          </cell>
          <cell r="N78">
            <v>0.47</v>
          </cell>
          <cell r="O78">
            <v>7.52</v>
          </cell>
          <cell r="P78">
            <v>0.38</v>
          </cell>
          <cell r="Q78">
            <v>1.01</v>
          </cell>
          <cell r="R78">
            <v>6.15</v>
          </cell>
        </row>
        <row r="79">
          <cell r="E79">
            <v>6.7</v>
          </cell>
          <cell r="F79">
            <v>30.8</v>
          </cell>
          <cell r="G79">
            <v>11.66</v>
          </cell>
          <cell r="H79">
            <v>11.18</v>
          </cell>
          <cell r="I79">
            <v>0</v>
          </cell>
          <cell r="J79">
            <v>99.01</v>
          </cell>
          <cell r="K79">
            <v>5.0599999999999996</v>
          </cell>
          <cell r="L79">
            <v>4.5999999999999996</v>
          </cell>
          <cell r="M79">
            <v>2.64</v>
          </cell>
          <cell r="N79">
            <v>0.47</v>
          </cell>
          <cell r="O79">
            <v>7.68</v>
          </cell>
          <cell r="P79">
            <v>0.38</v>
          </cell>
          <cell r="Q79">
            <v>1.01</v>
          </cell>
          <cell r="R79">
            <v>6.25</v>
          </cell>
        </row>
        <row r="80">
          <cell r="E80">
            <v>6.8</v>
          </cell>
          <cell r="F80">
            <v>31.2</v>
          </cell>
          <cell r="G80">
            <v>11.78</v>
          </cell>
          <cell r="H80">
            <v>11.46</v>
          </cell>
          <cell r="I80">
            <v>0</v>
          </cell>
          <cell r="J80">
            <v>101.86</v>
          </cell>
          <cell r="K80">
            <v>5.12</v>
          </cell>
          <cell r="L80">
            <v>4.66</v>
          </cell>
          <cell r="M80">
            <v>2.64</v>
          </cell>
          <cell r="N80">
            <v>0.47</v>
          </cell>
          <cell r="O80">
            <v>7.83</v>
          </cell>
          <cell r="P80">
            <v>0.38</v>
          </cell>
          <cell r="Q80">
            <v>1.01</v>
          </cell>
          <cell r="R80">
            <v>6.35</v>
          </cell>
        </row>
        <row r="81">
          <cell r="E81">
            <v>6.9</v>
          </cell>
          <cell r="F81">
            <v>31.6</v>
          </cell>
          <cell r="G81">
            <v>11.9</v>
          </cell>
          <cell r="H81">
            <v>11.75</v>
          </cell>
          <cell r="I81">
            <v>0</v>
          </cell>
          <cell r="J81">
            <v>104.72</v>
          </cell>
          <cell r="K81">
            <v>5.19</v>
          </cell>
          <cell r="L81">
            <v>4.7300000000000004</v>
          </cell>
          <cell r="M81">
            <v>2.64</v>
          </cell>
          <cell r="N81">
            <v>0.47</v>
          </cell>
          <cell r="O81">
            <v>7.99</v>
          </cell>
          <cell r="P81">
            <v>0.38</v>
          </cell>
          <cell r="Q81">
            <v>1.01</v>
          </cell>
          <cell r="R81">
            <v>6.45</v>
          </cell>
        </row>
        <row r="82">
          <cell r="E82">
            <v>7</v>
          </cell>
          <cell r="F82">
            <v>32</v>
          </cell>
          <cell r="G82">
            <v>12.02</v>
          </cell>
          <cell r="H82">
            <v>12.03</v>
          </cell>
          <cell r="I82">
            <v>0</v>
          </cell>
          <cell r="J82">
            <v>107.62</v>
          </cell>
          <cell r="K82">
            <v>5.26</v>
          </cell>
          <cell r="L82">
            <v>4.8</v>
          </cell>
          <cell r="M82">
            <v>2.64</v>
          </cell>
          <cell r="N82">
            <v>0.47</v>
          </cell>
          <cell r="O82">
            <v>8.15</v>
          </cell>
          <cell r="P82">
            <v>0.38</v>
          </cell>
          <cell r="Q82">
            <v>1.01</v>
          </cell>
          <cell r="R82">
            <v>6.55</v>
          </cell>
        </row>
        <row r="83">
          <cell r="E83">
            <v>7.1</v>
          </cell>
          <cell r="F83">
            <v>32.4</v>
          </cell>
          <cell r="G83">
            <v>12.14</v>
          </cell>
          <cell r="H83">
            <v>12.32</v>
          </cell>
          <cell r="I83">
            <v>0</v>
          </cell>
          <cell r="J83">
            <v>110.58</v>
          </cell>
          <cell r="K83">
            <v>5.32</v>
          </cell>
          <cell r="L83">
            <v>4.8600000000000003</v>
          </cell>
          <cell r="M83">
            <v>2.64</v>
          </cell>
          <cell r="N83">
            <v>0.47</v>
          </cell>
          <cell r="O83">
            <v>8.31</v>
          </cell>
          <cell r="P83">
            <v>0.38</v>
          </cell>
          <cell r="Q83">
            <v>1.01</v>
          </cell>
          <cell r="R83">
            <v>6.65</v>
          </cell>
        </row>
        <row r="84">
          <cell r="E84">
            <v>7.2</v>
          </cell>
          <cell r="F84">
            <v>32.799999999999997</v>
          </cell>
          <cell r="G84">
            <v>12.26</v>
          </cell>
          <cell r="H84">
            <v>12.61</v>
          </cell>
          <cell r="I84">
            <v>0</v>
          </cell>
          <cell r="J84">
            <v>113.57</v>
          </cell>
          <cell r="K84">
            <v>5.39</v>
          </cell>
          <cell r="L84">
            <v>4.93</v>
          </cell>
          <cell r="M84">
            <v>2.64</v>
          </cell>
          <cell r="N84">
            <v>0.47</v>
          </cell>
          <cell r="O84">
            <v>8.4600000000000009</v>
          </cell>
          <cell r="P84">
            <v>0.38</v>
          </cell>
          <cell r="Q84">
            <v>1.01</v>
          </cell>
          <cell r="R84">
            <v>6.75</v>
          </cell>
        </row>
        <row r="85">
          <cell r="E85">
            <v>7.3</v>
          </cell>
          <cell r="F85">
            <v>33.200000000000003</v>
          </cell>
          <cell r="G85">
            <v>12.38</v>
          </cell>
          <cell r="H85">
            <v>12.91</v>
          </cell>
          <cell r="I85">
            <v>0</v>
          </cell>
          <cell r="J85">
            <v>116.59</v>
          </cell>
          <cell r="K85">
            <v>5.46</v>
          </cell>
          <cell r="L85">
            <v>5</v>
          </cell>
          <cell r="M85">
            <v>2.64</v>
          </cell>
          <cell r="N85">
            <v>0.47</v>
          </cell>
          <cell r="O85">
            <v>8.6199999999999992</v>
          </cell>
          <cell r="P85">
            <v>0.38</v>
          </cell>
          <cell r="Q85">
            <v>1.01</v>
          </cell>
          <cell r="R85">
            <v>6.85</v>
          </cell>
        </row>
        <row r="86">
          <cell r="E86">
            <v>7.4</v>
          </cell>
          <cell r="F86">
            <v>33.6</v>
          </cell>
          <cell r="G86">
            <v>12.5</v>
          </cell>
          <cell r="H86">
            <v>13.2</v>
          </cell>
          <cell r="I86">
            <v>0</v>
          </cell>
          <cell r="J86">
            <v>119.65</v>
          </cell>
          <cell r="K86">
            <v>5.53</v>
          </cell>
          <cell r="L86">
            <v>5.07</v>
          </cell>
          <cell r="M86">
            <v>2.64</v>
          </cell>
          <cell r="N86">
            <v>0.47</v>
          </cell>
          <cell r="O86">
            <v>8.7799999999999994</v>
          </cell>
          <cell r="P86">
            <v>0.38</v>
          </cell>
          <cell r="Q86">
            <v>1.01</v>
          </cell>
          <cell r="R86">
            <v>6.95</v>
          </cell>
        </row>
        <row r="87">
          <cell r="E87">
            <v>7.5</v>
          </cell>
          <cell r="F87">
            <v>34</v>
          </cell>
          <cell r="G87">
            <v>12.62</v>
          </cell>
          <cell r="H87">
            <v>13.54</v>
          </cell>
          <cell r="I87">
            <v>34.97</v>
          </cell>
          <cell r="J87">
            <v>82.87</v>
          </cell>
          <cell r="K87">
            <v>5.59</v>
          </cell>
          <cell r="L87">
            <v>5.13</v>
          </cell>
          <cell r="M87">
            <v>2.64</v>
          </cell>
          <cell r="N87">
            <v>0.47</v>
          </cell>
          <cell r="O87">
            <v>13.87</v>
          </cell>
          <cell r="P87">
            <v>0.38</v>
          </cell>
          <cell r="Q87">
            <v>1.01</v>
          </cell>
          <cell r="R87">
            <v>7.05</v>
          </cell>
        </row>
        <row r="88">
          <cell r="E88">
            <v>7.6</v>
          </cell>
          <cell r="F88">
            <v>34.4</v>
          </cell>
          <cell r="G88">
            <v>12.74</v>
          </cell>
          <cell r="H88">
            <v>13.8</v>
          </cell>
          <cell r="I88">
            <v>35.840000000000003</v>
          </cell>
          <cell r="J88">
            <v>85.07</v>
          </cell>
          <cell r="K88">
            <v>5.66</v>
          </cell>
          <cell r="L88">
            <v>5.2</v>
          </cell>
          <cell r="M88">
            <v>2.64</v>
          </cell>
          <cell r="N88">
            <v>0.47</v>
          </cell>
          <cell r="O88">
            <v>14.1</v>
          </cell>
          <cell r="P88">
            <v>0.38</v>
          </cell>
          <cell r="Q88">
            <v>1.01</v>
          </cell>
          <cell r="R88">
            <v>7.15</v>
          </cell>
        </row>
        <row r="89">
          <cell r="E89">
            <v>7.7</v>
          </cell>
          <cell r="F89">
            <v>34.799999999999997</v>
          </cell>
          <cell r="G89">
            <v>12.86</v>
          </cell>
          <cell r="H89">
            <v>14.11</v>
          </cell>
          <cell r="I89">
            <v>36.729999999999997</v>
          </cell>
          <cell r="J89">
            <v>87.28</v>
          </cell>
          <cell r="K89">
            <v>5.73</v>
          </cell>
          <cell r="L89">
            <v>5.27</v>
          </cell>
          <cell r="M89">
            <v>2.64</v>
          </cell>
          <cell r="N89">
            <v>0.47</v>
          </cell>
          <cell r="O89">
            <v>14.34</v>
          </cell>
          <cell r="P89">
            <v>0.38</v>
          </cell>
          <cell r="Q89">
            <v>1.01</v>
          </cell>
          <cell r="R89">
            <v>7.25</v>
          </cell>
        </row>
        <row r="90">
          <cell r="E90">
            <v>7.8</v>
          </cell>
          <cell r="F90">
            <v>35.200000000000003</v>
          </cell>
          <cell r="G90">
            <v>12.98</v>
          </cell>
          <cell r="H90">
            <v>14.41</v>
          </cell>
          <cell r="I90">
            <v>37.619999999999997</v>
          </cell>
          <cell r="J90">
            <v>89.56</v>
          </cell>
          <cell r="K90">
            <v>5.79</v>
          </cell>
          <cell r="L90">
            <v>5.33</v>
          </cell>
          <cell r="M90">
            <v>2.64</v>
          </cell>
          <cell r="N90">
            <v>0.47</v>
          </cell>
          <cell r="O90">
            <v>14.57</v>
          </cell>
          <cell r="P90">
            <v>0.38</v>
          </cell>
          <cell r="Q90">
            <v>1.01</v>
          </cell>
          <cell r="R90">
            <v>7.35</v>
          </cell>
        </row>
        <row r="91">
          <cell r="E91">
            <v>7.9</v>
          </cell>
          <cell r="F91">
            <v>35.6</v>
          </cell>
          <cell r="G91">
            <v>13.1</v>
          </cell>
          <cell r="H91">
            <v>14.72</v>
          </cell>
          <cell r="I91">
            <v>38.53</v>
          </cell>
          <cell r="J91">
            <v>91.83</v>
          </cell>
          <cell r="K91">
            <v>5.86</v>
          </cell>
          <cell r="L91">
            <v>5.4</v>
          </cell>
          <cell r="M91">
            <v>2.64</v>
          </cell>
          <cell r="N91">
            <v>0.47</v>
          </cell>
          <cell r="O91">
            <v>14.81</v>
          </cell>
          <cell r="P91">
            <v>0.38</v>
          </cell>
          <cell r="Q91">
            <v>1.01</v>
          </cell>
          <cell r="R91">
            <v>7.45</v>
          </cell>
        </row>
        <row r="92">
          <cell r="E92">
            <v>8</v>
          </cell>
          <cell r="F92">
            <v>36</v>
          </cell>
          <cell r="G92">
            <v>13.22</v>
          </cell>
          <cell r="H92">
            <v>15.03</v>
          </cell>
          <cell r="I92">
            <v>39.44</v>
          </cell>
          <cell r="J92">
            <v>94.15</v>
          </cell>
          <cell r="K92">
            <v>5.93</v>
          </cell>
          <cell r="L92">
            <v>5.47</v>
          </cell>
          <cell r="M92">
            <v>2.64</v>
          </cell>
          <cell r="N92">
            <v>0.47</v>
          </cell>
          <cell r="O92">
            <v>15.04</v>
          </cell>
          <cell r="P92">
            <v>0.38</v>
          </cell>
          <cell r="Q92">
            <v>1.01</v>
          </cell>
          <cell r="R92">
            <v>7.55</v>
          </cell>
        </row>
        <row r="93">
          <cell r="E93">
            <v>8.1</v>
          </cell>
          <cell r="F93">
            <v>36.4</v>
          </cell>
          <cell r="G93">
            <v>13.34</v>
          </cell>
          <cell r="H93">
            <v>15.35</v>
          </cell>
          <cell r="I93">
            <v>40.369999999999997</v>
          </cell>
          <cell r="J93">
            <v>96.48</v>
          </cell>
          <cell r="K93">
            <v>6</v>
          </cell>
          <cell r="L93">
            <v>5.54</v>
          </cell>
          <cell r="M93">
            <v>2.64</v>
          </cell>
          <cell r="N93">
            <v>0.47</v>
          </cell>
          <cell r="O93">
            <v>15.28</v>
          </cell>
          <cell r="P93">
            <v>0.38</v>
          </cell>
          <cell r="Q93">
            <v>1.01</v>
          </cell>
          <cell r="R93">
            <v>7.65</v>
          </cell>
        </row>
        <row r="94">
          <cell r="E94">
            <v>8.1999999999999993</v>
          </cell>
          <cell r="F94">
            <v>36.799999999999997</v>
          </cell>
          <cell r="G94">
            <v>13.46</v>
          </cell>
          <cell r="H94">
            <v>15.66</v>
          </cell>
          <cell r="I94">
            <v>41.3</v>
          </cell>
          <cell r="J94">
            <v>98.88</v>
          </cell>
          <cell r="K94">
            <v>6.06</v>
          </cell>
          <cell r="L94">
            <v>5.6</v>
          </cell>
          <cell r="M94">
            <v>2.64</v>
          </cell>
          <cell r="N94">
            <v>0.47</v>
          </cell>
          <cell r="O94">
            <v>15.51</v>
          </cell>
          <cell r="P94">
            <v>0.38</v>
          </cell>
          <cell r="Q94">
            <v>1.01</v>
          </cell>
          <cell r="R94">
            <v>7.75</v>
          </cell>
        </row>
        <row r="95">
          <cell r="E95">
            <v>8.3000000000000007</v>
          </cell>
          <cell r="F95">
            <v>37.200000000000003</v>
          </cell>
          <cell r="G95">
            <v>13.58</v>
          </cell>
          <cell r="H95">
            <v>15.98</v>
          </cell>
          <cell r="I95">
            <v>42.25</v>
          </cell>
          <cell r="J95">
            <v>101.27</v>
          </cell>
          <cell r="K95">
            <v>6.13</v>
          </cell>
          <cell r="L95">
            <v>5.67</v>
          </cell>
          <cell r="M95">
            <v>2.64</v>
          </cell>
          <cell r="N95">
            <v>0.47</v>
          </cell>
          <cell r="O95">
            <v>15.75</v>
          </cell>
          <cell r="P95">
            <v>0.38</v>
          </cell>
          <cell r="Q95">
            <v>1.01</v>
          </cell>
          <cell r="R95">
            <v>7.85</v>
          </cell>
        </row>
        <row r="96">
          <cell r="E96">
            <v>8.4</v>
          </cell>
          <cell r="F96">
            <v>37.6</v>
          </cell>
          <cell r="G96">
            <v>13.7</v>
          </cell>
          <cell r="H96">
            <v>16.3</v>
          </cell>
          <cell r="I96">
            <v>43.2</v>
          </cell>
          <cell r="J96">
            <v>103.71</v>
          </cell>
          <cell r="K96">
            <v>6.2</v>
          </cell>
          <cell r="L96">
            <v>5.74</v>
          </cell>
          <cell r="M96">
            <v>2.64</v>
          </cell>
          <cell r="N96">
            <v>0.47</v>
          </cell>
          <cell r="O96">
            <v>15.98</v>
          </cell>
          <cell r="P96">
            <v>0.38</v>
          </cell>
          <cell r="Q96">
            <v>1.01</v>
          </cell>
          <cell r="R96">
            <v>7.95</v>
          </cell>
        </row>
        <row r="97">
          <cell r="E97">
            <v>8.5</v>
          </cell>
          <cell r="F97">
            <v>38</v>
          </cell>
          <cell r="G97">
            <v>13.82</v>
          </cell>
          <cell r="H97">
            <v>16.63</v>
          </cell>
          <cell r="I97">
            <v>44.17</v>
          </cell>
          <cell r="J97">
            <v>106.18</v>
          </cell>
          <cell r="K97">
            <v>6.26</v>
          </cell>
          <cell r="L97">
            <v>5.8</v>
          </cell>
          <cell r="M97">
            <v>2.64</v>
          </cell>
          <cell r="N97">
            <v>0.47</v>
          </cell>
          <cell r="O97">
            <v>16.22</v>
          </cell>
          <cell r="P97">
            <v>0.38</v>
          </cell>
          <cell r="Q97">
            <v>1.01</v>
          </cell>
          <cell r="R97">
            <v>8.0500000000000007</v>
          </cell>
        </row>
        <row r="98">
          <cell r="E98">
            <v>8.6</v>
          </cell>
          <cell r="F98">
            <v>38.4</v>
          </cell>
          <cell r="G98">
            <v>13.94</v>
          </cell>
          <cell r="H98">
            <v>16.95</v>
          </cell>
          <cell r="I98">
            <v>45.15</v>
          </cell>
          <cell r="J98">
            <v>108.67</v>
          </cell>
          <cell r="K98">
            <v>6.33</v>
          </cell>
          <cell r="L98">
            <v>5.84</v>
          </cell>
          <cell r="M98">
            <v>2.64</v>
          </cell>
          <cell r="N98">
            <v>0.47</v>
          </cell>
          <cell r="O98">
            <v>16.45</v>
          </cell>
          <cell r="P98">
            <v>0.38</v>
          </cell>
          <cell r="Q98">
            <v>1.01</v>
          </cell>
          <cell r="R98">
            <v>8.15</v>
          </cell>
        </row>
        <row r="99">
          <cell r="E99">
            <v>8.6999999999999993</v>
          </cell>
          <cell r="F99">
            <v>38.799999999999997</v>
          </cell>
          <cell r="G99">
            <v>14.06</v>
          </cell>
          <cell r="H99">
            <v>17.25</v>
          </cell>
          <cell r="I99">
            <v>46.13</v>
          </cell>
          <cell r="J99">
            <v>111.19</v>
          </cell>
          <cell r="K99">
            <v>6.4</v>
          </cell>
          <cell r="L99">
            <v>5.94</v>
          </cell>
          <cell r="M99">
            <v>2.64</v>
          </cell>
          <cell r="N99">
            <v>0.47</v>
          </cell>
          <cell r="O99">
            <v>16.690000000000001</v>
          </cell>
          <cell r="P99">
            <v>0.38</v>
          </cell>
          <cell r="Q99">
            <v>1.01</v>
          </cell>
          <cell r="R99">
            <v>8.25</v>
          </cell>
        </row>
        <row r="100">
          <cell r="E100">
            <v>8.8000000000000007</v>
          </cell>
          <cell r="F100">
            <v>39.200000000000003</v>
          </cell>
          <cell r="G100">
            <v>14.18</v>
          </cell>
          <cell r="H100">
            <v>17.61</v>
          </cell>
          <cell r="I100">
            <v>47.12</v>
          </cell>
          <cell r="J100">
            <v>113.69</v>
          </cell>
          <cell r="K100">
            <v>6.46</v>
          </cell>
          <cell r="L100">
            <v>6</v>
          </cell>
          <cell r="M100">
            <v>2.64</v>
          </cell>
          <cell r="N100">
            <v>0.47</v>
          </cell>
          <cell r="O100">
            <v>16.920000000000002</v>
          </cell>
          <cell r="P100">
            <v>0.38</v>
          </cell>
          <cell r="Q100">
            <v>1.01</v>
          </cell>
          <cell r="R100">
            <v>8.35</v>
          </cell>
        </row>
        <row r="101">
          <cell r="E101">
            <v>8.9</v>
          </cell>
          <cell r="F101">
            <v>39.6</v>
          </cell>
          <cell r="G101">
            <v>14.3</v>
          </cell>
          <cell r="H101">
            <v>17.95</v>
          </cell>
          <cell r="I101">
            <v>48.13</v>
          </cell>
          <cell r="J101">
            <v>116.34</v>
          </cell>
          <cell r="K101">
            <v>6.53</v>
          </cell>
          <cell r="L101">
            <v>6.07</v>
          </cell>
          <cell r="M101">
            <v>2.64</v>
          </cell>
          <cell r="N101">
            <v>0.47</v>
          </cell>
          <cell r="O101">
            <v>17.16</v>
          </cell>
          <cell r="P101">
            <v>0.38</v>
          </cell>
          <cell r="Q101">
            <v>1.01</v>
          </cell>
          <cell r="R101">
            <v>8.4499999999999993</v>
          </cell>
        </row>
        <row r="102">
          <cell r="E102">
            <v>9</v>
          </cell>
          <cell r="F102">
            <v>40</v>
          </cell>
          <cell r="G102">
            <v>14.42</v>
          </cell>
          <cell r="H102">
            <v>18.28</v>
          </cell>
          <cell r="I102">
            <v>49.14</v>
          </cell>
          <cell r="J102">
            <v>18.96</v>
          </cell>
          <cell r="K102">
            <v>6.6</v>
          </cell>
          <cell r="L102">
            <v>6.14</v>
          </cell>
          <cell r="M102">
            <v>2.64</v>
          </cell>
          <cell r="N102">
            <v>0.47</v>
          </cell>
          <cell r="O102">
            <v>17.39</v>
          </cell>
          <cell r="P102">
            <v>0.38</v>
          </cell>
          <cell r="Q102">
            <v>1.01</v>
          </cell>
          <cell r="R102">
            <v>8.5500000000000007</v>
          </cell>
        </row>
        <row r="103">
          <cell r="E103">
            <v>9.1</v>
          </cell>
          <cell r="F103">
            <v>40.4</v>
          </cell>
          <cell r="G103">
            <v>14.54</v>
          </cell>
          <cell r="H103">
            <v>18.64</v>
          </cell>
          <cell r="I103">
            <v>50.17</v>
          </cell>
          <cell r="J103">
            <v>121.59</v>
          </cell>
          <cell r="K103">
            <v>6.67</v>
          </cell>
          <cell r="L103">
            <v>6.21</v>
          </cell>
          <cell r="M103">
            <v>2.64</v>
          </cell>
          <cell r="N103">
            <v>0.47</v>
          </cell>
          <cell r="O103">
            <v>17.63</v>
          </cell>
          <cell r="P103">
            <v>0.38</v>
          </cell>
          <cell r="Q103">
            <v>1.01</v>
          </cell>
          <cell r="R103">
            <v>8.65</v>
          </cell>
        </row>
        <row r="104">
          <cell r="E104">
            <v>9.1999999999999993</v>
          </cell>
          <cell r="F104">
            <v>40.799999999999997</v>
          </cell>
          <cell r="G104">
            <v>14.66</v>
          </cell>
          <cell r="H104">
            <v>18.96</v>
          </cell>
          <cell r="I104">
            <v>51.2</v>
          </cell>
          <cell r="J104">
            <v>124.29</v>
          </cell>
          <cell r="K104">
            <v>6.73</v>
          </cell>
          <cell r="L104">
            <v>6.27</v>
          </cell>
          <cell r="M104">
            <v>2.64</v>
          </cell>
          <cell r="N104">
            <v>0.47</v>
          </cell>
          <cell r="O104">
            <v>17.86</v>
          </cell>
          <cell r="P104">
            <v>0.38</v>
          </cell>
          <cell r="Q104">
            <v>1.01</v>
          </cell>
          <cell r="R104">
            <v>8.7499999999999893</v>
          </cell>
        </row>
        <row r="105">
          <cell r="E105">
            <v>9.3000000000000007</v>
          </cell>
          <cell r="F105">
            <v>41.2</v>
          </cell>
          <cell r="G105">
            <v>14.78</v>
          </cell>
          <cell r="H105">
            <v>19.309999999999999</v>
          </cell>
          <cell r="I105">
            <v>52.25</v>
          </cell>
          <cell r="J105">
            <v>126.98</v>
          </cell>
          <cell r="K105">
            <v>6.8</v>
          </cell>
          <cell r="L105">
            <v>6.34</v>
          </cell>
          <cell r="M105">
            <v>2.64</v>
          </cell>
          <cell r="N105">
            <v>0.47</v>
          </cell>
          <cell r="O105">
            <v>18.100000000000001</v>
          </cell>
          <cell r="P105">
            <v>0.38</v>
          </cell>
          <cell r="Q105">
            <v>1.01</v>
          </cell>
          <cell r="R105">
            <v>8.8499999999999908</v>
          </cell>
        </row>
        <row r="106">
          <cell r="E106">
            <v>9.4</v>
          </cell>
          <cell r="F106">
            <v>41.6</v>
          </cell>
          <cell r="G106">
            <v>14.9</v>
          </cell>
          <cell r="H106">
            <v>19.649999999999999</v>
          </cell>
          <cell r="I106">
            <v>53.3</v>
          </cell>
          <cell r="J106">
            <v>129.72</v>
          </cell>
          <cell r="K106">
            <v>6.87</v>
          </cell>
          <cell r="L106">
            <v>6.41</v>
          </cell>
          <cell r="M106">
            <v>2.64</v>
          </cell>
          <cell r="N106">
            <v>0.47</v>
          </cell>
          <cell r="O106">
            <v>18.329999999999998</v>
          </cell>
          <cell r="P106">
            <v>0.38</v>
          </cell>
          <cell r="Q106">
            <v>1.01</v>
          </cell>
          <cell r="R106">
            <v>8.9499999999999904</v>
          </cell>
        </row>
        <row r="107">
          <cell r="E107">
            <v>9.5</v>
          </cell>
          <cell r="F107">
            <v>42</v>
          </cell>
          <cell r="G107">
            <v>15.02</v>
          </cell>
          <cell r="H107">
            <v>20.2</v>
          </cell>
          <cell r="I107">
            <v>54.37</v>
          </cell>
          <cell r="J107">
            <v>132.49</v>
          </cell>
          <cell r="K107">
            <v>6.93</v>
          </cell>
          <cell r="L107">
            <v>6.47</v>
          </cell>
          <cell r="M107">
            <v>2.64</v>
          </cell>
          <cell r="N107">
            <v>0.47</v>
          </cell>
          <cell r="O107">
            <v>18.57</v>
          </cell>
          <cell r="P107">
            <v>0.38</v>
          </cell>
          <cell r="Q107">
            <v>1.01</v>
          </cell>
          <cell r="R107">
            <v>9.0499999999999901</v>
          </cell>
        </row>
        <row r="108">
          <cell r="E108">
            <v>9.6</v>
          </cell>
          <cell r="F108">
            <v>42.4</v>
          </cell>
          <cell r="G108">
            <v>15.14</v>
          </cell>
          <cell r="H108">
            <v>20.350000000000001</v>
          </cell>
          <cell r="I108">
            <v>55.44</v>
          </cell>
          <cell r="J108">
            <v>135.29</v>
          </cell>
          <cell r="K108">
            <v>7</v>
          </cell>
          <cell r="L108">
            <v>6.54</v>
          </cell>
          <cell r="M108">
            <v>2.64</v>
          </cell>
          <cell r="N108">
            <v>0.47</v>
          </cell>
          <cell r="O108">
            <v>18.8</v>
          </cell>
          <cell r="P108">
            <v>0.38</v>
          </cell>
          <cell r="Q108">
            <v>1.01</v>
          </cell>
          <cell r="R108">
            <v>9.1499999999999897</v>
          </cell>
        </row>
        <row r="109">
          <cell r="E109">
            <v>9.6999999999999993</v>
          </cell>
          <cell r="F109">
            <v>42.8</v>
          </cell>
          <cell r="G109">
            <v>15.26</v>
          </cell>
          <cell r="H109">
            <v>20.71</v>
          </cell>
          <cell r="I109">
            <v>56.53</v>
          </cell>
          <cell r="J109">
            <v>138.1</v>
          </cell>
          <cell r="K109">
            <v>7.07</v>
          </cell>
          <cell r="L109">
            <v>6.61</v>
          </cell>
          <cell r="M109">
            <v>2.64</v>
          </cell>
          <cell r="N109">
            <v>0.47</v>
          </cell>
          <cell r="O109">
            <v>19.04</v>
          </cell>
          <cell r="P109">
            <v>0.38</v>
          </cell>
          <cell r="Q109">
            <v>1.01</v>
          </cell>
          <cell r="R109">
            <v>9.2499999999999893</v>
          </cell>
        </row>
        <row r="110">
          <cell r="E110">
            <v>9.8000000000000007</v>
          </cell>
          <cell r="F110">
            <v>43.2</v>
          </cell>
          <cell r="G110">
            <v>15.38</v>
          </cell>
          <cell r="H110">
            <v>21.06</v>
          </cell>
          <cell r="I110">
            <v>57.62</v>
          </cell>
          <cell r="J110">
            <v>140.96</v>
          </cell>
          <cell r="K110">
            <v>7.14</v>
          </cell>
          <cell r="L110">
            <v>6.68</v>
          </cell>
          <cell r="M110">
            <v>2.64</v>
          </cell>
          <cell r="N110">
            <v>0.47</v>
          </cell>
          <cell r="O110">
            <v>19.27</v>
          </cell>
          <cell r="P110">
            <v>0.38</v>
          </cell>
          <cell r="Q110">
            <v>1.01</v>
          </cell>
          <cell r="R110">
            <v>9.3499999999999908</v>
          </cell>
        </row>
        <row r="111">
          <cell r="E111">
            <v>9.9</v>
          </cell>
          <cell r="F111">
            <v>43.6</v>
          </cell>
          <cell r="G111">
            <v>15.5</v>
          </cell>
          <cell r="H111">
            <v>21.42</v>
          </cell>
          <cell r="I111">
            <v>58.73</v>
          </cell>
          <cell r="J111">
            <v>143.85</v>
          </cell>
          <cell r="K111">
            <v>7.2</v>
          </cell>
          <cell r="L111">
            <v>6.74</v>
          </cell>
          <cell r="M111">
            <v>2.64</v>
          </cell>
          <cell r="N111">
            <v>0.47</v>
          </cell>
          <cell r="O111">
            <v>19.510000000000002</v>
          </cell>
          <cell r="P111">
            <v>0.38</v>
          </cell>
          <cell r="Q111">
            <v>1.01</v>
          </cell>
          <cell r="R111">
            <v>9.4499999999999904</v>
          </cell>
        </row>
        <row r="112">
          <cell r="E112">
            <v>10</v>
          </cell>
          <cell r="F112">
            <v>44</v>
          </cell>
          <cell r="G112">
            <v>15.62</v>
          </cell>
          <cell r="H112">
            <v>21.78</v>
          </cell>
          <cell r="I112">
            <v>59.84</v>
          </cell>
          <cell r="J112">
            <v>146.77000000000001</v>
          </cell>
          <cell r="K112">
            <v>7.27</v>
          </cell>
          <cell r="L112">
            <v>6.81</v>
          </cell>
          <cell r="M112">
            <v>2.64</v>
          </cell>
          <cell r="N112">
            <v>0.47</v>
          </cell>
          <cell r="O112">
            <v>19.739999999999998</v>
          </cell>
          <cell r="P112">
            <v>0.38</v>
          </cell>
          <cell r="Q112">
            <v>1.01</v>
          </cell>
          <cell r="R112">
            <v>9.5499999999999901</v>
          </cell>
        </row>
        <row r="113">
          <cell r="E113">
            <v>10.1</v>
          </cell>
          <cell r="F113">
            <v>44.4</v>
          </cell>
          <cell r="G113">
            <v>15.74</v>
          </cell>
          <cell r="H113">
            <v>22.15</v>
          </cell>
          <cell r="I113">
            <v>60.97</v>
          </cell>
          <cell r="J113">
            <v>149.69999999999999</v>
          </cell>
          <cell r="K113">
            <v>7.34</v>
          </cell>
          <cell r="L113">
            <v>6.88</v>
          </cell>
          <cell r="M113">
            <v>2.64</v>
          </cell>
          <cell r="N113">
            <v>0.47</v>
          </cell>
          <cell r="O113">
            <v>19.98</v>
          </cell>
          <cell r="P113">
            <v>0.38</v>
          </cell>
          <cell r="Q113">
            <v>1.01</v>
          </cell>
          <cell r="R113">
            <v>9.6499999999999897</v>
          </cell>
        </row>
        <row r="114">
          <cell r="E114">
            <v>10.199999999999999</v>
          </cell>
          <cell r="F114">
            <v>44.8</v>
          </cell>
          <cell r="G114">
            <v>15.86</v>
          </cell>
          <cell r="H114">
            <v>22.51</v>
          </cell>
          <cell r="I114">
            <v>62.1</v>
          </cell>
          <cell r="J114">
            <v>152.69999999999999</v>
          </cell>
          <cell r="K114">
            <v>7.4</v>
          </cell>
          <cell r="L114">
            <v>6.94</v>
          </cell>
          <cell r="M114">
            <v>2.64</v>
          </cell>
          <cell r="N114">
            <v>0.47</v>
          </cell>
          <cell r="O114">
            <v>20.21</v>
          </cell>
          <cell r="P114">
            <v>0.38</v>
          </cell>
          <cell r="Q114">
            <v>1.01</v>
          </cell>
          <cell r="R114">
            <v>9.7499999999999893</v>
          </cell>
        </row>
        <row r="115">
          <cell r="E115">
            <v>10.3</v>
          </cell>
          <cell r="F115">
            <v>45.2</v>
          </cell>
          <cell r="G115">
            <v>15.98</v>
          </cell>
          <cell r="H115">
            <v>22.88</v>
          </cell>
          <cell r="I115">
            <v>63.25</v>
          </cell>
          <cell r="J115">
            <v>155.69</v>
          </cell>
          <cell r="K115">
            <v>7.47</v>
          </cell>
          <cell r="L115">
            <v>7.01</v>
          </cell>
          <cell r="M115">
            <v>2.64</v>
          </cell>
          <cell r="N115">
            <v>0.47</v>
          </cell>
          <cell r="O115">
            <v>20.45</v>
          </cell>
          <cell r="P115">
            <v>0.38</v>
          </cell>
          <cell r="Q115">
            <v>1.01</v>
          </cell>
          <cell r="R115">
            <v>9.8499999999999908</v>
          </cell>
        </row>
        <row r="116">
          <cell r="E116">
            <v>10.4</v>
          </cell>
          <cell r="F116">
            <v>45.6</v>
          </cell>
          <cell r="G116">
            <v>16.100000000000001</v>
          </cell>
          <cell r="H116">
            <v>23.25</v>
          </cell>
          <cell r="I116">
            <v>64.400000000000006</v>
          </cell>
          <cell r="J116">
            <v>158.72999999999999</v>
          </cell>
          <cell r="K116">
            <v>7.54</v>
          </cell>
          <cell r="L116">
            <v>7.08</v>
          </cell>
          <cell r="M116">
            <v>2.64</v>
          </cell>
          <cell r="N116">
            <v>0.47</v>
          </cell>
          <cell r="O116">
            <v>20.68</v>
          </cell>
          <cell r="P116">
            <v>0.38</v>
          </cell>
          <cell r="Q116">
            <v>1.01</v>
          </cell>
          <cell r="R116">
            <v>9.9499999999999904</v>
          </cell>
        </row>
        <row r="117">
          <cell r="E117">
            <v>10.5</v>
          </cell>
          <cell r="F117">
            <v>45.7</v>
          </cell>
          <cell r="G117">
            <v>16.13</v>
          </cell>
          <cell r="H117">
            <v>23.63</v>
          </cell>
          <cell r="I117">
            <v>65.67</v>
          </cell>
          <cell r="J117">
            <v>161.29</v>
          </cell>
          <cell r="K117">
            <v>7.6</v>
          </cell>
          <cell r="L117">
            <v>7.15</v>
          </cell>
          <cell r="M117">
            <v>3.75</v>
          </cell>
          <cell r="N117">
            <v>0.47</v>
          </cell>
          <cell r="O117">
            <v>20.11</v>
          </cell>
          <cell r="P117">
            <v>0.38</v>
          </cell>
          <cell r="Q117">
            <v>1.01</v>
          </cell>
          <cell r="R117">
            <v>9.9</v>
          </cell>
        </row>
        <row r="118">
          <cell r="E118">
            <v>10.6</v>
          </cell>
          <cell r="F118">
            <v>46.3</v>
          </cell>
          <cell r="G118">
            <v>16.309999999999999</v>
          </cell>
          <cell r="H118">
            <v>24</v>
          </cell>
          <cell r="I118">
            <v>66.739999999999995</v>
          </cell>
          <cell r="J118">
            <v>164.55</v>
          </cell>
          <cell r="K118">
            <v>7.72</v>
          </cell>
          <cell r="L118">
            <v>7.26</v>
          </cell>
          <cell r="M118">
            <v>3.75</v>
          </cell>
          <cell r="N118">
            <v>0.47</v>
          </cell>
          <cell r="O118">
            <v>20.34</v>
          </cell>
          <cell r="P118">
            <v>0.38</v>
          </cell>
          <cell r="Q118">
            <v>1.01</v>
          </cell>
          <cell r="R118">
            <v>10</v>
          </cell>
        </row>
        <row r="119">
          <cell r="E119">
            <v>10.7</v>
          </cell>
          <cell r="F119">
            <v>46.75</v>
          </cell>
          <cell r="G119">
            <v>16.45</v>
          </cell>
          <cell r="H119">
            <v>24.38</v>
          </cell>
          <cell r="I119">
            <v>67.930000000000007</v>
          </cell>
          <cell r="J119">
            <v>167.67</v>
          </cell>
          <cell r="K119">
            <v>7.8</v>
          </cell>
          <cell r="L119">
            <v>7.34</v>
          </cell>
          <cell r="M119">
            <v>3.75</v>
          </cell>
          <cell r="N119">
            <v>0.47</v>
          </cell>
          <cell r="O119">
            <v>20.58</v>
          </cell>
          <cell r="P119">
            <v>0.38</v>
          </cell>
          <cell r="Q119">
            <v>1.01</v>
          </cell>
          <cell r="R119">
            <v>10.1</v>
          </cell>
        </row>
        <row r="120">
          <cell r="E120">
            <v>10.8</v>
          </cell>
          <cell r="F120">
            <v>47.2</v>
          </cell>
          <cell r="G120">
            <v>16.579999999999998</v>
          </cell>
          <cell r="H120">
            <v>24.76</v>
          </cell>
          <cell r="I120">
            <v>69.12</v>
          </cell>
          <cell r="J120">
            <v>170.84</v>
          </cell>
          <cell r="K120">
            <v>7.88</v>
          </cell>
          <cell r="L120">
            <v>7.43</v>
          </cell>
          <cell r="M120">
            <v>3.75</v>
          </cell>
          <cell r="N120">
            <v>0.47</v>
          </cell>
          <cell r="O120">
            <v>20.81</v>
          </cell>
          <cell r="P120">
            <v>0.38</v>
          </cell>
          <cell r="Q120">
            <v>1.01</v>
          </cell>
          <cell r="R120">
            <v>10.199999999999999</v>
          </cell>
        </row>
        <row r="121">
          <cell r="E121">
            <v>10.9</v>
          </cell>
          <cell r="F121">
            <v>47.65</v>
          </cell>
          <cell r="G121">
            <v>16.72</v>
          </cell>
          <cell r="H121">
            <v>25.15</v>
          </cell>
          <cell r="I121">
            <v>70.33</v>
          </cell>
          <cell r="J121">
            <v>174.02</v>
          </cell>
          <cell r="K121">
            <v>7.97</v>
          </cell>
          <cell r="L121">
            <v>7.51</v>
          </cell>
          <cell r="M121">
            <v>3.75</v>
          </cell>
          <cell r="N121">
            <v>0.47</v>
          </cell>
          <cell r="O121">
            <v>21.05</v>
          </cell>
          <cell r="P121">
            <v>0.38</v>
          </cell>
          <cell r="Q121">
            <v>1.01</v>
          </cell>
          <cell r="R121">
            <v>10.3</v>
          </cell>
        </row>
        <row r="122">
          <cell r="E122">
            <v>11</v>
          </cell>
          <cell r="F122">
            <v>48.1</v>
          </cell>
          <cell r="G122">
            <v>16.850000000000001</v>
          </cell>
          <cell r="H122">
            <v>25.52</v>
          </cell>
          <cell r="I122">
            <v>71.540000000000006</v>
          </cell>
          <cell r="J122">
            <v>177.26</v>
          </cell>
          <cell r="K122">
            <v>8.0500000000000007</v>
          </cell>
          <cell r="L122">
            <v>7.59</v>
          </cell>
          <cell r="M122">
            <v>3.75</v>
          </cell>
          <cell r="N122">
            <v>0.47</v>
          </cell>
          <cell r="O122">
            <v>21.28</v>
          </cell>
          <cell r="P122">
            <v>0.38</v>
          </cell>
          <cell r="Q122">
            <v>1.01</v>
          </cell>
          <cell r="R122">
            <v>10.4</v>
          </cell>
        </row>
        <row r="123">
          <cell r="E123">
            <v>11.1</v>
          </cell>
          <cell r="F123">
            <v>48.55</v>
          </cell>
          <cell r="G123">
            <v>16.989999999999998</v>
          </cell>
          <cell r="H123">
            <v>25.92</v>
          </cell>
          <cell r="I123">
            <v>72.77</v>
          </cell>
          <cell r="J123">
            <v>180.5</v>
          </cell>
          <cell r="K123">
            <v>8.1300000000000008</v>
          </cell>
          <cell r="L123">
            <v>7.67</v>
          </cell>
          <cell r="M123">
            <v>3.75</v>
          </cell>
          <cell r="N123">
            <v>0.47</v>
          </cell>
          <cell r="O123">
            <v>21.52</v>
          </cell>
          <cell r="P123">
            <v>0.38</v>
          </cell>
          <cell r="Q123">
            <v>1.01</v>
          </cell>
          <cell r="R123">
            <v>10.5</v>
          </cell>
        </row>
        <row r="124">
          <cell r="E124">
            <v>11.2</v>
          </cell>
          <cell r="F124">
            <v>49</v>
          </cell>
          <cell r="G124">
            <v>17.12</v>
          </cell>
          <cell r="H124">
            <v>26.31</v>
          </cell>
          <cell r="I124">
            <v>74</v>
          </cell>
          <cell r="J124">
            <v>183.8</v>
          </cell>
          <cell r="K124">
            <v>8.2100000000000009</v>
          </cell>
          <cell r="L124">
            <v>7.75</v>
          </cell>
          <cell r="M124">
            <v>3.75</v>
          </cell>
          <cell r="N124">
            <v>0.47</v>
          </cell>
          <cell r="O124">
            <v>21.75</v>
          </cell>
          <cell r="P124">
            <v>0.38</v>
          </cell>
          <cell r="Q124">
            <v>1.01</v>
          </cell>
          <cell r="R124">
            <v>10.6</v>
          </cell>
        </row>
        <row r="125">
          <cell r="E125">
            <v>11.3</v>
          </cell>
          <cell r="F125">
            <v>49.45</v>
          </cell>
          <cell r="G125">
            <v>17.25</v>
          </cell>
          <cell r="H125">
            <v>26.71</v>
          </cell>
          <cell r="I125">
            <v>75.25</v>
          </cell>
          <cell r="J125">
            <v>187.11</v>
          </cell>
          <cell r="K125">
            <v>8.2899999999999991</v>
          </cell>
          <cell r="L125">
            <v>7.83</v>
          </cell>
          <cell r="M125">
            <v>3.75</v>
          </cell>
          <cell r="N125">
            <v>0.47</v>
          </cell>
          <cell r="O125">
            <v>21.79</v>
          </cell>
          <cell r="P125">
            <v>0.38</v>
          </cell>
          <cell r="Q125">
            <v>1.01</v>
          </cell>
          <cell r="R125">
            <v>10.7</v>
          </cell>
        </row>
        <row r="126">
          <cell r="E126">
            <v>11.4</v>
          </cell>
          <cell r="F126">
            <v>49.9</v>
          </cell>
          <cell r="G126">
            <v>17.39</v>
          </cell>
          <cell r="H126">
            <v>27.1</v>
          </cell>
          <cell r="I126">
            <v>76.5</v>
          </cell>
          <cell r="J126">
            <v>190.47</v>
          </cell>
          <cell r="K126">
            <v>8.3699999999999992</v>
          </cell>
          <cell r="L126">
            <v>7.91</v>
          </cell>
          <cell r="M126">
            <v>3.75</v>
          </cell>
          <cell r="N126">
            <v>0.47</v>
          </cell>
          <cell r="O126">
            <v>22.22</v>
          </cell>
          <cell r="P126">
            <v>0.38</v>
          </cell>
          <cell r="Q126">
            <v>1.01</v>
          </cell>
          <cell r="R126">
            <v>10.8</v>
          </cell>
        </row>
        <row r="127">
          <cell r="E127">
            <v>11.5</v>
          </cell>
          <cell r="F127">
            <v>50.35</v>
          </cell>
          <cell r="G127">
            <v>17.53</v>
          </cell>
          <cell r="H127">
            <v>27.5</v>
          </cell>
          <cell r="I127">
            <v>77.77</v>
          </cell>
          <cell r="J127">
            <v>193.83</v>
          </cell>
          <cell r="K127">
            <v>8.4499999999999993</v>
          </cell>
          <cell r="L127">
            <v>7.99</v>
          </cell>
          <cell r="M127">
            <v>3.75</v>
          </cell>
          <cell r="N127">
            <v>0.47</v>
          </cell>
          <cell r="O127">
            <v>22.46</v>
          </cell>
          <cell r="P127">
            <v>0.38</v>
          </cell>
          <cell r="Q127">
            <v>1.01</v>
          </cell>
          <cell r="R127">
            <v>10.9</v>
          </cell>
        </row>
        <row r="128">
          <cell r="E128">
            <v>11.6</v>
          </cell>
          <cell r="F128">
            <v>50.8</v>
          </cell>
          <cell r="G128">
            <v>17.66</v>
          </cell>
          <cell r="H128">
            <v>26.9</v>
          </cell>
          <cell r="I128">
            <v>79.040000000000006</v>
          </cell>
          <cell r="J128">
            <v>197.25</v>
          </cell>
          <cell r="K128">
            <v>8.5299999999999994</v>
          </cell>
          <cell r="L128">
            <v>8.07</v>
          </cell>
          <cell r="M128">
            <v>3.75</v>
          </cell>
          <cell r="N128">
            <v>0.47</v>
          </cell>
          <cell r="O128">
            <v>22.69</v>
          </cell>
          <cell r="P128">
            <v>0.38</v>
          </cell>
          <cell r="Q128">
            <v>1.01</v>
          </cell>
          <cell r="R128">
            <v>11</v>
          </cell>
        </row>
        <row r="129">
          <cell r="E129">
            <v>11.7</v>
          </cell>
          <cell r="F129">
            <v>51.25</v>
          </cell>
          <cell r="G129">
            <v>17.8</v>
          </cell>
          <cell r="H129">
            <v>28.31</v>
          </cell>
          <cell r="I129">
            <v>80.33</v>
          </cell>
          <cell r="J129">
            <v>200.68</v>
          </cell>
          <cell r="K129">
            <v>8.61</v>
          </cell>
          <cell r="L129">
            <v>8.15</v>
          </cell>
          <cell r="M129">
            <v>3.75</v>
          </cell>
          <cell r="N129">
            <v>0.47</v>
          </cell>
          <cell r="O129">
            <v>22.93</v>
          </cell>
          <cell r="P129">
            <v>0.38</v>
          </cell>
          <cell r="Q129">
            <v>1.01</v>
          </cell>
          <cell r="R129">
            <v>11.1</v>
          </cell>
        </row>
        <row r="130">
          <cell r="E130">
            <v>11.8</v>
          </cell>
          <cell r="F130">
            <v>51.7</v>
          </cell>
          <cell r="G130">
            <v>17.93</v>
          </cell>
          <cell r="H130">
            <v>28.71</v>
          </cell>
          <cell r="I130">
            <v>81.62</v>
          </cell>
          <cell r="J130">
            <v>204.19</v>
          </cell>
          <cell r="K130">
            <v>8.69</v>
          </cell>
          <cell r="L130">
            <v>8.23</v>
          </cell>
          <cell r="M130">
            <v>3.75</v>
          </cell>
          <cell r="N130">
            <v>0.47</v>
          </cell>
          <cell r="O130">
            <v>23.16</v>
          </cell>
          <cell r="P130">
            <v>0.38</v>
          </cell>
          <cell r="Q130">
            <v>1.01</v>
          </cell>
          <cell r="R130">
            <v>11.2</v>
          </cell>
        </row>
        <row r="131">
          <cell r="E131">
            <v>11.9</v>
          </cell>
          <cell r="F131">
            <v>52.15</v>
          </cell>
          <cell r="G131">
            <v>18.07</v>
          </cell>
          <cell r="H131">
            <v>29.12</v>
          </cell>
          <cell r="I131">
            <v>82.93</v>
          </cell>
          <cell r="J131">
            <v>207.73</v>
          </cell>
          <cell r="K131">
            <v>8.77</v>
          </cell>
          <cell r="L131">
            <v>7.31</v>
          </cell>
          <cell r="M131">
            <v>3.75</v>
          </cell>
          <cell r="N131">
            <v>0.47</v>
          </cell>
          <cell r="O131">
            <v>23.4</v>
          </cell>
          <cell r="P131">
            <v>0.38</v>
          </cell>
          <cell r="Q131">
            <v>1.01</v>
          </cell>
          <cell r="R131">
            <v>11.3</v>
          </cell>
        </row>
        <row r="132">
          <cell r="E132">
            <v>12</v>
          </cell>
          <cell r="F132">
            <v>52.6</v>
          </cell>
          <cell r="G132">
            <v>18.2</v>
          </cell>
          <cell r="H132">
            <v>29.53</v>
          </cell>
          <cell r="I132">
            <v>84.24</v>
          </cell>
          <cell r="J132">
            <v>211.22</v>
          </cell>
          <cell r="K132">
            <v>8.85</v>
          </cell>
          <cell r="L132">
            <v>8.39</v>
          </cell>
          <cell r="M132">
            <v>3.75</v>
          </cell>
          <cell r="N132">
            <v>0.47</v>
          </cell>
          <cell r="O132">
            <v>23.63</v>
          </cell>
          <cell r="P132">
            <v>0.38</v>
          </cell>
          <cell r="Q132">
            <v>1.01</v>
          </cell>
          <cell r="R132">
            <v>11.4</v>
          </cell>
        </row>
        <row r="133">
          <cell r="E133">
            <v>12.1</v>
          </cell>
          <cell r="F133">
            <v>53.05</v>
          </cell>
          <cell r="G133">
            <v>18.34</v>
          </cell>
          <cell r="H133">
            <v>29.95</v>
          </cell>
          <cell r="I133">
            <v>85.57</v>
          </cell>
          <cell r="J133">
            <v>214.9</v>
          </cell>
          <cell r="K133">
            <v>8.94</v>
          </cell>
          <cell r="L133">
            <v>8.48</v>
          </cell>
          <cell r="M133">
            <v>3.75</v>
          </cell>
          <cell r="N133">
            <v>0.47</v>
          </cell>
          <cell r="O133">
            <v>23.87</v>
          </cell>
          <cell r="P133">
            <v>0.38</v>
          </cell>
          <cell r="Q133">
            <v>1.01</v>
          </cell>
          <cell r="R133">
            <v>11.5</v>
          </cell>
        </row>
        <row r="134">
          <cell r="E134">
            <v>12.2</v>
          </cell>
          <cell r="F134">
            <v>53.5</v>
          </cell>
          <cell r="G134">
            <v>18.47</v>
          </cell>
          <cell r="H134">
            <v>30.36</v>
          </cell>
          <cell r="I134">
            <v>86.9</v>
          </cell>
          <cell r="J134">
            <v>218.56</v>
          </cell>
          <cell r="K134">
            <v>9.02</v>
          </cell>
          <cell r="L134">
            <v>8.56</v>
          </cell>
          <cell r="M134">
            <v>3.75</v>
          </cell>
          <cell r="N134">
            <v>0.47</v>
          </cell>
          <cell r="O134">
            <v>24.1</v>
          </cell>
          <cell r="P134">
            <v>0.38</v>
          </cell>
          <cell r="Q134">
            <v>1.01</v>
          </cell>
          <cell r="R134">
            <v>11.6</v>
          </cell>
        </row>
        <row r="135">
          <cell r="E135">
            <v>12.3</v>
          </cell>
          <cell r="F135">
            <v>53.95</v>
          </cell>
          <cell r="G135">
            <v>18.61</v>
          </cell>
          <cell r="H135">
            <v>30.78</v>
          </cell>
          <cell r="I135">
            <v>88.25</v>
          </cell>
          <cell r="J135">
            <v>222.23</v>
          </cell>
          <cell r="K135">
            <v>9.1</v>
          </cell>
          <cell r="L135">
            <v>8.64</v>
          </cell>
          <cell r="M135">
            <v>3.75</v>
          </cell>
          <cell r="N135">
            <v>0.47</v>
          </cell>
          <cell r="O135">
            <v>24.34</v>
          </cell>
          <cell r="P135">
            <v>0.38</v>
          </cell>
          <cell r="Q135">
            <v>1.01</v>
          </cell>
          <cell r="R135">
            <v>11.7</v>
          </cell>
        </row>
        <row r="136">
          <cell r="E136">
            <v>12.4</v>
          </cell>
          <cell r="F136">
            <v>54.4</v>
          </cell>
          <cell r="G136">
            <v>18.739999999999998</v>
          </cell>
          <cell r="H136">
            <v>31.2</v>
          </cell>
          <cell r="I136">
            <v>89.6</v>
          </cell>
          <cell r="J136">
            <v>225.96</v>
          </cell>
          <cell r="K136">
            <v>9.18</v>
          </cell>
          <cell r="L136">
            <v>8.7200000000000006</v>
          </cell>
          <cell r="M136">
            <v>3.75</v>
          </cell>
          <cell r="N136">
            <v>0.47</v>
          </cell>
          <cell r="O136">
            <v>24.57</v>
          </cell>
          <cell r="P136">
            <v>0.38</v>
          </cell>
          <cell r="Q136">
            <v>1.01</v>
          </cell>
          <cell r="R136">
            <v>11.8</v>
          </cell>
        </row>
        <row r="137">
          <cell r="E137">
            <v>12.5</v>
          </cell>
          <cell r="F137">
            <v>54.85</v>
          </cell>
          <cell r="G137">
            <v>18.88</v>
          </cell>
          <cell r="H137">
            <v>31.63</v>
          </cell>
          <cell r="I137">
            <v>90.97</v>
          </cell>
          <cell r="J137">
            <v>229.71</v>
          </cell>
          <cell r="K137">
            <v>9.26</v>
          </cell>
          <cell r="L137">
            <v>8.8000000000000007</v>
          </cell>
          <cell r="M137">
            <v>3.75</v>
          </cell>
          <cell r="N137">
            <v>0.47</v>
          </cell>
          <cell r="O137">
            <v>24.81</v>
          </cell>
          <cell r="P137">
            <v>0.38</v>
          </cell>
          <cell r="Q137">
            <v>1.01</v>
          </cell>
          <cell r="R137">
            <v>11.9</v>
          </cell>
        </row>
        <row r="138">
          <cell r="E138">
            <v>12.6</v>
          </cell>
          <cell r="F138">
            <v>55.3</v>
          </cell>
          <cell r="G138">
            <v>19.010000000000002</v>
          </cell>
          <cell r="H138">
            <v>32.049999999999997</v>
          </cell>
          <cell r="I138">
            <v>92.34</v>
          </cell>
          <cell r="J138">
            <v>233.5</v>
          </cell>
          <cell r="K138">
            <v>9.34</v>
          </cell>
          <cell r="L138">
            <v>8.8800000000000008</v>
          </cell>
          <cell r="M138">
            <v>3.75</v>
          </cell>
          <cell r="N138">
            <v>0.47</v>
          </cell>
          <cell r="O138">
            <v>25.04</v>
          </cell>
          <cell r="P138">
            <v>0.38</v>
          </cell>
          <cell r="Q138">
            <v>1.01</v>
          </cell>
          <cell r="R138">
            <v>12</v>
          </cell>
        </row>
        <row r="139">
          <cell r="E139">
            <v>12.7</v>
          </cell>
          <cell r="F139">
            <v>55.75</v>
          </cell>
          <cell r="G139">
            <v>19.149999999999999</v>
          </cell>
          <cell r="H139">
            <v>32.479999999999997</v>
          </cell>
          <cell r="I139">
            <v>93.73</v>
          </cell>
          <cell r="J139">
            <v>237.32</v>
          </cell>
          <cell r="K139">
            <v>9.42</v>
          </cell>
          <cell r="L139">
            <v>8.9600000000000009</v>
          </cell>
          <cell r="M139">
            <v>3.75</v>
          </cell>
          <cell r="N139">
            <v>0.47</v>
          </cell>
          <cell r="O139">
            <v>25.28</v>
          </cell>
          <cell r="P139">
            <v>0.38</v>
          </cell>
          <cell r="Q139">
            <v>1.01</v>
          </cell>
          <cell r="R139">
            <v>12.1</v>
          </cell>
        </row>
        <row r="140">
          <cell r="E140">
            <v>12.8</v>
          </cell>
          <cell r="F140">
            <v>56.2</v>
          </cell>
          <cell r="G140">
            <v>19.28</v>
          </cell>
          <cell r="H140">
            <v>32.909999999999997</v>
          </cell>
          <cell r="I140">
            <v>95.12</v>
          </cell>
          <cell r="J140">
            <v>241.18</v>
          </cell>
          <cell r="K140">
            <v>9.5</v>
          </cell>
          <cell r="L140">
            <v>9.0399999999999991</v>
          </cell>
          <cell r="M140">
            <v>3.75</v>
          </cell>
          <cell r="N140">
            <v>0.47</v>
          </cell>
          <cell r="O140">
            <v>25.51</v>
          </cell>
          <cell r="P140">
            <v>0.38</v>
          </cell>
          <cell r="Q140">
            <v>1.01</v>
          </cell>
          <cell r="R140">
            <v>12.2</v>
          </cell>
        </row>
        <row r="141">
          <cell r="E141">
            <v>12.9</v>
          </cell>
          <cell r="F141">
            <v>56.65</v>
          </cell>
          <cell r="G141">
            <v>19.420000000000002</v>
          </cell>
          <cell r="H141">
            <v>33.35</v>
          </cell>
          <cell r="I141">
            <v>96.53</v>
          </cell>
          <cell r="J141">
            <v>245.07</v>
          </cell>
          <cell r="K141">
            <v>9.58</v>
          </cell>
          <cell r="L141">
            <v>9.1199999999999992</v>
          </cell>
          <cell r="M141">
            <v>3.75</v>
          </cell>
          <cell r="N141">
            <v>0.47</v>
          </cell>
          <cell r="O141">
            <v>25.75</v>
          </cell>
          <cell r="P141">
            <v>0.38</v>
          </cell>
          <cell r="Q141">
            <v>1.01</v>
          </cell>
          <cell r="R141">
            <v>12.3</v>
          </cell>
        </row>
        <row r="142">
          <cell r="E142">
            <v>13</v>
          </cell>
          <cell r="F142">
            <v>57.1</v>
          </cell>
          <cell r="G142">
            <v>19.55</v>
          </cell>
          <cell r="H142">
            <v>33.78</v>
          </cell>
          <cell r="I142">
            <v>97.94</v>
          </cell>
          <cell r="J142">
            <v>249</v>
          </cell>
          <cell r="K142">
            <v>9.66</v>
          </cell>
          <cell r="L142">
            <v>9.1999999999999993</v>
          </cell>
          <cell r="M142">
            <v>3.75</v>
          </cell>
          <cell r="N142">
            <v>0.47</v>
          </cell>
          <cell r="O142">
            <v>25.98</v>
          </cell>
          <cell r="P142">
            <v>0.38</v>
          </cell>
          <cell r="Q142">
            <v>1.01</v>
          </cell>
          <cell r="R142">
            <v>12.4</v>
          </cell>
        </row>
        <row r="143">
          <cell r="E143">
            <v>13.1</v>
          </cell>
          <cell r="F143">
            <v>57.55</v>
          </cell>
          <cell r="G143">
            <v>19.690000000000001</v>
          </cell>
          <cell r="H143">
            <v>34.22</v>
          </cell>
          <cell r="I143">
            <v>99.37</v>
          </cell>
          <cell r="J143">
            <v>252.96</v>
          </cell>
          <cell r="K143">
            <v>9.74</v>
          </cell>
          <cell r="L143">
            <v>9.2799999999999994</v>
          </cell>
          <cell r="M143">
            <v>3.75</v>
          </cell>
          <cell r="N143">
            <v>0.47</v>
          </cell>
          <cell r="O143">
            <v>26.22</v>
          </cell>
          <cell r="P143">
            <v>0.38</v>
          </cell>
          <cell r="Q143">
            <v>1.01</v>
          </cell>
          <cell r="R143">
            <v>12.5</v>
          </cell>
        </row>
        <row r="144">
          <cell r="E144">
            <v>13.2</v>
          </cell>
          <cell r="F144">
            <v>58</v>
          </cell>
          <cell r="G144">
            <v>19.82</v>
          </cell>
          <cell r="H144">
            <v>34.659999999999997</v>
          </cell>
          <cell r="I144">
            <v>100.8</v>
          </cell>
          <cell r="J144">
            <v>256.95999999999998</v>
          </cell>
          <cell r="K144">
            <v>9.82</v>
          </cell>
          <cell r="L144">
            <v>9.36</v>
          </cell>
          <cell r="M144">
            <v>3.75</v>
          </cell>
          <cell r="N144">
            <v>0.47</v>
          </cell>
          <cell r="O144">
            <v>26.45</v>
          </cell>
          <cell r="P144">
            <v>0.38</v>
          </cell>
          <cell r="Q144">
            <v>1.01</v>
          </cell>
          <cell r="R144">
            <v>12.6</v>
          </cell>
        </row>
        <row r="145">
          <cell r="E145">
            <v>13.3</v>
          </cell>
          <cell r="F145">
            <v>58.45</v>
          </cell>
          <cell r="G145">
            <v>19.96</v>
          </cell>
          <cell r="H145">
            <v>35.11</v>
          </cell>
          <cell r="I145">
            <v>102.25</v>
          </cell>
          <cell r="J145">
            <v>260.97000000000003</v>
          </cell>
          <cell r="K145">
            <v>9.91</v>
          </cell>
          <cell r="L145">
            <v>9.4499999999999993</v>
          </cell>
          <cell r="M145">
            <v>3.75</v>
          </cell>
          <cell r="N145">
            <v>0.47</v>
          </cell>
          <cell r="O145">
            <v>26.69</v>
          </cell>
          <cell r="P145">
            <v>0.38</v>
          </cell>
          <cell r="Q145">
            <v>1.01</v>
          </cell>
          <cell r="R145">
            <v>12.7</v>
          </cell>
        </row>
        <row r="146">
          <cell r="E146">
            <v>13.4</v>
          </cell>
          <cell r="F146">
            <v>58.9</v>
          </cell>
          <cell r="G146">
            <v>20.09</v>
          </cell>
          <cell r="H146">
            <v>35.549999999999997</v>
          </cell>
          <cell r="I146">
            <v>103.7</v>
          </cell>
          <cell r="J146">
            <v>265.04000000000002</v>
          </cell>
          <cell r="K146">
            <v>9.99</v>
          </cell>
          <cell r="L146">
            <v>9.5299999999999994</v>
          </cell>
          <cell r="M146">
            <v>3.75</v>
          </cell>
          <cell r="N146">
            <v>0.47</v>
          </cell>
          <cell r="O146">
            <v>26.92</v>
          </cell>
          <cell r="P146">
            <v>0.38</v>
          </cell>
          <cell r="Q146">
            <v>1.01</v>
          </cell>
          <cell r="R146">
            <v>12.8</v>
          </cell>
        </row>
        <row r="147">
          <cell r="E147">
            <v>13.5</v>
          </cell>
          <cell r="F147">
            <v>59.35</v>
          </cell>
          <cell r="G147">
            <v>20.23</v>
          </cell>
          <cell r="H147">
            <v>36</v>
          </cell>
          <cell r="I147">
            <v>105.17</v>
          </cell>
          <cell r="J147">
            <v>269.13</v>
          </cell>
          <cell r="K147">
            <v>10.07</v>
          </cell>
          <cell r="L147">
            <v>9.61</v>
          </cell>
          <cell r="M147">
            <v>3.75</v>
          </cell>
          <cell r="N147">
            <v>0.47</v>
          </cell>
          <cell r="O147">
            <v>27.16</v>
          </cell>
          <cell r="P147">
            <v>0.38</v>
          </cell>
          <cell r="Q147">
            <v>1.01</v>
          </cell>
          <cell r="R147">
            <v>12.9</v>
          </cell>
        </row>
        <row r="148">
          <cell r="E148">
            <v>13.600000000000099</v>
          </cell>
          <cell r="F148">
            <v>59.8</v>
          </cell>
          <cell r="G148">
            <v>20.36</v>
          </cell>
          <cell r="H148">
            <v>36.450000000000003</v>
          </cell>
          <cell r="I148">
            <v>106.64</v>
          </cell>
          <cell r="J148">
            <v>273.27999999999997</v>
          </cell>
          <cell r="K148">
            <v>10.15</v>
          </cell>
          <cell r="L148">
            <v>9.69</v>
          </cell>
          <cell r="M148">
            <v>3.75</v>
          </cell>
          <cell r="N148">
            <v>0.47</v>
          </cell>
          <cell r="O148">
            <v>27.39</v>
          </cell>
          <cell r="P148">
            <v>0.38</v>
          </cell>
          <cell r="Q148">
            <v>1.01</v>
          </cell>
          <cell r="R148">
            <v>13</v>
          </cell>
        </row>
        <row r="149">
          <cell r="E149">
            <v>13.700000000000101</v>
          </cell>
          <cell r="F149">
            <v>60.25</v>
          </cell>
          <cell r="G149">
            <v>20.5</v>
          </cell>
          <cell r="H149">
            <v>36.909999999999997</v>
          </cell>
          <cell r="I149">
            <v>108.13</v>
          </cell>
          <cell r="J149">
            <v>277.45</v>
          </cell>
          <cell r="K149">
            <v>10.23</v>
          </cell>
          <cell r="L149">
            <v>9.77</v>
          </cell>
          <cell r="M149">
            <v>3.75</v>
          </cell>
          <cell r="N149">
            <v>0.47</v>
          </cell>
          <cell r="O149">
            <v>27.63</v>
          </cell>
          <cell r="P149">
            <v>0.38</v>
          </cell>
          <cell r="Q149">
            <v>1.01</v>
          </cell>
          <cell r="R149">
            <v>13.1</v>
          </cell>
        </row>
        <row r="150">
          <cell r="E150">
            <v>13.8000000000001</v>
          </cell>
          <cell r="F150">
            <v>60.7</v>
          </cell>
          <cell r="G150">
            <v>20.63</v>
          </cell>
          <cell r="H150">
            <v>37.36</v>
          </cell>
          <cell r="I150">
            <v>109.62</v>
          </cell>
          <cell r="J150">
            <v>281.66000000000003</v>
          </cell>
          <cell r="K150">
            <v>10.31</v>
          </cell>
          <cell r="L150">
            <v>9.85</v>
          </cell>
          <cell r="M150">
            <v>3.75</v>
          </cell>
          <cell r="N150">
            <v>0.47</v>
          </cell>
          <cell r="O150">
            <v>27.86</v>
          </cell>
          <cell r="P150">
            <v>0.38</v>
          </cell>
          <cell r="Q150">
            <v>1.01</v>
          </cell>
          <cell r="R150">
            <v>13.2</v>
          </cell>
        </row>
        <row r="151">
          <cell r="E151">
            <v>13.9000000000001</v>
          </cell>
          <cell r="F151">
            <v>61.15</v>
          </cell>
          <cell r="G151">
            <v>20.77</v>
          </cell>
          <cell r="H151">
            <v>37.82</v>
          </cell>
          <cell r="I151">
            <v>111.13</v>
          </cell>
          <cell r="J151">
            <v>285.89999999999998</v>
          </cell>
          <cell r="K151">
            <v>10.39</v>
          </cell>
          <cell r="L151">
            <v>9.93</v>
          </cell>
          <cell r="M151">
            <v>3.75</v>
          </cell>
          <cell r="N151">
            <v>0.47</v>
          </cell>
          <cell r="O151">
            <v>28.1</v>
          </cell>
          <cell r="P151">
            <v>0.38</v>
          </cell>
          <cell r="Q151">
            <v>1.01</v>
          </cell>
          <cell r="R151">
            <v>13.3</v>
          </cell>
        </row>
        <row r="152">
          <cell r="E152">
            <v>14.000000000000099</v>
          </cell>
          <cell r="F152">
            <v>61.6</v>
          </cell>
          <cell r="G152">
            <v>20.9</v>
          </cell>
          <cell r="H152">
            <v>38.28</v>
          </cell>
          <cell r="I152">
            <v>112.64</v>
          </cell>
          <cell r="J152">
            <v>290.18</v>
          </cell>
          <cell r="K152">
            <v>10.47</v>
          </cell>
          <cell r="L152">
            <v>10.01</v>
          </cell>
          <cell r="M152">
            <v>3.75</v>
          </cell>
          <cell r="N152">
            <v>0.47</v>
          </cell>
          <cell r="O152">
            <v>28.33</v>
          </cell>
          <cell r="P152">
            <v>0.38</v>
          </cell>
          <cell r="Q152">
            <v>1.01</v>
          </cell>
          <cell r="R152">
            <v>13.4</v>
          </cell>
        </row>
        <row r="153">
          <cell r="E153">
            <v>14.100000000000099</v>
          </cell>
          <cell r="F153">
            <v>62.05</v>
          </cell>
          <cell r="G153">
            <v>21.04</v>
          </cell>
          <cell r="H153">
            <v>38.75</v>
          </cell>
          <cell r="I153">
            <v>114.17</v>
          </cell>
          <cell r="J153">
            <v>294.56</v>
          </cell>
          <cell r="K153">
            <v>10.55</v>
          </cell>
          <cell r="L153">
            <v>10.09</v>
          </cell>
          <cell r="M153">
            <v>3.75</v>
          </cell>
          <cell r="N153">
            <v>0.47</v>
          </cell>
          <cell r="O153">
            <v>28.57</v>
          </cell>
          <cell r="P153">
            <v>0.38</v>
          </cell>
          <cell r="Q153">
            <v>1.01</v>
          </cell>
          <cell r="R153">
            <v>13.5</v>
          </cell>
        </row>
        <row r="154">
          <cell r="E154">
            <v>14.200000000000101</v>
          </cell>
          <cell r="F154">
            <v>62.3</v>
          </cell>
          <cell r="G154">
            <v>21.17</v>
          </cell>
          <cell r="H154">
            <v>39.21</v>
          </cell>
          <cell r="I154">
            <v>115.7</v>
          </cell>
          <cell r="J154">
            <v>298.83999999999997</v>
          </cell>
          <cell r="K154">
            <v>10.63</v>
          </cell>
          <cell r="L154">
            <v>10.17</v>
          </cell>
          <cell r="M154">
            <v>3.75</v>
          </cell>
          <cell r="N154">
            <v>0.47</v>
          </cell>
          <cell r="O154">
            <v>28.8</v>
          </cell>
          <cell r="P154">
            <v>0.38</v>
          </cell>
          <cell r="Q154">
            <v>1.01</v>
          </cell>
          <cell r="R154">
            <v>13.6</v>
          </cell>
        </row>
        <row r="155">
          <cell r="E155">
            <v>14.3000000000001</v>
          </cell>
          <cell r="F155">
            <v>62.95</v>
          </cell>
          <cell r="G155">
            <v>21.31</v>
          </cell>
          <cell r="H155">
            <v>39.68</v>
          </cell>
          <cell r="I155">
            <v>117.25</v>
          </cell>
          <cell r="J155">
            <v>303.22000000000003</v>
          </cell>
          <cell r="K155">
            <v>10.71</v>
          </cell>
          <cell r="L155">
            <v>10.25</v>
          </cell>
          <cell r="M155">
            <v>3.75</v>
          </cell>
          <cell r="N155">
            <v>0.47</v>
          </cell>
          <cell r="O155">
            <v>29.04</v>
          </cell>
          <cell r="P155">
            <v>0.38</v>
          </cell>
          <cell r="Q155">
            <v>1.01</v>
          </cell>
          <cell r="R155">
            <v>13.7</v>
          </cell>
        </row>
        <row r="156">
          <cell r="E156">
            <v>14.4000000000001</v>
          </cell>
          <cell r="F156">
            <v>63.4</v>
          </cell>
          <cell r="G156">
            <v>21.44</v>
          </cell>
          <cell r="H156">
            <v>40.15</v>
          </cell>
          <cell r="I156">
            <v>118.8</v>
          </cell>
          <cell r="J156">
            <v>307.64</v>
          </cell>
          <cell r="K156">
            <v>10.79</v>
          </cell>
          <cell r="L156">
            <v>10.33</v>
          </cell>
          <cell r="M156">
            <v>3.75</v>
          </cell>
          <cell r="N156">
            <v>0.47</v>
          </cell>
          <cell r="O156">
            <v>29.27</v>
          </cell>
          <cell r="P156">
            <v>0.38</v>
          </cell>
          <cell r="Q156">
            <v>1.01</v>
          </cell>
          <cell r="R156">
            <v>13.8</v>
          </cell>
        </row>
        <row r="157">
          <cell r="E157">
            <v>14.500000000000099</v>
          </cell>
          <cell r="F157">
            <v>63.85</v>
          </cell>
          <cell r="G157">
            <v>21.58</v>
          </cell>
          <cell r="H157">
            <v>40.630000000000003</v>
          </cell>
          <cell r="I157">
            <v>120.37</v>
          </cell>
          <cell r="J157">
            <v>312.08999999999997</v>
          </cell>
          <cell r="K157">
            <v>10.87</v>
          </cell>
          <cell r="L157">
            <v>10.41</v>
          </cell>
          <cell r="M157">
            <v>3.75</v>
          </cell>
          <cell r="N157">
            <v>0.47</v>
          </cell>
          <cell r="O157">
            <v>29.51</v>
          </cell>
          <cell r="P157">
            <v>0.38</v>
          </cell>
          <cell r="Q157">
            <v>1.01</v>
          </cell>
          <cell r="R157">
            <v>13.9</v>
          </cell>
        </row>
        <row r="158">
          <cell r="E158">
            <v>14.600000000000099</v>
          </cell>
          <cell r="F158">
            <v>64.3</v>
          </cell>
          <cell r="G158">
            <v>21.71</v>
          </cell>
          <cell r="H158">
            <v>41.1</v>
          </cell>
          <cell r="I158">
            <v>121.94</v>
          </cell>
          <cell r="J158">
            <v>316.56</v>
          </cell>
          <cell r="K158">
            <v>10.96</v>
          </cell>
          <cell r="L158">
            <v>10.5</v>
          </cell>
          <cell r="M158">
            <v>3.75</v>
          </cell>
          <cell r="N158">
            <v>0.47</v>
          </cell>
          <cell r="O158">
            <v>29.74</v>
          </cell>
          <cell r="P158">
            <v>0.38</v>
          </cell>
          <cell r="Q158">
            <v>1.01</v>
          </cell>
          <cell r="R158">
            <v>14</v>
          </cell>
        </row>
        <row r="159">
          <cell r="E159">
            <v>14.700000000000101</v>
          </cell>
          <cell r="F159">
            <v>64.75</v>
          </cell>
          <cell r="G159">
            <v>21.85</v>
          </cell>
          <cell r="H159">
            <v>41.58</v>
          </cell>
          <cell r="I159">
            <v>123.53</v>
          </cell>
          <cell r="J159">
            <v>312.08</v>
          </cell>
          <cell r="K159">
            <v>11.04</v>
          </cell>
          <cell r="L159">
            <v>10.58</v>
          </cell>
          <cell r="M159">
            <v>3.75</v>
          </cell>
          <cell r="N159">
            <v>0.47</v>
          </cell>
          <cell r="O159">
            <v>29.98</v>
          </cell>
          <cell r="P159">
            <v>0.38</v>
          </cell>
          <cell r="Q159">
            <v>1.01</v>
          </cell>
          <cell r="R159">
            <v>14.1</v>
          </cell>
        </row>
        <row r="160">
          <cell r="E160">
            <v>14.8000000000001</v>
          </cell>
          <cell r="F160">
            <v>65.2</v>
          </cell>
          <cell r="G160">
            <v>21.9</v>
          </cell>
          <cell r="H160">
            <v>42.06</v>
          </cell>
          <cell r="I160">
            <v>125.12</v>
          </cell>
          <cell r="J160">
            <v>325.64</v>
          </cell>
          <cell r="K160">
            <v>11.12</v>
          </cell>
          <cell r="L160">
            <v>10.66</v>
          </cell>
          <cell r="M160">
            <v>3.75</v>
          </cell>
          <cell r="N160">
            <v>0.47</v>
          </cell>
          <cell r="O160">
            <v>30.21</v>
          </cell>
          <cell r="P160">
            <v>0.38</v>
          </cell>
          <cell r="Q160">
            <v>1.01</v>
          </cell>
          <cell r="R160">
            <v>14.2</v>
          </cell>
        </row>
        <row r="161">
          <cell r="E161">
            <v>14.9000000000001</v>
          </cell>
          <cell r="F161">
            <v>65.650000000000006</v>
          </cell>
          <cell r="G161">
            <v>22.12</v>
          </cell>
          <cell r="H161">
            <v>42.55</v>
          </cell>
          <cell r="I161">
            <v>126.73</v>
          </cell>
          <cell r="J161">
            <v>330.22</v>
          </cell>
          <cell r="K161">
            <v>11.2</v>
          </cell>
          <cell r="L161">
            <v>10.74</v>
          </cell>
          <cell r="M161">
            <v>3.75</v>
          </cell>
          <cell r="N161">
            <v>0.47</v>
          </cell>
          <cell r="O161">
            <v>30.45</v>
          </cell>
          <cell r="P161">
            <v>0.38</v>
          </cell>
          <cell r="Q161">
            <v>1.01</v>
          </cell>
          <cell r="R161">
            <v>14.3</v>
          </cell>
        </row>
        <row r="162">
          <cell r="E162">
            <v>15.000000000000099</v>
          </cell>
          <cell r="F162">
            <v>66.099999999999994</v>
          </cell>
          <cell r="G162">
            <v>22.25</v>
          </cell>
          <cell r="H162">
            <v>43.03</v>
          </cell>
          <cell r="I162">
            <v>128.34</v>
          </cell>
          <cell r="J162">
            <v>334.86</v>
          </cell>
          <cell r="K162">
            <v>11.28</v>
          </cell>
          <cell r="L162">
            <v>10.82</v>
          </cell>
          <cell r="M162">
            <v>3.75</v>
          </cell>
          <cell r="N162">
            <v>0.47</v>
          </cell>
          <cell r="O162">
            <v>30.68</v>
          </cell>
          <cell r="P162">
            <v>0.38</v>
          </cell>
          <cell r="Q162">
            <v>1.01</v>
          </cell>
          <cell r="R162">
            <v>14.4</v>
          </cell>
        </row>
        <row r="163">
          <cell r="E163">
            <v>15.100000000000099</v>
          </cell>
          <cell r="F163">
            <v>66.55</v>
          </cell>
          <cell r="G163">
            <v>22.39</v>
          </cell>
          <cell r="H163">
            <v>43.52</v>
          </cell>
          <cell r="I163">
            <v>129.97</v>
          </cell>
          <cell r="J163">
            <v>339.52</v>
          </cell>
          <cell r="K163">
            <v>11.36</v>
          </cell>
          <cell r="L163">
            <v>10.9</v>
          </cell>
          <cell r="M163">
            <v>3.75</v>
          </cell>
          <cell r="N163">
            <v>0.47</v>
          </cell>
          <cell r="O163">
            <v>30.92</v>
          </cell>
          <cell r="P163">
            <v>0.38</v>
          </cell>
          <cell r="Q163">
            <v>1.01</v>
          </cell>
          <cell r="R163">
            <v>14.5</v>
          </cell>
        </row>
        <row r="164">
          <cell r="E164">
            <v>15.200000000000101</v>
          </cell>
          <cell r="F164">
            <v>67</v>
          </cell>
          <cell r="G164">
            <v>22.52</v>
          </cell>
          <cell r="H164">
            <v>44.01</v>
          </cell>
          <cell r="I164">
            <v>131.6</v>
          </cell>
          <cell r="J164">
            <v>344.22</v>
          </cell>
          <cell r="K164">
            <v>11.44</v>
          </cell>
          <cell r="L164">
            <v>10.98</v>
          </cell>
          <cell r="M164">
            <v>3.75</v>
          </cell>
          <cell r="N164">
            <v>0.47</v>
          </cell>
          <cell r="O164">
            <v>31.15</v>
          </cell>
          <cell r="P164">
            <v>0.38</v>
          </cell>
          <cell r="Q164">
            <v>1.01</v>
          </cell>
          <cell r="R164">
            <v>14.6</v>
          </cell>
        </row>
        <row r="165">
          <cell r="E165">
            <v>15.3000000000001</v>
          </cell>
          <cell r="F165">
            <v>67.45</v>
          </cell>
          <cell r="G165">
            <v>22.66</v>
          </cell>
          <cell r="H165">
            <v>44.51</v>
          </cell>
          <cell r="I165">
            <v>133.25</v>
          </cell>
          <cell r="J165">
            <v>348.95</v>
          </cell>
          <cell r="K165">
            <v>11.52</v>
          </cell>
          <cell r="L165">
            <v>11.06</v>
          </cell>
          <cell r="M165">
            <v>3.75</v>
          </cell>
          <cell r="N165">
            <v>0.47</v>
          </cell>
          <cell r="O165">
            <v>31.39</v>
          </cell>
          <cell r="P165">
            <v>0.38</v>
          </cell>
          <cell r="Q165">
            <v>1.01</v>
          </cell>
          <cell r="R165">
            <v>14.7</v>
          </cell>
        </row>
        <row r="166">
          <cell r="E166">
            <v>15.4000000000001</v>
          </cell>
          <cell r="F166">
            <v>67.900000000000006</v>
          </cell>
          <cell r="G166">
            <v>22.79</v>
          </cell>
          <cell r="H166">
            <v>45</v>
          </cell>
          <cell r="I166">
            <v>134.9</v>
          </cell>
          <cell r="J166">
            <v>353.72</v>
          </cell>
          <cell r="K166">
            <v>11.6</v>
          </cell>
          <cell r="L166">
            <v>11.14</v>
          </cell>
          <cell r="M166">
            <v>3.75</v>
          </cell>
          <cell r="N166">
            <v>0.47</v>
          </cell>
          <cell r="O166">
            <v>31.62</v>
          </cell>
          <cell r="P166">
            <v>0.38</v>
          </cell>
          <cell r="Q166">
            <v>1.01</v>
          </cell>
          <cell r="R166">
            <v>14.8</v>
          </cell>
        </row>
        <row r="167">
          <cell r="E167">
            <v>15.500000000000099</v>
          </cell>
          <cell r="F167">
            <v>68.349999999999994</v>
          </cell>
          <cell r="G167">
            <v>22.93</v>
          </cell>
          <cell r="H167">
            <v>45.5</v>
          </cell>
          <cell r="I167">
            <v>136.57</v>
          </cell>
          <cell r="J167">
            <v>358.52</v>
          </cell>
          <cell r="K167">
            <v>11.68</v>
          </cell>
          <cell r="L167">
            <v>11.22</v>
          </cell>
          <cell r="M167">
            <v>3.75</v>
          </cell>
          <cell r="N167">
            <v>0.47</v>
          </cell>
          <cell r="O167">
            <v>31.86</v>
          </cell>
          <cell r="P167">
            <v>0.38</v>
          </cell>
          <cell r="Q167">
            <v>1.01</v>
          </cell>
          <cell r="R167">
            <v>14.9</v>
          </cell>
        </row>
        <row r="168">
          <cell r="E168">
            <v>15.600000000000099</v>
          </cell>
          <cell r="F168">
            <v>68.8</v>
          </cell>
          <cell r="G168">
            <v>23.06</v>
          </cell>
          <cell r="H168">
            <v>46</v>
          </cell>
          <cell r="I168">
            <v>138.34</v>
          </cell>
          <cell r="J168">
            <v>363.26</v>
          </cell>
          <cell r="K168">
            <v>11.76</v>
          </cell>
          <cell r="L168">
            <v>11.3</v>
          </cell>
          <cell r="M168">
            <v>3.75</v>
          </cell>
          <cell r="N168">
            <v>0.47</v>
          </cell>
          <cell r="O168">
            <v>32.090000000000003</v>
          </cell>
          <cell r="P168">
            <v>0.38</v>
          </cell>
          <cell r="Q168">
            <v>1.01</v>
          </cell>
          <cell r="R168">
            <v>15</v>
          </cell>
        </row>
        <row r="169">
          <cell r="E169">
            <v>15.700000000000101</v>
          </cell>
          <cell r="F169">
            <v>69.25</v>
          </cell>
          <cell r="G169">
            <v>23.2</v>
          </cell>
          <cell r="H169">
            <v>46.51</v>
          </cell>
          <cell r="I169">
            <v>139.93</v>
          </cell>
          <cell r="J169">
            <v>638.23</v>
          </cell>
          <cell r="K169">
            <v>11.84</v>
          </cell>
          <cell r="L169">
            <v>11.38</v>
          </cell>
          <cell r="M169">
            <v>3.75</v>
          </cell>
          <cell r="N169">
            <v>0.47</v>
          </cell>
          <cell r="O169">
            <v>32.33</v>
          </cell>
          <cell r="P169">
            <v>0.38</v>
          </cell>
          <cell r="Q169">
            <v>1.01</v>
          </cell>
          <cell r="R169">
            <v>15.1</v>
          </cell>
        </row>
        <row r="170">
          <cell r="E170">
            <v>15.8000000000001</v>
          </cell>
          <cell r="F170">
            <v>69.7</v>
          </cell>
          <cell r="G170">
            <v>23.33</v>
          </cell>
          <cell r="H170">
            <v>47.01</v>
          </cell>
          <cell r="I170">
            <v>141.62</v>
          </cell>
          <cell r="J170">
            <v>373.14</v>
          </cell>
          <cell r="K170">
            <v>11.92</v>
          </cell>
          <cell r="L170">
            <v>11.46</v>
          </cell>
          <cell r="M170">
            <v>3.75</v>
          </cell>
          <cell r="N170">
            <v>0.47</v>
          </cell>
          <cell r="O170">
            <v>32.56</v>
          </cell>
          <cell r="P170">
            <v>0.38</v>
          </cell>
          <cell r="Q170">
            <v>1.01</v>
          </cell>
          <cell r="R170">
            <v>15.2</v>
          </cell>
        </row>
        <row r="171">
          <cell r="E171">
            <v>15.9000000000001</v>
          </cell>
          <cell r="F171">
            <v>70.150000000000006</v>
          </cell>
          <cell r="G171">
            <v>23.47</v>
          </cell>
          <cell r="H171">
            <v>47.52</v>
          </cell>
          <cell r="I171">
            <v>143.33000000000001</v>
          </cell>
          <cell r="J171">
            <v>378.05</v>
          </cell>
          <cell r="K171">
            <v>12.01</v>
          </cell>
          <cell r="L171">
            <v>11.55</v>
          </cell>
          <cell r="M171">
            <v>3.75</v>
          </cell>
          <cell r="N171">
            <v>0.47</v>
          </cell>
          <cell r="O171">
            <v>32.799999999999997</v>
          </cell>
          <cell r="P171">
            <v>0.38</v>
          </cell>
          <cell r="Q171">
            <v>1.01</v>
          </cell>
          <cell r="R171">
            <v>15.3</v>
          </cell>
        </row>
        <row r="172">
          <cell r="E172">
            <v>16.000000000000099</v>
          </cell>
          <cell r="F172">
            <v>70.599999999999994</v>
          </cell>
          <cell r="G172">
            <v>23.6</v>
          </cell>
          <cell r="H172">
            <v>48.03</v>
          </cell>
          <cell r="I172">
            <v>145.04</v>
          </cell>
          <cell r="J172">
            <v>383.03</v>
          </cell>
          <cell r="K172">
            <v>12.09</v>
          </cell>
          <cell r="L172">
            <v>11.63</v>
          </cell>
          <cell r="M172">
            <v>3.75</v>
          </cell>
          <cell r="N172">
            <v>0.47</v>
          </cell>
          <cell r="O172">
            <v>33.03</v>
          </cell>
          <cell r="P172">
            <v>0.38</v>
          </cell>
          <cell r="Q172">
            <v>1.01</v>
          </cell>
          <cell r="R172">
            <v>15.4</v>
          </cell>
        </row>
      </sheetData>
      <sheetData sheetId="1" refreshError="1"/>
      <sheetData sheetId="2" refreshError="1"/>
      <sheetData sheetId="3" refreshError="1"/>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J66"/>
  <sheetViews>
    <sheetView tabSelected="1" view="pageBreakPreview" zoomScale="75" zoomScaleSheetLayoutView="75" workbookViewId="0">
      <selection activeCell="U19" sqref="U19"/>
    </sheetView>
  </sheetViews>
  <sheetFormatPr defaultColWidth="9.140625" defaultRowHeight="12.75"/>
  <cols>
    <col min="1" max="1" width="8.28515625" style="264" customWidth="1"/>
    <col min="2" max="2" width="12.5703125" style="264" customWidth="1"/>
    <col min="3" max="8" width="8.28515625" style="264" customWidth="1"/>
    <col min="9" max="9" width="11.5703125" style="264" customWidth="1"/>
    <col min="10" max="10" width="8.28515625" style="264" customWidth="1"/>
    <col min="11" max="11" width="2.42578125" style="264" customWidth="1"/>
    <col min="12" max="12" width="8.7109375" style="264" customWidth="1"/>
    <col min="13" max="20" width="9.140625" style="264"/>
    <col min="21" max="21" width="8" style="264" customWidth="1"/>
    <col min="22" max="16384" width="9.140625" style="264"/>
  </cols>
  <sheetData>
    <row r="1" spans="1:10">
      <c r="A1" s="261"/>
      <c r="B1" s="262"/>
      <c r="C1" s="262"/>
      <c r="D1" s="262"/>
      <c r="E1" s="262"/>
      <c r="F1" s="262"/>
      <c r="G1" s="262"/>
      <c r="H1" s="262"/>
      <c r="I1" s="262"/>
      <c r="J1" s="263"/>
    </row>
    <row r="2" spans="1:10">
      <c r="A2" s="265"/>
      <c r="J2" s="266"/>
    </row>
    <row r="3" spans="1:10">
      <c r="A3" s="265"/>
      <c r="J3" s="266"/>
    </row>
    <row r="4" spans="1:10">
      <c r="A4" s="265"/>
      <c r="J4" s="266"/>
    </row>
    <row r="5" spans="1:10">
      <c r="A5" s="265"/>
      <c r="J5" s="266"/>
    </row>
    <row r="6" spans="1:10">
      <c r="A6" s="265"/>
      <c r="J6" s="266"/>
    </row>
    <row r="7" spans="1:10">
      <c r="A7" s="265"/>
      <c r="J7" s="266"/>
    </row>
    <row r="8" spans="1:10">
      <c r="A8" s="265"/>
      <c r="J8" s="266"/>
    </row>
    <row r="9" spans="1:10">
      <c r="A9" s="265"/>
      <c r="J9" s="266"/>
    </row>
    <row r="10" spans="1:10">
      <c r="A10" s="265"/>
      <c r="J10" s="266"/>
    </row>
    <row r="11" spans="1:10">
      <c r="A11" s="265"/>
      <c r="J11" s="266"/>
    </row>
    <row r="12" spans="1:10" ht="18">
      <c r="A12" s="267"/>
      <c r="B12" s="268"/>
      <c r="C12" s="268"/>
      <c r="D12" s="268"/>
      <c r="E12" s="268"/>
      <c r="F12" s="268"/>
      <c r="G12" s="268"/>
      <c r="H12" s="268"/>
      <c r="I12" s="268"/>
      <c r="J12" s="266"/>
    </row>
    <row r="13" spans="1:10" ht="18">
      <c r="A13" s="267"/>
      <c r="B13" s="268"/>
      <c r="C13" s="268"/>
      <c r="D13" s="268"/>
      <c r="E13" s="268"/>
      <c r="F13" s="268"/>
      <c r="G13" s="268"/>
      <c r="H13" s="268"/>
      <c r="I13" s="268"/>
      <c r="J13" s="266"/>
    </row>
    <row r="14" spans="1:10" ht="25.5">
      <c r="A14" s="368" t="s">
        <v>324</v>
      </c>
      <c r="B14" s="369"/>
      <c r="C14" s="369"/>
      <c r="D14" s="369"/>
      <c r="E14" s="369"/>
      <c r="F14" s="369"/>
      <c r="G14" s="369"/>
      <c r="H14" s="369"/>
      <c r="I14" s="369"/>
      <c r="J14" s="370"/>
    </row>
    <row r="15" spans="1:10">
      <c r="A15" s="265"/>
      <c r="J15" s="266"/>
    </row>
    <row r="16" spans="1:10">
      <c r="A16" s="265"/>
      <c r="J16" s="266"/>
    </row>
    <row r="17" spans="1:10">
      <c r="A17" s="265"/>
      <c r="J17" s="266"/>
    </row>
    <row r="18" spans="1:10">
      <c r="A18" s="265"/>
      <c r="J18" s="266"/>
    </row>
    <row r="19" spans="1:10">
      <c r="A19" s="265"/>
      <c r="J19" s="266"/>
    </row>
    <row r="20" spans="1:10" ht="15" customHeight="1">
      <c r="A20" s="269"/>
      <c r="B20" s="270"/>
      <c r="C20" s="270"/>
      <c r="D20" s="270"/>
      <c r="E20" s="270"/>
      <c r="F20" s="270"/>
      <c r="G20" s="270"/>
      <c r="H20" s="270"/>
      <c r="I20" s="270"/>
      <c r="J20" s="271"/>
    </row>
    <row r="21" spans="1:10">
      <c r="A21" s="265"/>
      <c r="J21" s="266"/>
    </row>
    <row r="22" spans="1:10">
      <c r="A22" s="265"/>
      <c r="J22" s="266"/>
    </row>
    <row r="23" spans="1:10">
      <c r="A23" s="265"/>
      <c r="J23" s="266"/>
    </row>
    <row r="24" spans="1:10">
      <c r="A24" s="265"/>
      <c r="J24" s="266"/>
    </row>
    <row r="25" spans="1:10" ht="12.75" customHeight="1">
      <c r="A25" s="366" t="s">
        <v>329</v>
      </c>
      <c r="B25" s="371" t="s">
        <v>637</v>
      </c>
      <c r="C25" s="371"/>
      <c r="D25" s="371"/>
      <c r="E25" s="371"/>
      <c r="F25" s="371"/>
      <c r="G25" s="371"/>
      <c r="H25" s="371"/>
      <c r="I25" s="371"/>
      <c r="J25" s="273"/>
    </row>
    <row r="26" spans="1:10" ht="12.75" customHeight="1">
      <c r="A26" s="367"/>
      <c r="B26" s="371"/>
      <c r="C26" s="371"/>
      <c r="D26" s="371"/>
      <c r="E26" s="371"/>
      <c r="F26" s="371"/>
      <c r="G26" s="371"/>
      <c r="H26" s="371"/>
      <c r="I26" s="371"/>
      <c r="J26" s="273"/>
    </row>
    <row r="27" spans="1:10" ht="19.899999999999999" customHeight="1">
      <c r="A27" s="367"/>
      <c r="B27" s="371"/>
      <c r="C27" s="371"/>
      <c r="D27" s="371"/>
      <c r="E27" s="371"/>
      <c r="F27" s="371"/>
      <c r="G27" s="371"/>
      <c r="H27" s="371"/>
      <c r="I27" s="371"/>
      <c r="J27" s="273"/>
    </row>
    <row r="28" spans="1:10" ht="12.6" hidden="1" customHeight="1">
      <c r="A28" s="367"/>
      <c r="B28" s="371"/>
      <c r="C28" s="371"/>
      <c r="D28" s="371"/>
      <c r="E28" s="371"/>
      <c r="F28" s="371"/>
      <c r="G28" s="371"/>
      <c r="H28" s="371"/>
      <c r="I28" s="371"/>
      <c r="J28" s="273"/>
    </row>
    <row r="29" spans="1:10" ht="9.6" hidden="1" customHeight="1">
      <c r="A29" s="367"/>
      <c r="B29" s="371"/>
      <c r="C29" s="371"/>
      <c r="D29" s="371"/>
      <c r="E29" s="371"/>
      <c r="F29" s="371"/>
      <c r="G29" s="371"/>
      <c r="H29" s="371"/>
      <c r="I29" s="371"/>
      <c r="J29" s="273"/>
    </row>
    <row r="30" spans="1:10" hidden="1">
      <c r="A30" s="272"/>
      <c r="B30" s="371"/>
      <c r="C30" s="371"/>
      <c r="D30" s="371"/>
      <c r="E30" s="371"/>
      <c r="F30" s="371"/>
      <c r="G30" s="371"/>
      <c r="H30" s="371"/>
      <c r="I30" s="371"/>
      <c r="J30" s="273"/>
    </row>
    <row r="31" spans="1:10" ht="12.75" customHeight="1">
      <c r="A31" s="272"/>
      <c r="B31" s="274"/>
      <c r="C31" s="274"/>
      <c r="D31" s="274"/>
      <c r="E31" s="274"/>
      <c r="F31" s="274"/>
      <c r="G31" s="274"/>
      <c r="H31" s="274"/>
      <c r="I31" s="274"/>
      <c r="J31" s="273"/>
    </row>
    <row r="32" spans="1:10" ht="12.75" customHeight="1">
      <c r="A32" s="272"/>
      <c r="B32" s="274"/>
      <c r="C32" s="274"/>
      <c r="D32" s="274"/>
      <c r="E32" s="274"/>
      <c r="F32" s="274"/>
      <c r="G32" s="274"/>
      <c r="H32" s="274"/>
      <c r="I32" s="274"/>
      <c r="J32" s="273"/>
    </row>
    <row r="33" spans="1:10" ht="12.75" customHeight="1">
      <c r="A33" s="272"/>
      <c r="B33" s="274"/>
      <c r="C33" s="274"/>
      <c r="D33" s="274"/>
      <c r="E33" s="274"/>
      <c r="F33" s="274"/>
      <c r="G33" s="274"/>
      <c r="H33" s="274"/>
      <c r="I33" s="274"/>
      <c r="J33" s="273"/>
    </row>
    <row r="34" spans="1:10">
      <c r="A34" s="272"/>
      <c r="B34" s="274"/>
      <c r="C34" s="274"/>
      <c r="D34" s="274"/>
      <c r="E34" s="274"/>
      <c r="F34" s="274"/>
      <c r="G34" s="274"/>
      <c r="H34" s="274"/>
      <c r="I34" s="274"/>
      <c r="J34" s="273"/>
    </row>
    <row r="35" spans="1:10" ht="18">
      <c r="A35" s="272"/>
      <c r="B35" s="274"/>
      <c r="C35" s="274"/>
      <c r="D35" s="274"/>
      <c r="E35" s="274"/>
      <c r="F35" s="275" t="s">
        <v>325</v>
      </c>
      <c r="G35" s="372">
        <f>+'Gen abs'!G20</f>
        <v>7.2</v>
      </c>
      <c r="H35" s="372"/>
      <c r="I35" s="276" t="s">
        <v>326</v>
      </c>
      <c r="J35" s="273"/>
    </row>
    <row r="36" spans="1:10" ht="18">
      <c r="A36" s="272"/>
      <c r="B36" s="274"/>
      <c r="C36" s="274"/>
      <c r="D36" s="274"/>
      <c r="E36" s="274"/>
      <c r="F36" s="275" t="s">
        <v>327</v>
      </c>
      <c r="G36" s="274"/>
      <c r="H36" s="277" t="s">
        <v>328</v>
      </c>
      <c r="I36" s="274"/>
      <c r="J36" s="273"/>
    </row>
    <row r="37" spans="1:10">
      <c r="A37" s="272"/>
      <c r="B37" s="274"/>
      <c r="C37" s="274"/>
      <c r="D37" s="274"/>
      <c r="E37" s="274"/>
      <c r="F37" s="274"/>
      <c r="G37" s="274"/>
      <c r="H37" s="274"/>
      <c r="I37" s="274"/>
      <c r="J37" s="273"/>
    </row>
    <row r="38" spans="1:10">
      <c r="A38" s="272"/>
      <c r="B38" s="274"/>
      <c r="C38" s="274"/>
      <c r="D38" s="274"/>
      <c r="E38" s="274"/>
      <c r="F38" s="274"/>
      <c r="G38" s="274"/>
      <c r="H38" s="274"/>
      <c r="I38" s="274"/>
      <c r="J38" s="273"/>
    </row>
    <row r="39" spans="1:10">
      <c r="A39" s="272"/>
      <c r="B39" s="274"/>
      <c r="C39" s="274"/>
      <c r="D39" s="274"/>
      <c r="E39" s="274"/>
      <c r="F39" s="274"/>
      <c r="G39" s="274"/>
      <c r="H39" s="274"/>
      <c r="I39" s="274"/>
      <c r="J39" s="273"/>
    </row>
    <row r="40" spans="1:10" ht="15" customHeight="1">
      <c r="A40" s="278"/>
      <c r="B40" s="279"/>
      <c r="C40" s="279"/>
      <c r="D40" s="279"/>
      <c r="E40" s="279"/>
      <c r="F40" s="279"/>
      <c r="G40" s="279"/>
      <c r="H40" s="279"/>
      <c r="I40" s="279"/>
      <c r="J40" s="280"/>
    </row>
    <row r="41" spans="1:10" ht="15" customHeight="1">
      <c r="A41" s="272"/>
      <c r="B41" s="274"/>
      <c r="C41" s="274"/>
      <c r="D41" s="274"/>
      <c r="E41" s="274"/>
      <c r="F41" s="274"/>
      <c r="G41" s="274"/>
      <c r="H41" s="274"/>
      <c r="I41" s="274"/>
      <c r="J41" s="273"/>
    </row>
    <row r="42" spans="1:10" ht="15" customHeight="1">
      <c r="A42" s="278"/>
      <c r="B42" s="279"/>
      <c r="C42" s="279"/>
      <c r="D42" s="279"/>
      <c r="E42" s="279"/>
      <c r="F42" s="279"/>
      <c r="G42" s="279"/>
      <c r="H42" s="279"/>
      <c r="I42" s="279"/>
      <c r="J42" s="280"/>
    </row>
    <row r="43" spans="1:10" ht="15" customHeight="1">
      <c r="A43" s="272"/>
      <c r="B43" s="274"/>
      <c r="C43" s="274"/>
      <c r="D43" s="274"/>
      <c r="E43" s="274"/>
      <c r="F43" s="274"/>
      <c r="G43" s="274"/>
      <c r="H43" s="274"/>
      <c r="I43" s="274"/>
      <c r="J43" s="273"/>
    </row>
    <row r="44" spans="1:10" ht="15" customHeight="1">
      <c r="A44" s="278"/>
      <c r="B44" s="279"/>
      <c r="C44" s="279"/>
      <c r="D44" s="279"/>
      <c r="E44" s="279"/>
      <c r="F44" s="279"/>
      <c r="G44" s="279"/>
      <c r="H44" s="279"/>
      <c r="I44" s="279"/>
      <c r="J44" s="280"/>
    </row>
    <row r="45" spans="1:10" ht="20.100000000000001" customHeight="1">
      <c r="A45" s="360"/>
      <c r="B45" s="361"/>
      <c r="C45" s="361"/>
      <c r="D45" s="361"/>
      <c r="E45" s="361"/>
      <c r="F45" s="361"/>
      <c r="G45" s="361"/>
      <c r="H45" s="361"/>
      <c r="I45" s="361"/>
      <c r="J45" s="362"/>
    </row>
    <row r="46" spans="1:10" ht="20.100000000000001" customHeight="1">
      <c r="A46" s="360"/>
      <c r="B46" s="361"/>
      <c r="C46" s="361"/>
      <c r="D46" s="361"/>
      <c r="E46" s="361"/>
      <c r="F46" s="361"/>
      <c r="G46" s="361"/>
      <c r="H46" s="361"/>
      <c r="I46" s="361"/>
      <c r="J46" s="362"/>
    </row>
    <row r="47" spans="1:10" ht="20.100000000000001" customHeight="1">
      <c r="A47" s="360"/>
      <c r="B47" s="361"/>
      <c r="C47" s="361"/>
      <c r="D47" s="361"/>
      <c r="E47" s="361"/>
      <c r="F47" s="361"/>
      <c r="G47" s="361"/>
      <c r="H47" s="361"/>
      <c r="I47" s="361"/>
      <c r="J47" s="362"/>
    </row>
    <row r="48" spans="1:10" ht="18">
      <c r="A48" s="360"/>
      <c r="B48" s="361"/>
      <c r="C48" s="361"/>
      <c r="D48" s="361"/>
      <c r="E48" s="361"/>
      <c r="F48" s="361"/>
      <c r="G48" s="361"/>
      <c r="H48" s="361"/>
      <c r="I48" s="361"/>
      <c r="J48" s="362"/>
    </row>
    <row r="49" spans="1:10" ht="18">
      <c r="A49" s="363"/>
      <c r="B49" s="364"/>
      <c r="C49" s="364"/>
      <c r="D49" s="364"/>
      <c r="E49" s="364"/>
      <c r="F49" s="364"/>
      <c r="G49" s="364"/>
      <c r="H49" s="364"/>
      <c r="I49" s="364"/>
      <c r="J49" s="365"/>
    </row>
    <row r="50" spans="1:10">
      <c r="A50" s="272"/>
      <c r="B50" s="274"/>
      <c r="C50" s="274"/>
      <c r="D50" s="274"/>
      <c r="E50" s="274"/>
      <c r="F50" s="274"/>
      <c r="G50" s="274"/>
      <c r="H50" s="274"/>
      <c r="I50" s="274"/>
      <c r="J50" s="273"/>
    </row>
    <row r="51" spans="1:10" ht="13.5" thickBot="1">
      <c r="A51" s="281"/>
      <c r="B51" s="282"/>
      <c r="C51" s="282"/>
      <c r="D51" s="282"/>
      <c r="E51" s="282"/>
      <c r="F51" s="282"/>
      <c r="G51" s="282"/>
      <c r="H51" s="282"/>
      <c r="I51" s="282"/>
      <c r="J51" s="283"/>
    </row>
    <row r="52" spans="1:10">
      <c r="A52" s="274"/>
      <c r="B52" s="274"/>
      <c r="C52" s="274"/>
      <c r="D52" s="274"/>
      <c r="E52" s="274"/>
      <c r="F52" s="274"/>
      <c r="G52" s="274"/>
      <c r="H52" s="274"/>
      <c r="I52" s="274"/>
      <c r="J52" s="274"/>
    </row>
    <row r="53" spans="1:10">
      <c r="A53" s="274"/>
      <c r="B53" s="274"/>
      <c r="C53" s="274"/>
      <c r="D53" s="274"/>
      <c r="E53" s="274"/>
      <c r="F53" s="274"/>
      <c r="G53" s="274"/>
      <c r="H53" s="274"/>
      <c r="I53" s="274"/>
      <c r="J53" s="274"/>
    </row>
    <row r="54" spans="1:10">
      <c r="A54" s="274"/>
      <c r="B54" s="274"/>
      <c r="C54" s="274"/>
      <c r="D54" s="274"/>
      <c r="E54" s="274"/>
      <c r="F54" s="274"/>
      <c r="G54" s="274"/>
      <c r="H54" s="274"/>
      <c r="I54" s="274"/>
      <c r="J54" s="274"/>
    </row>
    <row r="55" spans="1:10">
      <c r="A55" s="274"/>
      <c r="B55" s="274"/>
      <c r="C55" s="274"/>
      <c r="D55" s="274"/>
      <c r="E55" s="274"/>
      <c r="F55" s="274"/>
      <c r="G55" s="274"/>
      <c r="H55" s="274"/>
      <c r="I55" s="274"/>
      <c r="J55" s="274"/>
    </row>
    <row r="56" spans="1:10">
      <c r="A56" s="274"/>
      <c r="B56" s="274"/>
      <c r="C56" s="274"/>
      <c r="D56" s="274"/>
      <c r="E56" s="274"/>
      <c r="F56" s="274"/>
      <c r="G56" s="274"/>
      <c r="H56" s="274"/>
      <c r="I56" s="274"/>
      <c r="J56" s="274"/>
    </row>
    <row r="57" spans="1:10">
      <c r="A57" s="274"/>
      <c r="B57" s="274"/>
      <c r="C57" s="274"/>
      <c r="D57" s="274"/>
      <c r="E57" s="274"/>
      <c r="F57" s="274"/>
      <c r="G57" s="274"/>
      <c r="H57" s="274"/>
      <c r="I57" s="274"/>
      <c r="J57" s="274"/>
    </row>
    <row r="58" spans="1:10">
      <c r="A58" s="274"/>
      <c r="B58" s="274"/>
      <c r="C58" s="274"/>
      <c r="D58" s="274"/>
      <c r="E58" s="274"/>
      <c r="F58" s="274"/>
      <c r="G58" s="274"/>
      <c r="H58" s="274"/>
      <c r="I58" s="274"/>
      <c r="J58" s="274"/>
    </row>
    <row r="59" spans="1:10">
      <c r="A59" s="274"/>
      <c r="B59" s="274"/>
      <c r="C59" s="274"/>
      <c r="D59" s="274"/>
      <c r="E59" s="274"/>
      <c r="F59" s="274"/>
      <c r="G59" s="274"/>
      <c r="H59" s="274"/>
      <c r="I59" s="274"/>
      <c r="J59" s="274"/>
    </row>
    <row r="60" spans="1:10">
      <c r="A60" s="274"/>
      <c r="B60" s="274"/>
      <c r="C60" s="274"/>
      <c r="D60" s="274"/>
      <c r="E60" s="274"/>
      <c r="F60" s="274"/>
      <c r="G60" s="274"/>
      <c r="H60" s="274"/>
      <c r="I60" s="274"/>
      <c r="J60" s="274"/>
    </row>
    <row r="61" spans="1:10">
      <c r="A61" s="274"/>
      <c r="B61" s="274"/>
      <c r="C61" s="274"/>
      <c r="D61" s="274"/>
      <c r="E61" s="274"/>
      <c r="F61" s="274"/>
      <c r="G61" s="274"/>
      <c r="H61" s="274"/>
      <c r="I61" s="274"/>
      <c r="J61" s="274"/>
    </row>
    <row r="62" spans="1:10">
      <c r="A62" s="274"/>
      <c r="B62" s="274"/>
      <c r="C62" s="274"/>
      <c r="D62" s="274"/>
      <c r="E62" s="274"/>
      <c r="F62" s="274"/>
      <c r="G62" s="274"/>
      <c r="H62" s="274"/>
      <c r="I62" s="274"/>
      <c r="J62" s="274"/>
    </row>
    <row r="63" spans="1:10">
      <c r="A63" s="274"/>
      <c r="B63" s="274"/>
      <c r="C63" s="274"/>
      <c r="D63" s="274"/>
      <c r="E63" s="274"/>
      <c r="F63" s="274"/>
      <c r="G63" s="274"/>
      <c r="H63" s="274"/>
      <c r="I63" s="274"/>
      <c r="J63" s="274"/>
    </row>
    <row r="64" spans="1:10">
      <c r="A64" s="274"/>
      <c r="B64" s="274"/>
      <c r="C64" s="274"/>
      <c r="D64" s="274"/>
      <c r="E64" s="274"/>
      <c r="F64" s="274"/>
      <c r="G64" s="274"/>
      <c r="H64" s="274"/>
      <c r="I64" s="274"/>
      <c r="J64" s="274"/>
    </row>
    <row r="65" spans="1:10">
      <c r="A65" s="274"/>
      <c r="B65" s="274"/>
      <c r="C65" s="274"/>
      <c r="D65" s="274"/>
      <c r="E65" s="274"/>
      <c r="F65" s="274"/>
      <c r="G65" s="274"/>
      <c r="H65" s="274"/>
      <c r="I65" s="274"/>
      <c r="J65" s="274"/>
    </row>
    <row r="66" spans="1:10">
      <c r="A66" s="274"/>
      <c r="B66" s="274"/>
      <c r="C66" s="274"/>
      <c r="D66" s="274"/>
      <c r="E66" s="274"/>
      <c r="F66" s="274"/>
      <c r="G66" s="274"/>
      <c r="H66" s="274"/>
      <c r="I66" s="274"/>
      <c r="J66" s="274"/>
    </row>
  </sheetData>
  <mergeCells count="9">
    <mergeCell ref="A48:J48"/>
    <mergeCell ref="A49:J49"/>
    <mergeCell ref="A25:A29"/>
    <mergeCell ref="A14:J14"/>
    <mergeCell ref="B25:I30"/>
    <mergeCell ref="G35:H35"/>
    <mergeCell ref="A45:J45"/>
    <mergeCell ref="A46:J46"/>
    <mergeCell ref="A47:J47"/>
  </mergeCells>
  <printOptions horizontalCentered="1" verticalCentered="1"/>
  <pageMargins left="0.94488188976377963" right="0.74803149606299213" top="0.9055118110236221" bottom="0.51181102362204722"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dimension ref="A1:Q136"/>
  <sheetViews>
    <sheetView view="pageBreakPreview" zoomScale="75" zoomScaleSheetLayoutView="75" workbookViewId="0">
      <selection activeCell="W95" sqref="W95"/>
    </sheetView>
  </sheetViews>
  <sheetFormatPr defaultColWidth="9.140625" defaultRowHeight="15"/>
  <cols>
    <col min="1" max="1" width="4.85546875" style="47" customWidth="1"/>
    <col min="2" max="2" width="6.42578125" style="47" customWidth="1"/>
    <col min="3" max="3" width="7.7109375" style="47" customWidth="1"/>
    <col min="4" max="4" width="9.28515625" style="47" customWidth="1"/>
    <col min="5" max="5" width="4.85546875" style="47" customWidth="1"/>
    <col min="6" max="6" width="7.140625" style="47" customWidth="1"/>
    <col min="7" max="7" width="4.42578125" style="47" customWidth="1"/>
    <col min="8" max="8" width="12" style="47" customWidth="1"/>
    <col min="9" max="11" width="7.7109375" style="47" customWidth="1"/>
    <col min="12" max="12" width="12.42578125" style="47" customWidth="1"/>
    <col min="13" max="13" width="9.7109375" style="47" customWidth="1"/>
    <col min="14" max="14" width="13.28515625" style="47" customWidth="1"/>
    <col min="15" max="15" width="9.140625" style="47"/>
    <col min="16" max="16" width="14.140625" style="47" customWidth="1"/>
    <col min="17" max="17" width="15.42578125" style="47" customWidth="1"/>
    <col min="18" max="16384" width="9.140625" style="47"/>
  </cols>
  <sheetData>
    <row r="1" spans="1:17" ht="30.75" customHeight="1">
      <c r="A1" s="456" t="str">
        <f>+Cov!B25</f>
        <v>Construction of Slab culvert with Clear Span of 3.0 m</v>
      </c>
      <c r="B1" s="457"/>
      <c r="C1" s="457"/>
      <c r="D1" s="457"/>
      <c r="E1" s="457"/>
      <c r="F1" s="457"/>
      <c r="G1" s="457"/>
      <c r="H1" s="457"/>
      <c r="I1" s="457"/>
      <c r="J1" s="457"/>
      <c r="K1" s="457"/>
      <c r="L1" s="457"/>
      <c r="M1" s="458"/>
    </row>
    <row r="2" spans="1:17" ht="8.25" customHeight="1">
      <c r="A2" s="48"/>
      <c r="B2" s="49"/>
      <c r="C2" s="49"/>
      <c r="D2" s="49"/>
      <c r="E2" s="49"/>
      <c r="F2" s="49"/>
      <c r="G2" s="49"/>
      <c r="H2" s="49"/>
      <c r="I2" s="50"/>
      <c r="J2" s="49"/>
      <c r="K2" s="49"/>
      <c r="L2" s="49"/>
      <c r="M2" s="51"/>
    </row>
    <row r="3" spans="1:17" ht="9.75" customHeight="1">
      <c r="A3" s="52"/>
      <c r="M3" s="53"/>
    </row>
    <row r="4" spans="1:17">
      <c r="A4" s="54" t="s">
        <v>87</v>
      </c>
      <c r="K4" s="55">
        <f>F10</f>
        <v>0.9</v>
      </c>
      <c r="L4" s="56">
        <v>3.8</v>
      </c>
      <c r="M4" s="53"/>
    </row>
    <row r="5" spans="1:17">
      <c r="A5" s="52"/>
      <c r="B5" s="57" t="s">
        <v>88</v>
      </c>
      <c r="E5" s="58" t="s">
        <v>81</v>
      </c>
      <c r="F5" s="47">
        <f>L4</f>
        <v>3.8</v>
      </c>
      <c r="G5" s="47" t="s">
        <v>10</v>
      </c>
      <c r="M5" s="53"/>
    </row>
    <row r="6" spans="1:17">
      <c r="A6" s="52"/>
      <c r="B6" s="47" t="s">
        <v>89</v>
      </c>
      <c r="E6" s="58" t="s">
        <v>81</v>
      </c>
      <c r="F6" s="47">
        <v>2.1</v>
      </c>
      <c r="G6" s="47" t="s">
        <v>10</v>
      </c>
      <c r="M6" s="53"/>
    </row>
    <row r="7" spans="1:17" ht="18">
      <c r="A7" s="52"/>
      <c r="B7" s="47" t="s">
        <v>90</v>
      </c>
      <c r="E7" s="58" t="s">
        <v>81</v>
      </c>
      <c r="F7" s="47">
        <v>1.5</v>
      </c>
      <c r="G7" s="47" t="s">
        <v>10</v>
      </c>
      <c r="I7" s="58" t="s">
        <v>91</v>
      </c>
      <c r="J7" s="58" t="s">
        <v>92</v>
      </c>
      <c r="K7" s="55" t="s">
        <v>93</v>
      </c>
      <c r="M7" s="53"/>
    </row>
    <row r="8" spans="1:17">
      <c r="A8" s="52"/>
      <c r="B8" s="57" t="s">
        <v>94</v>
      </c>
      <c r="E8" s="58" t="s">
        <v>81</v>
      </c>
      <c r="F8" s="47">
        <v>49.04</v>
      </c>
      <c r="G8" s="47" t="s">
        <v>10</v>
      </c>
      <c r="M8" s="53"/>
    </row>
    <row r="9" spans="1:17" ht="18">
      <c r="A9" s="52"/>
      <c r="E9" s="58"/>
      <c r="H9" s="59">
        <f>ROUND((L4-M13),1)</f>
        <v>1.7</v>
      </c>
      <c r="K9" s="60" t="s">
        <v>95</v>
      </c>
      <c r="L9" s="61"/>
      <c r="M9" s="53"/>
    </row>
    <row r="10" spans="1:17">
      <c r="A10" s="52"/>
      <c r="B10" s="47" t="s">
        <v>96</v>
      </c>
      <c r="E10" s="58" t="s">
        <v>81</v>
      </c>
      <c r="F10" s="62">
        <v>0.9</v>
      </c>
      <c r="G10" s="47" t="s">
        <v>10</v>
      </c>
      <c r="L10" s="55"/>
      <c r="M10" s="53"/>
    </row>
    <row r="11" spans="1:17">
      <c r="A11" s="52"/>
      <c r="B11" s="47" t="s">
        <v>97</v>
      </c>
      <c r="E11" s="58" t="s">
        <v>81</v>
      </c>
      <c r="F11" s="62">
        <v>0.6</v>
      </c>
      <c r="G11" s="47" t="s">
        <v>10</v>
      </c>
      <c r="M11" s="63"/>
    </row>
    <row r="12" spans="1:17">
      <c r="A12" s="52"/>
      <c r="B12" s="47" t="s">
        <v>25</v>
      </c>
      <c r="E12" s="58" t="s">
        <v>81</v>
      </c>
      <c r="F12" s="64">
        <v>0</v>
      </c>
      <c r="G12" s="47" t="s">
        <v>10</v>
      </c>
      <c r="M12" s="53"/>
    </row>
    <row r="13" spans="1:17">
      <c r="A13" s="52"/>
      <c r="B13" s="47" t="s">
        <v>98</v>
      </c>
      <c r="E13" s="58" t="s">
        <v>81</v>
      </c>
      <c r="F13" s="62">
        <v>0.6</v>
      </c>
      <c r="G13" s="47" t="s">
        <v>10</v>
      </c>
      <c r="I13" s="60">
        <f>F13</f>
        <v>0.6</v>
      </c>
      <c r="J13" s="47">
        <f>F11</f>
        <v>0.6</v>
      </c>
      <c r="K13" s="55">
        <f>F10</f>
        <v>0.9</v>
      </c>
      <c r="L13" s="58">
        <f>F14</f>
        <v>0.6</v>
      </c>
      <c r="M13" s="65">
        <f>F6</f>
        <v>2.1</v>
      </c>
      <c r="N13" s="47">
        <f>M15-0.5</f>
        <v>1</v>
      </c>
    </row>
    <row r="14" spans="1:17" ht="18">
      <c r="A14" s="52"/>
      <c r="B14" s="47" t="s">
        <v>99</v>
      </c>
      <c r="E14" s="58" t="s">
        <v>81</v>
      </c>
      <c r="F14" s="62">
        <v>0.6</v>
      </c>
      <c r="G14" s="47" t="s">
        <v>10</v>
      </c>
      <c r="H14" s="58">
        <f>F15</f>
        <v>0.6</v>
      </c>
      <c r="I14" s="58" t="s">
        <v>60</v>
      </c>
      <c r="J14" s="60" t="s">
        <v>100</v>
      </c>
      <c r="M14" s="66"/>
    </row>
    <row r="15" spans="1:17">
      <c r="A15" s="52"/>
      <c r="B15" s="47" t="s">
        <v>101</v>
      </c>
      <c r="E15" s="58" t="s">
        <v>81</v>
      </c>
      <c r="F15" s="62">
        <v>0.6</v>
      </c>
      <c r="G15" s="47" t="s">
        <v>10</v>
      </c>
      <c r="M15" s="65">
        <f>M13-F15</f>
        <v>1.5</v>
      </c>
    </row>
    <row r="16" spans="1:17">
      <c r="A16" s="52"/>
      <c r="E16" s="58"/>
      <c r="F16" s="62"/>
      <c r="H16" s="55" t="s">
        <v>27</v>
      </c>
      <c r="J16" s="67">
        <f>I13+J13+K13+L13+F12</f>
        <v>2.7</v>
      </c>
      <c r="K16" s="47" t="s">
        <v>10</v>
      </c>
      <c r="M16" s="53"/>
      <c r="N16" s="68" t="s">
        <v>102</v>
      </c>
      <c r="O16" s="68" t="s">
        <v>103</v>
      </c>
      <c r="P16" s="68" t="s">
        <v>104</v>
      </c>
      <c r="Q16" s="68" t="s">
        <v>105</v>
      </c>
    </row>
    <row r="17" spans="1:17">
      <c r="A17" s="52"/>
      <c r="E17" s="58"/>
      <c r="M17" s="53"/>
      <c r="N17" s="68">
        <f>F55</f>
        <v>5.71</v>
      </c>
      <c r="O17" s="68">
        <f>F92</f>
        <v>5.476</v>
      </c>
      <c r="P17" s="68">
        <f>F103</f>
        <v>3.5339999999999998</v>
      </c>
      <c r="Q17" s="68">
        <f>F107</f>
        <v>8.2539999999999996</v>
      </c>
    </row>
    <row r="18" spans="1:17" ht="17.25">
      <c r="A18" s="52"/>
      <c r="B18" s="47" t="s">
        <v>106</v>
      </c>
      <c r="E18" s="58" t="s">
        <v>81</v>
      </c>
      <c r="F18" s="62">
        <v>2.4</v>
      </c>
      <c r="G18" s="69" t="s">
        <v>107</v>
      </c>
      <c r="M18" s="53"/>
      <c r="N18" s="68">
        <f>F60</f>
        <v>2.5659999999999998</v>
      </c>
      <c r="O18" s="68">
        <f>F98</f>
        <v>3.7360000000000002</v>
      </c>
      <c r="P18" s="68">
        <f>H103</f>
        <v>1.5</v>
      </c>
      <c r="Q18" s="68">
        <f>H107</f>
        <v>2</v>
      </c>
    </row>
    <row r="19" spans="1:17" ht="17.25">
      <c r="A19" s="52"/>
      <c r="B19" s="47" t="s">
        <v>108</v>
      </c>
      <c r="E19" s="58" t="s">
        <v>81</v>
      </c>
      <c r="F19" s="62">
        <v>2.1</v>
      </c>
      <c r="G19" s="69" t="s">
        <v>107</v>
      </c>
      <c r="M19" s="53"/>
    </row>
    <row r="20" spans="1:17">
      <c r="A20" s="52"/>
      <c r="B20" s="47" t="s">
        <v>109</v>
      </c>
      <c r="E20" s="58" t="s">
        <v>81</v>
      </c>
      <c r="F20" s="62">
        <v>0</v>
      </c>
      <c r="G20" s="69" t="s">
        <v>10</v>
      </c>
      <c r="M20" s="53"/>
    </row>
    <row r="21" spans="1:17">
      <c r="A21" s="52"/>
      <c r="E21" s="58"/>
      <c r="M21" s="53"/>
    </row>
    <row r="22" spans="1:17">
      <c r="A22" s="52"/>
      <c r="B22" s="47" t="s">
        <v>110</v>
      </c>
      <c r="E22" s="58"/>
      <c r="F22" s="70">
        <v>0.15840000000000001</v>
      </c>
      <c r="M22" s="53"/>
    </row>
    <row r="23" spans="1:17">
      <c r="A23" s="52"/>
      <c r="B23" s="47" t="s">
        <v>111</v>
      </c>
      <c r="E23" s="58" t="s">
        <v>81</v>
      </c>
      <c r="F23" s="70">
        <v>3.95E-2</v>
      </c>
      <c r="M23" s="53"/>
    </row>
    <row r="24" spans="1:17">
      <c r="A24" s="52"/>
      <c r="B24" s="47" t="s">
        <v>112</v>
      </c>
      <c r="E24" s="58" t="s">
        <v>81</v>
      </c>
      <c r="F24" s="62">
        <v>0.5</v>
      </c>
      <c r="M24" s="53"/>
    </row>
    <row r="25" spans="1:17" ht="17.25">
      <c r="A25" s="52"/>
      <c r="B25" s="47" t="s">
        <v>113</v>
      </c>
      <c r="E25" s="58" t="s">
        <v>81</v>
      </c>
      <c r="F25" s="62">
        <v>12</v>
      </c>
      <c r="G25" s="69" t="s">
        <v>114</v>
      </c>
      <c r="M25" s="53"/>
    </row>
    <row r="26" spans="1:17">
      <c r="A26" s="52"/>
      <c r="M26" s="53"/>
    </row>
    <row r="27" spans="1:17">
      <c r="A27" s="52"/>
      <c r="B27" s="71" t="s">
        <v>115</v>
      </c>
      <c r="C27" s="69"/>
      <c r="D27" s="69"/>
      <c r="E27" s="69"/>
      <c r="F27" s="69"/>
      <c r="G27" s="69"/>
      <c r="H27" s="69"/>
      <c r="I27" s="69"/>
      <c r="J27" s="69"/>
      <c r="M27" s="53"/>
    </row>
    <row r="28" spans="1:17">
      <c r="A28" s="52"/>
      <c r="B28" s="69"/>
      <c r="C28" s="69"/>
      <c r="D28" s="69"/>
      <c r="E28" s="69"/>
      <c r="F28" s="69"/>
      <c r="G28" s="69"/>
      <c r="H28" s="69"/>
      <c r="I28" s="69"/>
      <c r="J28" s="69"/>
      <c r="M28" s="53"/>
    </row>
    <row r="29" spans="1:17">
      <c r="A29" s="52"/>
      <c r="B29" s="455" t="s">
        <v>116</v>
      </c>
      <c r="C29" s="455" t="s">
        <v>117</v>
      </c>
      <c r="D29" s="455"/>
      <c r="E29" s="455"/>
      <c r="F29" s="455"/>
      <c r="G29" s="455"/>
      <c r="H29" s="455"/>
      <c r="I29" s="72" t="s">
        <v>83</v>
      </c>
      <c r="J29" s="73" t="s">
        <v>118</v>
      </c>
      <c r="K29" s="72" t="s">
        <v>84</v>
      </c>
      <c r="M29" s="53"/>
    </row>
    <row r="30" spans="1:17">
      <c r="A30" s="52"/>
      <c r="B30" s="455"/>
      <c r="C30" s="455"/>
      <c r="D30" s="455"/>
      <c r="E30" s="455"/>
      <c r="F30" s="455"/>
      <c r="G30" s="455"/>
      <c r="H30" s="455"/>
      <c r="I30" s="72" t="s">
        <v>119</v>
      </c>
      <c r="J30" s="72" t="s">
        <v>10</v>
      </c>
      <c r="K30" s="72" t="s">
        <v>120</v>
      </c>
      <c r="M30" s="53"/>
    </row>
    <row r="31" spans="1:17" ht="18">
      <c r="A31" s="52"/>
      <c r="B31" s="74">
        <v>1</v>
      </c>
      <c r="C31" s="74" t="s">
        <v>121</v>
      </c>
      <c r="D31" s="454" t="str">
        <f>K13&amp;" x "&amp;H9&amp;" x "&amp;F18</f>
        <v>0.9 x 1.7 x 2.4</v>
      </c>
      <c r="E31" s="454"/>
      <c r="F31" s="454"/>
      <c r="G31" s="454"/>
      <c r="H31" s="454"/>
      <c r="I31" s="75">
        <f>K13*H9*F18</f>
        <v>3.6719999999999997</v>
      </c>
      <c r="J31" s="75">
        <f>J13+(K13/2)</f>
        <v>1.05</v>
      </c>
      <c r="K31" s="75">
        <f t="shared" ref="K31:K36" si="0">I31*J31</f>
        <v>3.8555999999999999</v>
      </c>
      <c r="M31" s="53"/>
    </row>
    <row r="32" spans="1:17" ht="18">
      <c r="A32" s="52"/>
      <c r="B32" s="74">
        <v>2</v>
      </c>
      <c r="C32" s="74" t="s">
        <v>122</v>
      </c>
      <c r="D32" s="454" t="str">
        <f>0.5&amp;"x "&amp;J13&amp;" x "&amp;H9&amp;" x "&amp;F18</f>
        <v>0.5x 0.6 x 1.7 x 2.4</v>
      </c>
      <c r="E32" s="454"/>
      <c r="F32" s="454"/>
      <c r="G32" s="454"/>
      <c r="H32" s="454"/>
      <c r="I32" s="75">
        <f>0.5*J13*H9*F18</f>
        <v>1.224</v>
      </c>
      <c r="J32" s="75">
        <f>ROUND((J13/3*2),3)</f>
        <v>0.4</v>
      </c>
      <c r="K32" s="75">
        <f t="shared" si="0"/>
        <v>0.48960000000000004</v>
      </c>
      <c r="M32" s="53"/>
    </row>
    <row r="33" spans="1:13" ht="18">
      <c r="A33" s="52"/>
      <c r="B33" s="74">
        <v>3</v>
      </c>
      <c r="C33" s="74" t="s">
        <v>123</v>
      </c>
      <c r="D33" s="454" t="str">
        <f>0.5&amp;"x "&amp;J13&amp;" x "&amp;H9&amp;" x "&amp;F19</f>
        <v>0.5x 0.6 x 1.7 x 2.1</v>
      </c>
      <c r="E33" s="454"/>
      <c r="F33" s="454"/>
      <c r="G33" s="454"/>
      <c r="H33" s="454"/>
      <c r="I33" s="75">
        <f>0.5*J13*H9*F19</f>
        <v>1.0710000000000002</v>
      </c>
      <c r="J33" s="75">
        <f>ROUND((J13/3),3)</f>
        <v>0.2</v>
      </c>
      <c r="K33" s="75">
        <f t="shared" si="0"/>
        <v>0.21420000000000006</v>
      </c>
      <c r="M33" s="53"/>
    </row>
    <row r="34" spans="1:13" ht="18" hidden="1">
      <c r="A34" s="52"/>
      <c r="B34" s="74">
        <v>4</v>
      </c>
      <c r="C34" s="74" t="s">
        <v>124</v>
      </c>
      <c r="D34" s="454" t="str">
        <f>0.5&amp;"x "&amp;F12&amp;" x "&amp;ROUND(L4-M13,3)&amp;" x "&amp;F18</f>
        <v>0.5x 0 x 1.7 x 2.4</v>
      </c>
      <c r="E34" s="454"/>
      <c r="F34" s="454"/>
      <c r="G34" s="454"/>
      <c r="H34" s="454"/>
      <c r="I34" s="75">
        <f>0.5*F12*(L4-M13)*F18</f>
        <v>0</v>
      </c>
      <c r="J34" s="75">
        <f>J13+K13+F12/3</f>
        <v>1.5</v>
      </c>
      <c r="K34" s="75">
        <f t="shared" si="0"/>
        <v>0</v>
      </c>
      <c r="M34" s="53"/>
    </row>
    <row r="35" spans="1:13">
      <c r="A35" s="52"/>
      <c r="B35" s="74">
        <v>4</v>
      </c>
      <c r="C35" s="74" t="s">
        <v>85</v>
      </c>
      <c r="D35" s="454" t="str">
        <f>F23&amp;" x "&amp;F19&amp;" x ("&amp;H9+F20&amp;"^2 - "&amp;F20&amp;"^2)"</f>
        <v>0.0395 x 2.1 x (1.7^2 - 0^2)</v>
      </c>
      <c r="E35" s="454"/>
      <c r="F35" s="454"/>
      <c r="G35" s="454"/>
      <c r="H35" s="454"/>
      <c r="I35" s="75">
        <f>F23*F19*((H9+F20)^2-F20^2)</f>
        <v>0.23972550000000001</v>
      </c>
      <c r="J35" s="75">
        <f>0</f>
        <v>0</v>
      </c>
      <c r="K35" s="75">
        <f t="shared" si="0"/>
        <v>0</v>
      </c>
      <c r="M35" s="53"/>
    </row>
    <row r="36" spans="1:13">
      <c r="A36" s="52"/>
      <c r="B36" s="74">
        <v>5</v>
      </c>
      <c r="C36" s="74" t="s">
        <v>86</v>
      </c>
      <c r="D36" s="454" t="str">
        <f>F22&amp;" x "&amp;F19&amp;" x ("&amp;H9+F20&amp;"^2 - "&amp;F20&amp;"^2)"</f>
        <v>0.1584 x 2.1 x (1.7^2 - 0^2)</v>
      </c>
      <c r="E36" s="454"/>
      <c r="F36" s="454"/>
      <c r="G36" s="454"/>
      <c r="H36" s="454"/>
      <c r="I36" s="75">
        <f>F22*F19*((H9+F20)^2-F20^2)</f>
        <v>0.96132960000000001</v>
      </c>
      <c r="J36" s="75">
        <f>ROUND(0.42*(H9),3)</f>
        <v>0.71399999999999997</v>
      </c>
      <c r="K36" s="75">
        <f t="shared" si="0"/>
        <v>0.68638933439999994</v>
      </c>
      <c r="M36" s="53"/>
    </row>
    <row r="37" spans="1:13">
      <c r="A37" s="52"/>
      <c r="H37" s="69" t="s">
        <v>125</v>
      </c>
      <c r="I37" s="72">
        <f>ROUND(SUM(I31:I35),3)</f>
        <v>6.2069999999999999</v>
      </c>
      <c r="J37" s="69" t="s">
        <v>126</v>
      </c>
      <c r="K37" s="72">
        <f>ROUND(SUM(K31:K36),3)</f>
        <v>5.2460000000000004</v>
      </c>
      <c r="M37" s="53"/>
    </row>
    <row r="38" spans="1:13">
      <c r="A38" s="52"/>
      <c r="M38" s="53"/>
    </row>
    <row r="39" spans="1:13">
      <c r="A39" s="52"/>
      <c r="B39" s="69"/>
      <c r="C39" s="69"/>
      <c r="D39" s="69"/>
      <c r="E39" s="69" t="s">
        <v>127</v>
      </c>
      <c r="H39" s="69" t="s">
        <v>125</v>
      </c>
      <c r="I39" s="69">
        <f>I37</f>
        <v>6.2069999999999999</v>
      </c>
      <c r="J39" s="69" t="s">
        <v>128</v>
      </c>
      <c r="K39" s="69"/>
      <c r="M39" s="53"/>
    </row>
    <row r="40" spans="1:13">
      <c r="A40" s="52"/>
      <c r="B40" s="69"/>
      <c r="C40" s="69"/>
      <c r="D40" s="69"/>
      <c r="E40" s="69" t="s">
        <v>129</v>
      </c>
      <c r="F40" s="69"/>
      <c r="H40" s="69" t="s">
        <v>126</v>
      </c>
      <c r="I40" s="69">
        <f>K37</f>
        <v>5.2460000000000004</v>
      </c>
      <c r="J40" s="69" t="s">
        <v>130</v>
      </c>
      <c r="K40" s="69"/>
      <c r="M40" s="53"/>
    </row>
    <row r="41" spans="1:13">
      <c r="A41" s="52"/>
      <c r="B41" s="69"/>
      <c r="C41" s="69"/>
      <c r="D41" s="69"/>
      <c r="E41" s="69"/>
      <c r="F41" s="69"/>
      <c r="G41" s="69"/>
      <c r="H41" s="69"/>
      <c r="I41" s="69"/>
      <c r="J41" s="69"/>
      <c r="K41" s="69"/>
      <c r="M41" s="53"/>
    </row>
    <row r="42" spans="1:13">
      <c r="A42" s="52"/>
      <c r="B42" s="69"/>
      <c r="C42" s="69"/>
      <c r="D42" s="76" t="s">
        <v>131</v>
      </c>
      <c r="E42" s="77" t="s">
        <v>132</v>
      </c>
      <c r="F42" s="77" t="s">
        <v>81</v>
      </c>
      <c r="H42" s="77">
        <f>I40</f>
        <v>5.2460000000000004</v>
      </c>
      <c r="I42" s="77" t="s">
        <v>81</v>
      </c>
      <c r="J42" s="69">
        <f>ROUND(H42/H43,3)</f>
        <v>0.84499999999999997</v>
      </c>
      <c r="K42" s="69" t="s">
        <v>10</v>
      </c>
      <c r="M42" s="53"/>
    </row>
    <row r="43" spans="1:13">
      <c r="A43" s="78"/>
      <c r="B43" s="79"/>
      <c r="C43" s="79"/>
      <c r="D43" s="79"/>
      <c r="E43" s="80" t="s">
        <v>133</v>
      </c>
      <c r="F43" s="80"/>
      <c r="G43" s="81"/>
      <c r="H43" s="80">
        <f>I39</f>
        <v>6.2069999999999999</v>
      </c>
      <c r="I43" s="79"/>
      <c r="J43" s="79"/>
      <c r="K43" s="79"/>
      <c r="L43" s="81"/>
      <c r="M43" s="82"/>
    </row>
    <row r="44" spans="1:13">
      <c r="A44" s="83"/>
      <c r="B44" s="84"/>
      <c r="C44" s="84"/>
      <c r="D44" s="84"/>
      <c r="E44" s="84"/>
      <c r="F44" s="84"/>
      <c r="G44" s="84"/>
      <c r="H44" s="84"/>
      <c r="I44" s="84"/>
      <c r="J44" s="84"/>
      <c r="K44" s="84"/>
      <c r="L44" s="85"/>
      <c r="M44" s="86"/>
    </row>
    <row r="45" spans="1:13">
      <c r="A45" s="52"/>
      <c r="B45" s="69"/>
      <c r="C45" s="69"/>
      <c r="D45" s="69"/>
      <c r="E45" s="76" t="s">
        <v>134</v>
      </c>
      <c r="F45" s="77" t="s">
        <v>34</v>
      </c>
      <c r="G45" s="77" t="s">
        <v>0</v>
      </c>
      <c r="H45" s="69" t="s">
        <v>54</v>
      </c>
      <c r="I45" s="69"/>
      <c r="J45" s="69"/>
      <c r="K45" s="69"/>
      <c r="M45" s="53"/>
    </row>
    <row r="46" spans="1:13">
      <c r="A46" s="52"/>
      <c r="B46" s="69"/>
      <c r="C46" s="69"/>
      <c r="D46" s="69"/>
      <c r="E46" s="69"/>
      <c r="F46" s="77">
        <v>2</v>
      </c>
      <c r="G46" s="69"/>
      <c r="H46" s="69"/>
      <c r="I46" s="69"/>
      <c r="J46" s="69"/>
      <c r="K46" s="69"/>
      <c r="M46" s="53"/>
    </row>
    <row r="47" spans="1:13">
      <c r="A47" s="52"/>
      <c r="B47" s="69"/>
      <c r="C47" s="69"/>
      <c r="D47" s="69"/>
      <c r="E47" s="76" t="s">
        <v>81</v>
      </c>
      <c r="F47" s="77">
        <f>(F10+F11+F12)</f>
        <v>1.5</v>
      </c>
      <c r="G47" s="77" t="s">
        <v>0</v>
      </c>
      <c r="H47" s="87">
        <f>J42</f>
        <v>0.84499999999999997</v>
      </c>
      <c r="I47" s="69"/>
      <c r="J47" s="69"/>
      <c r="K47" s="69"/>
      <c r="M47" s="53"/>
    </row>
    <row r="48" spans="1:13">
      <c r="A48" s="52"/>
      <c r="B48" s="69"/>
      <c r="C48" s="69"/>
      <c r="D48" s="69"/>
      <c r="E48" s="69"/>
      <c r="F48" s="77">
        <v>2</v>
      </c>
      <c r="G48" s="69"/>
      <c r="H48" s="69"/>
      <c r="I48" s="69"/>
      <c r="J48" s="69"/>
      <c r="K48" s="69"/>
      <c r="M48" s="53"/>
    </row>
    <row r="49" spans="1:13">
      <c r="A49" s="52"/>
      <c r="B49" s="69"/>
      <c r="C49" s="69"/>
      <c r="D49" s="69"/>
      <c r="E49" s="76" t="s">
        <v>81</v>
      </c>
      <c r="F49" s="69">
        <f>ABS(ROUND((F47/2)-H47,3))</f>
        <v>9.5000000000000001E-2</v>
      </c>
      <c r="G49" s="69" t="s">
        <v>10</v>
      </c>
      <c r="H49" s="76" t="str">
        <f>IF(F49&lt;K49,"&lt;","&gt;")</f>
        <v>&lt;</v>
      </c>
      <c r="I49" s="69" t="s">
        <v>135</v>
      </c>
      <c r="J49" s="77" t="s">
        <v>81</v>
      </c>
      <c r="K49" s="87">
        <f>ROUND(F47/6,3)</f>
        <v>0.25</v>
      </c>
      <c r="M49" s="53"/>
    </row>
    <row r="50" spans="1:13">
      <c r="A50" s="52"/>
      <c r="B50" s="69"/>
      <c r="C50" s="69"/>
      <c r="D50" s="69"/>
      <c r="E50" s="69"/>
      <c r="F50" s="69"/>
      <c r="G50" s="69" t="str">
        <f>IF(F49&lt;K49,"Hence safe", "Increase the base width")</f>
        <v>Hence safe</v>
      </c>
      <c r="H50" s="69"/>
      <c r="I50" s="69"/>
      <c r="J50" s="69"/>
      <c r="K50" s="69"/>
      <c r="M50" s="53"/>
    </row>
    <row r="51" spans="1:13">
      <c r="A51" s="52"/>
      <c r="B51" s="69"/>
      <c r="C51" s="69"/>
      <c r="D51" s="69"/>
      <c r="F51" s="69"/>
      <c r="G51" s="69"/>
      <c r="H51" s="69"/>
      <c r="I51" s="69"/>
      <c r="J51" s="69"/>
      <c r="K51" s="69"/>
      <c r="L51" s="69"/>
      <c r="M51" s="53"/>
    </row>
    <row r="52" spans="1:13">
      <c r="A52" s="52"/>
      <c r="B52" s="69"/>
      <c r="C52" s="69" t="s">
        <v>136</v>
      </c>
      <c r="D52" s="69"/>
      <c r="F52" s="69" t="str">
        <f>I39&amp;" x    "&amp;1&amp;" + "&amp;6&amp;" x "&amp;F49&amp;""</f>
        <v>6.207 x    1 + 6 x 0.095</v>
      </c>
      <c r="G52" s="69"/>
      <c r="H52" s="79"/>
      <c r="I52" s="69"/>
      <c r="J52" s="69"/>
      <c r="K52" s="69"/>
      <c r="L52" s="69"/>
      <c r="M52" s="53"/>
    </row>
    <row r="53" spans="1:13">
      <c r="A53" s="52"/>
      <c r="B53" s="69"/>
      <c r="C53" s="69"/>
      <c r="D53" s="69"/>
      <c r="F53" s="77">
        <f>F47</f>
        <v>1.5</v>
      </c>
      <c r="H53" s="77">
        <f>F47</f>
        <v>1.5</v>
      </c>
      <c r="I53" s="69"/>
      <c r="J53" s="69"/>
      <c r="K53" s="69"/>
      <c r="L53" s="69"/>
      <c r="M53" s="53"/>
    </row>
    <row r="54" spans="1:13">
      <c r="A54" s="52"/>
      <c r="B54" s="69"/>
      <c r="C54" s="69"/>
      <c r="D54" s="69"/>
      <c r="F54" s="69"/>
      <c r="G54" s="69"/>
      <c r="H54" s="69"/>
      <c r="I54" s="69"/>
      <c r="J54" s="69"/>
      <c r="K54" s="69"/>
      <c r="L54" s="69"/>
      <c r="M54" s="53"/>
    </row>
    <row r="55" spans="1:13" ht="17.25">
      <c r="A55" s="52"/>
      <c r="B55" s="69"/>
      <c r="C55" s="69"/>
      <c r="D55" s="76" t="s">
        <v>81</v>
      </c>
      <c r="F55" s="69">
        <f>ROUND((I39/F47)*(1+((6*F49)/F47)),3)</f>
        <v>5.71</v>
      </c>
      <c r="G55" s="69" t="s">
        <v>114</v>
      </c>
      <c r="H55" s="69" t="s">
        <v>81</v>
      </c>
      <c r="I55" s="69">
        <f>F55/10</f>
        <v>0.57099999999999995</v>
      </c>
      <c r="J55" s="69" t="s">
        <v>137</v>
      </c>
      <c r="K55" s="69"/>
      <c r="L55" s="69"/>
      <c r="M55" s="53"/>
    </row>
    <row r="56" spans="1:13">
      <c r="A56" s="52"/>
      <c r="B56" s="69"/>
      <c r="C56" s="69"/>
      <c r="D56" s="69"/>
      <c r="F56" s="69"/>
      <c r="G56" s="69"/>
      <c r="H56" s="69"/>
      <c r="I56" s="69"/>
      <c r="J56" s="69"/>
      <c r="K56" s="69"/>
      <c r="L56" s="69"/>
      <c r="M56" s="53"/>
    </row>
    <row r="57" spans="1:13">
      <c r="A57" s="52"/>
      <c r="B57" s="69"/>
      <c r="C57" s="69" t="s">
        <v>138</v>
      </c>
      <c r="D57" s="69"/>
      <c r="F57" s="69" t="str">
        <f>I39&amp;" x    "&amp;1&amp;" - "&amp;6&amp;" x "&amp;F49&amp;""</f>
        <v>6.207 x    1 - 6 x 0.095</v>
      </c>
      <c r="G57" s="69"/>
      <c r="H57" s="79"/>
      <c r="I57" s="69"/>
      <c r="J57" s="69"/>
      <c r="K57" s="69"/>
      <c r="L57" s="69"/>
      <c r="M57" s="53"/>
    </row>
    <row r="58" spans="1:13">
      <c r="A58" s="52"/>
      <c r="B58" s="69"/>
      <c r="C58" s="69"/>
      <c r="D58" s="69"/>
      <c r="F58" s="77">
        <f>F47</f>
        <v>1.5</v>
      </c>
      <c r="H58" s="77">
        <f>F47</f>
        <v>1.5</v>
      </c>
      <c r="I58" s="69"/>
      <c r="J58" s="69"/>
      <c r="K58" s="69"/>
      <c r="L58" s="69"/>
      <c r="M58" s="53"/>
    </row>
    <row r="59" spans="1:13">
      <c r="A59" s="52"/>
      <c r="B59" s="69"/>
      <c r="C59" s="69"/>
      <c r="D59" s="69"/>
      <c r="F59" s="69"/>
      <c r="G59" s="69"/>
      <c r="H59" s="69"/>
      <c r="I59" s="69"/>
      <c r="J59" s="69"/>
      <c r="K59" s="69"/>
      <c r="L59" s="69"/>
      <c r="M59" s="53"/>
    </row>
    <row r="60" spans="1:13" ht="17.25">
      <c r="A60" s="52"/>
      <c r="B60" s="69"/>
      <c r="C60" s="69"/>
      <c r="D60" s="76" t="s">
        <v>81</v>
      </c>
      <c r="F60" s="69">
        <f>ROUND((I39/F47)*(1-((6*F49)/F47)),3)</f>
        <v>2.5659999999999998</v>
      </c>
      <c r="G60" s="69" t="s">
        <v>114</v>
      </c>
      <c r="H60" s="69" t="s">
        <v>81</v>
      </c>
      <c r="I60" s="69">
        <f>F60/10</f>
        <v>0.25659999999999999</v>
      </c>
      <c r="J60" s="69" t="s">
        <v>137</v>
      </c>
      <c r="K60" s="69"/>
      <c r="L60" s="69"/>
      <c r="M60" s="53"/>
    </row>
    <row r="61" spans="1:13">
      <c r="A61" s="52"/>
      <c r="B61" s="69"/>
      <c r="C61" s="69"/>
      <c r="D61" s="69"/>
      <c r="F61" s="69"/>
      <c r="G61" s="69"/>
      <c r="H61" s="69"/>
      <c r="I61" s="69"/>
      <c r="J61" s="69"/>
      <c r="K61" s="69"/>
      <c r="L61" s="69"/>
      <c r="M61" s="53"/>
    </row>
    <row r="62" spans="1:13" ht="15.75">
      <c r="A62" s="88" t="s">
        <v>139</v>
      </c>
      <c r="C62" s="69"/>
      <c r="D62" s="69"/>
      <c r="E62" s="69"/>
      <c r="F62" s="69"/>
      <c r="G62" s="69"/>
      <c r="H62" s="69"/>
      <c r="I62" s="69"/>
      <c r="J62" s="69"/>
      <c r="M62" s="53"/>
    </row>
    <row r="63" spans="1:13">
      <c r="A63" s="52"/>
      <c r="B63" s="69"/>
      <c r="C63" s="69"/>
      <c r="D63" s="69"/>
      <c r="E63" s="69"/>
      <c r="F63" s="69"/>
      <c r="G63" s="69"/>
      <c r="H63" s="69"/>
      <c r="I63" s="69"/>
      <c r="J63" s="69"/>
      <c r="M63" s="53"/>
    </row>
    <row r="64" spans="1:13">
      <c r="A64" s="52"/>
      <c r="B64" s="455" t="s">
        <v>116</v>
      </c>
      <c r="C64" s="455" t="s">
        <v>117</v>
      </c>
      <c r="D64" s="455"/>
      <c r="E64" s="455"/>
      <c r="F64" s="455"/>
      <c r="G64" s="455"/>
      <c r="H64" s="455"/>
      <c r="I64" s="72" t="s">
        <v>83</v>
      </c>
      <c r="J64" s="72" t="s">
        <v>118</v>
      </c>
      <c r="K64" s="72" t="s">
        <v>84</v>
      </c>
      <c r="M64" s="53"/>
    </row>
    <row r="65" spans="1:13">
      <c r="A65" s="52"/>
      <c r="B65" s="455"/>
      <c r="C65" s="455"/>
      <c r="D65" s="455"/>
      <c r="E65" s="455"/>
      <c r="F65" s="455"/>
      <c r="G65" s="455"/>
      <c r="H65" s="455"/>
      <c r="I65" s="72" t="s">
        <v>119</v>
      </c>
      <c r="J65" s="72" t="s">
        <v>10</v>
      </c>
      <c r="K65" s="72" t="s">
        <v>120</v>
      </c>
      <c r="M65" s="53"/>
    </row>
    <row r="66" spans="1:13" ht="18">
      <c r="A66" s="52"/>
      <c r="B66" s="74">
        <v>1</v>
      </c>
      <c r="C66" s="74" t="s">
        <v>121</v>
      </c>
      <c r="D66" s="454" t="str">
        <f>K13&amp;" x "&amp;H9&amp;" x "&amp;F18</f>
        <v>0.9 x 1.7 x 2.4</v>
      </c>
      <c r="E66" s="454"/>
      <c r="F66" s="454"/>
      <c r="G66" s="454"/>
      <c r="H66" s="454"/>
      <c r="I66" s="75">
        <f>K13*H9*F18</f>
        <v>3.6719999999999997</v>
      </c>
      <c r="J66" s="75">
        <f>I13+J13+K13/2</f>
        <v>1.65</v>
      </c>
      <c r="K66" s="75">
        <f t="shared" ref="K66:K73" si="1">I66*J66</f>
        <v>6.0587999999999989</v>
      </c>
      <c r="M66" s="53"/>
    </row>
    <row r="67" spans="1:13" ht="18">
      <c r="A67" s="52"/>
      <c r="B67" s="74">
        <v>2</v>
      </c>
      <c r="C67" s="74" t="s">
        <v>122</v>
      </c>
      <c r="D67" s="454" t="str">
        <f>0.5&amp;"x "&amp;J13&amp;" x "&amp;H9&amp;" x "&amp;F18</f>
        <v>0.5x 0.6 x 1.7 x 2.4</v>
      </c>
      <c r="E67" s="454"/>
      <c r="F67" s="454"/>
      <c r="G67" s="454"/>
      <c r="H67" s="454"/>
      <c r="I67" s="75">
        <f>0.5*J13*H9*F18</f>
        <v>1.224</v>
      </c>
      <c r="J67" s="75">
        <f>I13+(J13*2/3)</f>
        <v>1</v>
      </c>
      <c r="K67" s="75">
        <f t="shared" si="1"/>
        <v>1.224</v>
      </c>
      <c r="M67" s="53"/>
    </row>
    <row r="68" spans="1:13" ht="18">
      <c r="A68" s="52"/>
      <c r="B68" s="74">
        <v>3</v>
      </c>
      <c r="C68" s="74" t="s">
        <v>123</v>
      </c>
      <c r="D68" s="454" t="str">
        <f>0.5&amp;"x "&amp;J13&amp;" x "&amp;H9&amp;" x "&amp;F19</f>
        <v>0.5x 0.6 x 1.7 x 2.1</v>
      </c>
      <c r="E68" s="454"/>
      <c r="F68" s="454"/>
      <c r="G68" s="454"/>
      <c r="H68" s="454"/>
      <c r="I68" s="75">
        <f>0.5*J13*H9*F19</f>
        <v>1.0710000000000002</v>
      </c>
      <c r="J68" s="75">
        <f>I13+(J13/3)</f>
        <v>0.79999999999999993</v>
      </c>
      <c r="K68" s="75">
        <f t="shared" si="1"/>
        <v>0.85680000000000012</v>
      </c>
      <c r="M68" s="53"/>
    </row>
    <row r="69" spans="1:13" ht="18">
      <c r="A69" s="52"/>
      <c r="B69" s="74">
        <v>3</v>
      </c>
      <c r="C69" s="74" t="s">
        <v>140</v>
      </c>
      <c r="D69" s="454" t="str">
        <f>I13&amp;"x "&amp;H9&amp;" x "&amp;F19</f>
        <v>0.6x 1.7 x 2.1</v>
      </c>
      <c r="E69" s="454"/>
      <c r="F69" s="454"/>
      <c r="G69" s="454"/>
      <c r="H69" s="454"/>
      <c r="I69" s="75">
        <f>I13*H9*F19</f>
        <v>2.1420000000000003</v>
      </c>
      <c r="J69" s="75">
        <f>I13/2</f>
        <v>0.3</v>
      </c>
      <c r="K69" s="75">
        <f t="shared" si="1"/>
        <v>0.64260000000000006</v>
      </c>
      <c r="M69" s="53"/>
    </row>
    <row r="70" spans="1:13" ht="18" hidden="1">
      <c r="A70" s="52"/>
      <c r="B70" s="74">
        <v>4</v>
      </c>
      <c r="C70" s="74" t="s">
        <v>141</v>
      </c>
      <c r="D70" s="454" t="str">
        <f>0.5&amp;"x "&amp;F12&amp;" x "&amp;H9&amp;" x "&amp;F18</f>
        <v>0.5x 0 x 1.7 x 2.4</v>
      </c>
      <c r="E70" s="454"/>
      <c r="F70" s="454"/>
      <c r="G70" s="454"/>
      <c r="H70" s="454"/>
      <c r="I70" s="75">
        <f>0.5*F12*(L4-M13)*F18</f>
        <v>0</v>
      </c>
      <c r="J70" s="75">
        <f>I13+J13+K13+F12/3</f>
        <v>2.1</v>
      </c>
      <c r="K70" s="75">
        <f>I70*J70</f>
        <v>0</v>
      </c>
      <c r="M70" s="53"/>
    </row>
    <row r="71" spans="1:13" ht="18">
      <c r="A71" s="52"/>
      <c r="B71" s="74">
        <v>4</v>
      </c>
      <c r="C71" s="74" t="s">
        <v>142</v>
      </c>
      <c r="D71" s="454" t="str">
        <f>J16&amp;"x "&amp;H14&amp;" x "&amp;F18</f>
        <v>2.7x 0.6 x 2.4</v>
      </c>
      <c r="E71" s="454"/>
      <c r="F71" s="454"/>
      <c r="G71" s="454"/>
      <c r="H71" s="454"/>
      <c r="I71" s="75">
        <f>J16*H14*F18</f>
        <v>3.8879999999999999</v>
      </c>
      <c r="J71" s="75">
        <f>J16/2</f>
        <v>1.35</v>
      </c>
      <c r="K71" s="75">
        <f>I71*J71</f>
        <v>5.2488000000000001</v>
      </c>
      <c r="M71" s="53"/>
    </row>
    <row r="72" spans="1:13">
      <c r="A72" s="52"/>
      <c r="B72" s="74">
        <v>5</v>
      </c>
      <c r="C72" s="74" t="s">
        <v>85</v>
      </c>
      <c r="D72" s="454" t="str">
        <f>F23&amp;" x "&amp;F19&amp;" x ("&amp;H9+H14+F20&amp;"^2 - "&amp;F20&amp;"^2)"</f>
        <v>0.0395 x 2.1 x (2.3^2 - 0^2)</v>
      </c>
      <c r="E72" s="454"/>
      <c r="F72" s="454"/>
      <c r="G72" s="454"/>
      <c r="H72" s="454"/>
      <c r="I72" s="75">
        <f>F23*F19*((H9+H14+F20)^2-F20^2)</f>
        <v>0.43880549999999996</v>
      </c>
      <c r="J72" s="75">
        <f>0</f>
        <v>0</v>
      </c>
      <c r="K72" s="75">
        <f t="shared" si="1"/>
        <v>0</v>
      </c>
      <c r="M72" s="53"/>
    </row>
    <row r="73" spans="1:13">
      <c r="A73" s="52"/>
      <c r="B73" s="74">
        <v>6</v>
      </c>
      <c r="C73" s="74" t="s">
        <v>86</v>
      </c>
      <c r="D73" s="454" t="str">
        <f>F22&amp;" x "&amp;F19&amp;" x ("&amp;H9+H14+F20&amp;"^2 - "&amp;F20&amp;"^2)"</f>
        <v>0.1584 x 2.1 x (2.3^2 - 0^2)</v>
      </c>
      <c r="E73" s="454"/>
      <c r="F73" s="454"/>
      <c r="G73" s="454"/>
      <c r="H73" s="454"/>
      <c r="I73" s="72">
        <f>F22*F19*((H9+H14+F20)^2-F20^2)</f>
        <v>1.7596655999999999</v>
      </c>
      <c r="J73" s="75">
        <f>ROUND(0.42*(H9+H14),3)</f>
        <v>0.96599999999999997</v>
      </c>
      <c r="K73" s="72">
        <f t="shared" si="1"/>
        <v>1.6998369696</v>
      </c>
      <c r="M73" s="53"/>
    </row>
    <row r="74" spans="1:13">
      <c r="A74" s="52"/>
      <c r="H74" s="69" t="s">
        <v>125</v>
      </c>
      <c r="I74" s="72">
        <f>ROUND(SUM(I66:I72),3)</f>
        <v>12.436</v>
      </c>
      <c r="J74" s="69" t="s">
        <v>126</v>
      </c>
      <c r="K74" s="72">
        <f>ROUND(SUM(K66:K73),3)</f>
        <v>15.731</v>
      </c>
      <c r="M74" s="53"/>
    </row>
    <row r="75" spans="1:13">
      <c r="A75" s="52"/>
      <c r="M75" s="53"/>
    </row>
    <row r="76" spans="1:13">
      <c r="A76" s="52"/>
      <c r="B76" s="69"/>
      <c r="C76" s="69"/>
      <c r="D76" s="69"/>
      <c r="E76" s="69" t="s">
        <v>127</v>
      </c>
      <c r="H76" s="69" t="s">
        <v>125</v>
      </c>
      <c r="I76" s="69">
        <f>I74</f>
        <v>12.436</v>
      </c>
      <c r="J76" s="69" t="s">
        <v>128</v>
      </c>
      <c r="K76" s="69"/>
      <c r="M76" s="53"/>
    </row>
    <row r="77" spans="1:13">
      <c r="A77" s="52"/>
      <c r="B77" s="69"/>
      <c r="C77" s="69"/>
      <c r="D77" s="69"/>
      <c r="E77" s="69" t="s">
        <v>129</v>
      </c>
      <c r="F77" s="69"/>
      <c r="H77" s="69" t="s">
        <v>126</v>
      </c>
      <c r="I77" s="69">
        <f>K74</f>
        <v>15.731</v>
      </c>
      <c r="J77" s="69" t="s">
        <v>130</v>
      </c>
      <c r="K77" s="69"/>
      <c r="M77" s="53"/>
    </row>
    <row r="78" spans="1:13">
      <c r="A78" s="52"/>
      <c r="B78" s="69"/>
      <c r="C78" s="69"/>
      <c r="D78" s="69"/>
      <c r="E78" s="69"/>
      <c r="F78" s="69"/>
      <c r="G78" s="69"/>
      <c r="H78" s="69"/>
      <c r="I78" s="69"/>
      <c r="J78" s="69"/>
      <c r="K78" s="69"/>
      <c r="M78" s="53"/>
    </row>
    <row r="79" spans="1:13">
      <c r="A79" s="52"/>
      <c r="B79" s="69"/>
      <c r="C79" s="69"/>
      <c r="D79" s="76" t="s">
        <v>131</v>
      </c>
      <c r="E79" s="77" t="s">
        <v>132</v>
      </c>
      <c r="F79" s="77" t="s">
        <v>81</v>
      </c>
      <c r="H79" s="77">
        <f>I77</f>
        <v>15.731</v>
      </c>
      <c r="I79" s="77" t="s">
        <v>81</v>
      </c>
      <c r="J79" s="69">
        <f>ROUND(H79/H80,3)</f>
        <v>1.2649999999999999</v>
      </c>
      <c r="K79" s="69" t="s">
        <v>10</v>
      </c>
      <c r="M79" s="53"/>
    </row>
    <row r="80" spans="1:13">
      <c r="A80" s="52"/>
      <c r="B80" s="69"/>
      <c r="C80" s="69"/>
      <c r="D80" s="69"/>
      <c r="E80" s="77" t="s">
        <v>133</v>
      </c>
      <c r="F80" s="77"/>
      <c r="H80" s="77">
        <f>I76</f>
        <v>12.436</v>
      </c>
      <c r="I80" s="69"/>
      <c r="J80" s="69"/>
      <c r="K80" s="69"/>
      <c r="M80" s="53"/>
    </row>
    <row r="81" spans="1:13">
      <c r="A81" s="52"/>
      <c r="B81" s="69"/>
      <c r="C81" s="69"/>
      <c r="D81" s="69"/>
      <c r="E81" s="69"/>
      <c r="F81" s="69"/>
      <c r="G81" s="69"/>
      <c r="H81" s="69"/>
      <c r="I81" s="69"/>
      <c r="J81" s="69"/>
      <c r="K81" s="69"/>
      <c r="M81" s="53"/>
    </row>
    <row r="82" spans="1:13">
      <c r="A82" s="52"/>
      <c r="B82" s="69"/>
      <c r="C82" s="69"/>
      <c r="D82" s="69"/>
      <c r="E82" s="76" t="s">
        <v>134</v>
      </c>
      <c r="F82" s="77" t="s">
        <v>34</v>
      </c>
      <c r="G82" s="77" t="s">
        <v>0</v>
      </c>
      <c r="H82" s="69" t="s">
        <v>54</v>
      </c>
      <c r="I82" s="69"/>
      <c r="J82" s="69"/>
      <c r="K82" s="69"/>
      <c r="M82" s="53"/>
    </row>
    <row r="83" spans="1:13">
      <c r="A83" s="52"/>
      <c r="B83" s="69"/>
      <c r="C83" s="69"/>
      <c r="D83" s="69"/>
      <c r="E83" s="69"/>
      <c r="F83" s="77">
        <v>2</v>
      </c>
      <c r="G83" s="69"/>
      <c r="H83" s="69"/>
      <c r="I83" s="69"/>
      <c r="J83" s="69"/>
      <c r="K83" s="69"/>
      <c r="M83" s="53"/>
    </row>
    <row r="84" spans="1:13">
      <c r="A84" s="52"/>
      <c r="B84" s="69"/>
      <c r="C84" s="69"/>
      <c r="D84" s="69"/>
      <c r="E84" s="76" t="s">
        <v>81</v>
      </c>
      <c r="F84" s="77">
        <f>J16</f>
        <v>2.7</v>
      </c>
      <c r="G84" s="77" t="s">
        <v>0</v>
      </c>
      <c r="H84" s="87">
        <f>J79</f>
        <v>1.2649999999999999</v>
      </c>
      <c r="I84" s="69"/>
      <c r="J84" s="69"/>
      <c r="K84" s="69"/>
      <c r="M84" s="53"/>
    </row>
    <row r="85" spans="1:13">
      <c r="A85" s="52"/>
      <c r="B85" s="69"/>
      <c r="C85" s="69"/>
      <c r="D85" s="69"/>
      <c r="E85" s="69"/>
      <c r="F85" s="77">
        <v>2</v>
      </c>
      <c r="G85" s="69"/>
      <c r="H85" s="69"/>
      <c r="I85" s="69"/>
      <c r="J85" s="69"/>
      <c r="K85" s="69"/>
      <c r="M85" s="53"/>
    </row>
    <row r="86" spans="1:13">
      <c r="A86" s="52"/>
      <c r="B86" s="69"/>
      <c r="C86" s="69"/>
      <c r="D86" s="69"/>
      <c r="E86" s="76" t="s">
        <v>81</v>
      </c>
      <c r="F86" s="69">
        <f>ABS(ROUND((F84/2)-H84,3))</f>
        <v>8.5000000000000006E-2</v>
      </c>
      <c r="G86" s="69" t="s">
        <v>10</v>
      </c>
      <c r="H86" s="76" t="str">
        <f>IF(F86&lt;K86,"&lt;","&gt;")</f>
        <v>&lt;</v>
      </c>
      <c r="I86" s="69" t="s">
        <v>135</v>
      </c>
      <c r="J86" s="77" t="s">
        <v>81</v>
      </c>
      <c r="K86" s="87">
        <f>ROUND(F84/6,3)</f>
        <v>0.45</v>
      </c>
      <c r="M86" s="53"/>
    </row>
    <row r="87" spans="1:13">
      <c r="A87" s="52"/>
      <c r="B87" s="69"/>
      <c r="C87" s="69"/>
      <c r="D87" s="69"/>
      <c r="E87" s="69"/>
      <c r="F87" s="69"/>
      <c r="G87" s="69" t="str">
        <f>IF(F86&lt;K86,"Hence safe", "Increase the base width")</f>
        <v>Hence safe</v>
      </c>
      <c r="H87" s="69"/>
      <c r="I87" s="69"/>
      <c r="J87" s="69"/>
      <c r="K87" s="69"/>
      <c r="M87" s="53"/>
    </row>
    <row r="88" spans="1:13">
      <c r="A88" s="78"/>
      <c r="B88" s="79"/>
      <c r="C88" s="79"/>
      <c r="D88" s="79"/>
      <c r="E88" s="81"/>
      <c r="F88" s="79"/>
      <c r="G88" s="79"/>
      <c r="H88" s="79"/>
      <c r="I88" s="79"/>
      <c r="J88" s="79"/>
      <c r="K88" s="79"/>
      <c r="L88" s="79"/>
      <c r="M88" s="82"/>
    </row>
    <row r="89" spans="1:13">
      <c r="A89" s="83"/>
      <c r="B89" s="84"/>
      <c r="C89" s="84" t="s">
        <v>136</v>
      </c>
      <c r="D89" s="84"/>
      <c r="E89" s="85"/>
      <c r="F89" s="84" t="str">
        <f>I76&amp;" x    "&amp;1&amp;" + "&amp;6&amp;" x "&amp;F86&amp;""</f>
        <v>12.436 x    1 + 6 x 0.085</v>
      </c>
      <c r="G89" s="84"/>
      <c r="H89" s="89"/>
      <c r="I89" s="84"/>
      <c r="J89" s="84"/>
      <c r="K89" s="84"/>
      <c r="L89" s="84"/>
      <c r="M89" s="86"/>
    </row>
    <row r="90" spans="1:13">
      <c r="A90" s="52"/>
      <c r="B90" s="69"/>
      <c r="C90" s="69"/>
      <c r="D90" s="69"/>
      <c r="F90" s="77">
        <f>F84</f>
        <v>2.7</v>
      </c>
      <c r="H90" s="77">
        <f>F84</f>
        <v>2.7</v>
      </c>
      <c r="I90" s="69"/>
      <c r="J90" s="69"/>
      <c r="K90" s="69"/>
      <c r="L90" s="69"/>
      <c r="M90" s="53"/>
    </row>
    <row r="91" spans="1:13">
      <c r="A91" s="52"/>
      <c r="B91" s="69"/>
      <c r="C91" s="69"/>
      <c r="D91" s="69"/>
      <c r="F91" s="69"/>
      <c r="G91" s="69"/>
      <c r="H91" s="69"/>
      <c r="I91" s="69"/>
      <c r="J91" s="69"/>
      <c r="K91" s="69"/>
      <c r="L91" s="69"/>
      <c r="M91" s="53"/>
    </row>
    <row r="92" spans="1:13" ht="17.25">
      <c r="A92" s="52"/>
      <c r="B92" s="69"/>
      <c r="C92" s="69"/>
      <c r="D92" s="76" t="s">
        <v>81</v>
      </c>
      <c r="F92" s="69">
        <f>ROUND((I76/F84)*(1+((6*F86)/F84)),3)</f>
        <v>5.476</v>
      </c>
      <c r="G92" s="69" t="s">
        <v>114</v>
      </c>
      <c r="H92" s="69" t="s">
        <v>81</v>
      </c>
      <c r="I92" s="69">
        <f>F92/10</f>
        <v>0.54759999999999998</v>
      </c>
      <c r="J92" s="69" t="s">
        <v>137</v>
      </c>
      <c r="K92" s="69"/>
      <c r="L92" s="69"/>
      <c r="M92" s="53"/>
    </row>
    <row r="93" spans="1:13">
      <c r="A93" s="52"/>
      <c r="B93" s="69"/>
      <c r="C93" s="69"/>
      <c r="D93" s="76"/>
      <c r="F93" s="90" t="str">
        <f>IF(F92&lt;F25,"hence Safe","increase the section")</f>
        <v>hence Safe</v>
      </c>
      <c r="G93" s="69"/>
      <c r="H93" s="69"/>
      <c r="I93" s="69"/>
      <c r="J93" s="69"/>
      <c r="K93" s="69"/>
      <c r="L93" s="69"/>
      <c r="M93" s="53"/>
    </row>
    <row r="94" spans="1:13">
      <c r="A94" s="52"/>
      <c r="B94" s="69"/>
      <c r="C94" s="69"/>
      <c r="D94" s="69"/>
      <c r="F94" s="69"/>
      <c r="G94" s="69"/>
      <c r="H94" s="69"/>
      <c r="I94" s="69"/>
      <c r="J94" s="69"/>
      <c r="K94" s="69"/>
      <c r="L94" s="69"/>
      <c r="M94" s="53"/>
    </row>
    <row r="95" spans="1:13">
      <c r="A95" s="52"/>
      <c r="B95" s="69"/>
      <c r="C95" s="69" t="s">
        <v>138</v>
      </c>
      <c r="D95" s="69"/>
      <c r="F95" s="69" t="str">
        <f>I76&amp;" x    "&amp;1&amp;" - "&amp;6&amp;" x "&amp;F86&amp;""</f>
        <v>12.436 x    1 - 6 x 0.085</v>
      </c>
      <c r="G95" s="69"/>
      <c r="H95" s="79"/>
      <c r="I95" s="69"/>
      <c r="J95" s="69"/>
      <c r="K95" s="69"/>
      <c r="L95" s="69"/>
      <c r="M95" s="53"/>
    </row>
    <row r="96" spans="1:13">
      <c r="A96" s="52"/>
      <c r="B96" s="69"/>
      <c r="C96" s="69"/>
      <c r="D96" s="69"/>
      <c r="F96" s="77">
        <f>F84</f>
        <v>2.7</v>
      </c>
      <c r="H96" s="77">
        <f>F84</f>
        <v>2.7</v>
      </c>
      <c r="I96" s="69"/>
      <c r="J96" s="69"/>
      <c r="K96" s="69"/>
      <c r="L96" s="69"/>
      <c r="M96" s="53"/>
    </row>
    <row r="97" spans="1:13">
      <c r="A97" s="52"/>
      <c r="B97" s="69"/>
      <c r="C97" s="69"/>
      <c r="D97" s="69"/>
      <c r="F97" s="69"/>
      <c r="G97" s="69"/>
      <c r="H97" s="69"/>
      <c r="I97" s="69"/>
      <c r="J97" s="69"/>
      <c r="K97" s="69"/>
      <c r="L97" s="69"/>
      <c r="M97" s="53"/>
    </row>
    <row r="98" spans="1:13" ht="17.25">
      <c r="A98" s="52"/>
      <c r="B98" s="69"/>
      <c r="C98" s="69"/>
      <c r="D98" s="76" t="s">
        <v>81</v>
      </c>
      <c r="F98" s="69">
        <f>ROUND((I76/F84)*(1-((6*F86)/F84)),3)</f>
        <v>3.7360000000000002</v>
      </c>
      <c r="G98" s="69" t="s">
        <v>114</v>
      </c>
      <c r="H98" s="69" t="s">
        <v>81</v>
      </c>
      <c r="I98" s="69">
        <f>F98/10</f>
        <v>0.37360000000000004</v>
      </c>
      <c r="J98" s="69" t="s">
        <v>137</v>
      </c>
      <c r="K98" s="69"/>
      <c r="L98" s="69"/>
      <c r="M98" s="53"/>
    </row>
    <row r="99" spans="1:13">
      <c r="A99" s="52"/>
      <c r="B99" s="69"/>
      <c r="C99" s="69"/>
      <c r="D99" s="69"/>
      <c r="F99" s="90" t="str">
        <f>IF(F98&gt;0,"hence Safe No tension","increase the section")</f>
        <v>hence Safe No tension</v>
      </c>
      <c r="G99" s="90"/>
      <c r="H99" s="90"/>
      <c r="I99" s="69"/>
      <c r="J99" s="69"/>
      <c r="K99" s="69"/>
      <c r="L99" s="69"/>
      <c r="M99" s="53"/>
    </row>
    <row r="100" spans="1:13">
      <c r="A100" s="91" t="s">
        <v>143</v>
      </c>
      <c r="B100" s="92"/>
      <c r="C100" s="92"/>
      <c r="D100" s="69"/>
      <c r="E100" s="69"/>
      <c r="F100" s="69"/>
      <c r="G100" s="69"/>
      <c r="H100" s="69"/>
      <c r="I100" s="69"/>
      <c r="J100" s="69"/>
      <c r="K100" s="69"/>
      <c r="M100" s="53"/>
    </row>
    <row r="101" spans="1:13">
      <c r="A101" s="52"/>
      <c r="M101" s="53"/>
    </row>
    <row r="102" spans="1:13">
      <c r="A102" s="52"/>
      <c r="B102" s="47" t="s">
        <v>144</v>
      </c>
      <c r="E102" s="47" t="s">
        <v>81</v>
      </c>
      <c r="F102" s="47">
        <v>0.5</v>
      </c>
      <c r="G102" s="47" t="s">
        <v>82</v>
      </c>
      <c r="H102" s="47">
        <f>I74</f>
        <v>12.436</v>
      </c>
      <c r="I102" s="58" t="s">
        <v>145</v>
      </c>
      <c r="J102" s="60">
        <f>I73</f>
        <v>1.7596655999999999</v>
      </c>
      <c r="M102" s="53"/>
    </row>
    <row r="103" spans="1:13">
      <c r="A103" s="52"/>
      <c r="E103" s="47" t="s">
        <v>81</v>
      </c>
      <c r="F103" s="47">
        <f>ROUND(F102*H102/J102,3)</f>
        <v>3.5339999999999998</v>
      </c>
      <c r="G103" s="58" t="str">
        <f>IF(F103&gt;H103,"&gt;","&lt;")</f>
        <v>&gt;</v>
      </c>
      <c r="H103" s="93">
        <v>1.5</v>
      </c>
      <c r="M103" s="53"/>
    </row>
    <row r="104" spans="1:13">
      <c r="A104" s="52"/>
      <c r="F104" s="94" t="str">
        <f>IF(F103&gt;H103,"Hence safe against sliding","Not safe")</f>
        <v>Hence safe against sliding</v>
      </c>
      <c r="G104" s="95"/>
      <c r="H104" s="95"/>
      <c r="I104" s="95"/>
      <c r="M104" s="53"/>
    </row>
    <row r="105" spans="1:13">
      <c r="A105" s="52"/>
      <c r="M105" s="53"/>
    </row>
    <row r="106" spans="1:13">
      <c r="A106" s="52"/>
      <c r="B106" s="47" t="s">
        <v>146</v>
      </c>
      <c r="E106" s="47" t="s">
        <v>81</v>
      </c>
      <c r="F106" s="67">
        <f>SUM(K66:K72)</f>
        <v>14.030999999999999</v>
      </c>
      <c r="G106" s="58" t="s">
        <v>145</v>
      </c>
      <c r="H106" s="47">
        <f>K73</f>
        <v>1.6998369696</v>
      </c>
      <c r="M106" s="53"/>
    </row>
    <row r="107" spans="1:13">
      <c r="A107" s="52"/>
      <c r="E107" s="47" t="s">
        <v>81</v>
      </c>
      <c r="F107" s="47">
        <f>ROUND(F106/H106,3)</f>
        <v>8.2539999999999996</v>
      </c>
      <c r="G107" s="58" t="str">
        <f>IF(F107&gt;H107,"&gt;","&lt;")</f>
        <v>&gt;</v>
      </c>
      <c r="H107" s="93">
        <v>2</v>
      </c>
      <c r="M107" s="53"/>
    </row>
    <row r="108" spans="1:13">
      <c r="A108" s="52"/>
      <c r="F108" s="94" t="str">
        <f>IF(F107&gt;H107,"Hence safe against overturning","Notsafe")</f>
        <v>Hence safe against overturning</v>
      </c>
      <c r="G108" s="95"/>
      <c r="H108" s="95"/>
      <c r="I108" s="95"/>
      <c r="M108" s="53"/>
    </row>
    <row r="109" spans="1:13">
      <c r="A109" s="52"/>
      <c r="M109" s="53"/>
    </row>
    <row r="110" spans="1:13">
      <c r="A110" s="52"/>
      <c r="M110" s="53"/>
    </row>
    <row r="111" spans="1:13">
      <c r="A111" s="52"/>
      <c r="M111" s="53"/>
    </row>
    <row r="112" spans="1:13">
      <c r="A112" s="52"/>
      <c r="M112" s="53"/>
    </row>
    <row r="113" spans="1:13">
      <c r="A113" s="52"/>
      <c r="M113" s="53"/>
    </row>
    <row r="114" spans="1:13">
      <c r="A114" s="52"/>
      <c r="M114" s="53"/>
    </row>
    <row r="115" spans="1:13">
      <c r="A115" s="52"/>
      <c r="M115" s="53"/>
    </row>
    <row r="116" spans="1:13">
      <c r="A116" s="52"/>
      <c r="M116" s="53"/>
    </row>
    <row r="117" spans="1:13">
      <c r="A117" s="52"/>
      <c r="M117" s="53"/>
    </row>
    <row r="118" spans="1:13">
      <c r="A118" s="52"/>
      <c r="M118" s="53"/>
    </row>
    <row r="119" spans="1:13">
      <c r="A119" s="52"/>
      <c r="M119" s="53"/>
    </row>
    <row r="120" spans="1:13">
      <c r="A120" s="52"/>
      <c r="M120" s="53"/>
    </row>
    <row r="121" spans="1:13">
      <c r="A121" s="52"/>
      <c r="M121" s="53"/>
    </row>
    <row r="122" spans="1:13">
      <c r="A122" s="52"/>
      <c r="M122" s="53"/>
    </row>
    <row r="123" spans="1:13">
      <c r="A123" s="52"/>
      <c r="M123" s="53"/>
    </row>
    <row r="124" spans="1:13">
      <c r="A124" s="52"/>
      <c r="M124" s="53"/>
    </row>
    <row r="125" spans="1:13">
      <c r="A125" s="52"/>
      <c r="M125" s="53"/>
    </row>
    <row r="126" spans="1:13">
      <c r="A126" s="52"/>
      <c r="M126" s="53"/>
    </row>
    <row r="127" spans="1:13">
      <c r="A127" s="52"/>
      <c r="M127" s="53"/>
    </row>
    <row r="128" spans="1:13">
      <c r="A128" s="52"/>
      <c r="M128" s="53"/>
    </row>
    <row r="129" spans="1:13">
      <c r="A129" s="52"/>
      <c r="M129" s="53"/>
    </row>
    <row r="130" spans="1:13">
      <c r="A130" s="52"/>
      <c r="M130" s="53"/>
    </row>
    <row r="131" spans="1:13">
      <c r="A131" s="52"/>
      <c r="M131" s="53"/>
    </row>
    <row r="132" spans="1:13">
      <c r="A132" s="52"/>
      <c r="M132" s="53"/>
    </row>
    <row r="133" spans="1:13">
      <c r="A133" s="52"/>
      <c r="M133" s="53"/>
    </row>
    <row r="134" spans="1:13">
      <c r="A134" s="52"/>
      <c r="M134" s="53"/>
    </row>
    <row r="135" spans="1:13">
      <c r="A135" s="52"/>
      <c r="M135" s="53"/>
    </row>
    <row r="136" spans="1:13">
      <c r="A136" s="78"/>
      <c r="B136" s="81"/>
      <c r="C136" s="81"/>
      <c r="D136" s="81"/>
      <c r="E136" s="81"/>
      <c r="F136" s="81"/>
      <c r="G136" s="81"/>
      <c r="H136" s="81"/>
      <c r="I136" s="81"/>
      <c r="J136" s="81"/>
      <c r="K136" s="81"/>
      <c r="L136" s="81"/>
      <c r="M136" s="82"/>
    </row>
  </sheetData>
  <mergeCells count="19">
    <mergeCell ref="D32:H32"/>
    <mergeCell ref="A1:M1"/>
    <mergeCell ref="B29:B30"/>
    <mergeCell ref="C29:H30"/>
    <mergeCell ref="D31:H31"/>
    <mergeCell ref="D33:H33"/>
    <mergeCell ref="D34:H34"/>
    <mergeCell ref="D35:H35"/>
    <mergeCell ref="D36:H36"/>
    <mergeCell ref="B64:B65"/>
    <mergeCell ref="C64:H65"/>
    <mergeCell ref="D72:H72"/>
    <mergeCell ref="D73:H73"/>
    <mergeCell ref="D66:H66"/>
    <mergeCell ref="D67:H67"/>
    <mergeCell ref="D68:H68"/>
    <mergeCell ref="D69:H69"/>
    <mergeCell ref="D70:H70"/>
    <mergeCell ref="D71:H71"/>
  </mergeCells>
  <pageMargins left="0.7" right="0.7" top="0.75" bottom="0.75" header="0.3" footer="0.3"/>
  <pageSetup scale="88" orientation="portrait" horizontalDpi="300" verticalDpi="300" r:id="rId1"/>
  <rowBreaks count="2" manualBreakCount="2">
    <brk id="43" max="12" man="1"/>
    <brk id="88" max="12" man="1"/>
  </rowBreaks>
  <drawing r:id="rId2"/>
</worksheet>
</file>

<file path=xl/worksheets/sheet11.xml><?xml version="1.0" encoding="utf-8"?>
<worksheet xmlns="http://schemas.openxmlformats.org/spreadsheetml/2006/main" xmlns:r="http://schemas.openxmlformats.org/officeDocument/2006/relationships">
  <dimension ref="B1:N33"/>
  <sheetViews>
    <sheetView view="pageBreakPreview" zoomScale="75" zoomScaleSheetLayoutView="75" workbookViewId="0">
      <selection activeCell="U8" sqref="U8"/>
    </sheetView>
  </sheetViews>
  <sheetFormatPr defaultRowHeight="12.75"/>
  <cols>
    <col min="1" max="8" width="8.85546875" style="176"/>
    <col min="9" max="9" width="6.28515625" style="176" customWidth="1"/>
    <col min="10" max="10" width="9.7109375" style="176" customWidth="1"/>
    <col min="11" max="264" width="8.85546875" style="176"/>
    <col min="265" max="265" width="6.28515625" style="176" customWidth="1"/>
    <col min="266" max="520" width="8.85546875" style="176"/>
    <col min="521" max="521" width="6.28515625" style="176" customWidth="1"/>
    <col min="522" max="776" width="8.85546875" style="176"/>
    <col min="777" max="777" width="6.28515625" style="176" customWidth="1"/>
    <col min="778" max="1032" width="8.85546875" style="176"/>
    <col min="1033" max="1033" width="6.28515625" style="176" customWidth="1"/>
    <col min="1034" max="1288" width="8.85546875" style="176"/>
    <col min="1289" max="1289" width="6.28515625" style="176" customWidth="1"/>
    <col min="1290" max="1544" width="8.85546875" style="176"/>
    <col min="1545" max="1545" width="6.28515625" style="176" customWidth="1"/>
    <col min="1546" max="1800" width="8.85546875" style="176"/>
    <col min="1801" max="1801" width="6.28515625" style="176" customWidth="1"/>
    <col min="1802" max="2056" width="8.85546875" style="176"/>
    <col min="2057" max="2057" width="6.28515625" style="176" customWidth="1"/>
    <col min="2058" max="2312" width="8.85546875" style="176"/>
    <col min="2313" max="2313" width="6.28515625" style="176" customWidth="1"/>
    <col min="2314" max="2568" width="8.85546875" style="176"/>
    <col min="2569" max="2569" width="6.28515625" style="176" customWidth="1"/>
    <col min="2570" max="2824" width="8.85546875" style="176"/>
    <col min="2825" max="2825" width="6.28515625" style="176" customWidth="1"/>
    <col min="2826" max="3080" width="8.85546875" style="176"/>
    <col min="3081" max="3081" width="6.28515625" style="176" customWidth="1"/>
    <col min="3082" max="3336" width="8.85546875" style="176"/>
    <col min="3337" max="3337" width="6.28515625" style="176" customWidth="1"/>
    <col min="3338" max="3592" width="8.85546875" style="176"/>
    <col min="3593" max="3593" width="6.28515625" style="176" customWidth="1"/>
    <col min="3594" max="3848" width="8.85546875" style="176"/>
    <col min="3849" max="3849" width="6.28515625" style="176" customWidth="1"/>
    <col min="3850" max="4104" width="8.85546875" style="176"/>
    <col min="4105" max="4105" width="6.28515625" style="176" customWidth="1"/>
    <col min="4106" max="4360" width="8.85546875" style="176"/>
    <col min="4361" max="4361" width="6.28515625" style="176" customWidth="1"/>
    <col min="4362" max="4616" width="8.85546875" style="176"/>
    <col min="4617" max="4617" width="6.28515625" style="176" customWidth="1"/>
    <col min="4618" max="4872" width="8.85546875" style="176"/>
    <col min="4873" max="4873" width="6.28515625" style="176" customWidth="1"/>
    <col min="4874" max="5128" width="8.85546875" style="176"/>
    <col min="5129" max="5129" width="6.28515625" style="176" customWidth="1"/>
    <col min="5130" max="5384" width="8.85546875" style="176"/>
    <col min="5385" max="5385" width="6.28515625" style="176" customWidth="1"/>
    <col min="5386" max="5640" width="8.85546875" style="176"/>
    <col min="5641" max="5641" width="6.28515625" style="176" customWidth="1"/>
    <col min="5642" max="5896" width="8.85546875" style="176"/>
    <col min="5897" max="5897" width="6.28515625" style="176" customWidth="1"/>
    <col min="5898" max="6152" width="8.85546875" style="176"/>
    <col min="6153" max="6153" width="6.28515625" style="176" customWidth="1"/>
    <col min="6154" max="6408" width="8.85546875" style="176"/>
    <col min="6409" max="6409" width="6.28515625" style="176" customWidth="1"/>
    <col min="6410" max="6664" width="8.85546875" style="176"/>
    <col min="6665" max="6665" width="6.28515625" style="176" customWidth="1"/>
    <col min="6666" max="6920" width="8.85546875" style="176"/>
    <col min="6921" max="6921" width="6.28515625" style="176" customWidth="1"/>
    <col min="6922" max="7176" width="8.85546875" style="176"/>
    <col min="7177" max="7177" width="6.28515625" style="176" customWidth="1"/>
    <col min="7178" max="7432" width="8.85546875" style="176"/>
    <col min="7433" max="7433" width="6.28515625" style="176" customWidth="1"/>
    <col min="7434" max="7688" width="8.85546875" style="176"/>
    <col min="7689" max="7689" width="6.28515625" style="176" customWidth="1"/>
    <col min="7690" max="7944" width="8.85546875" style="176"/>
    <col min="7945" max="7945" width="6.28515625" style="176" customWidth="1"/>
    <col min="7946" max="8200" width="8.85546875" style="176"/>
    <col min="8201" max="8201" width="6.28515625" style="176" customWidth="1"/>
    <col min="8202" max="8456" width="8.85546875" style="176"/>
    <col min="8457" max="8457" width="6.28515625" style="176" customWidth="1"/>
    <col min="8458" max="8712" width="8.85546875" style="176"/>
    <col min="8713" max="8713" width="6.28515625" style="176" customWidth="1"/>
    <col min="8714" max="8968" width="8.85546875" style="176"/>
    <col min="8969" max="8969" width="6.28515625" style="176" customWidth="1"/>
    <col min="8970" max="9224" width="8.85546875" style="176"/>
    <col min="9225" max="9225" width="6.28515625" style="176" customWidth="1"/>
    <col min="9226" max="9480" width="8.85546875" style="176"/>
    <col min="9481" max="9481" width="6.28515625" style="176" customWidth="1"/>
    <col min="9482" max="9736" width="8.85546875" style="176"/>
    <col min="9737" max="9737" width="6.28515625" style="176" customWidth="1"/>
    <col min="9738" max="9992" width="8.85546875" style="176"/>
    <col min="9993" max="9993" width="6.28515625" style="176" customWidth="1"/>
    <col min="9994" max="10248" width="8.85546875" style="176"/>
    <col min="10249" max="10249" width="6.28515625" style="176" customWidth="1"/>
    <col min="10250" max="10504" width="8.85546875" style="176"/>
    <col min="10505" max="10505" width="6.28515625" style="176" customWidth="1"/>
    <col min="10506" max="10760" width="8.85546875" style="176"/>
    <col min="10761" max="10761" width="6.28515625" style="176" customWidth="1"/>
    <col min="10762" max="11016" width="8.85546875" style="176"/>
    <col min="11017" max="11017" width="6.28515625" style="176" customWidth="1"/>
    <col min="11018" max="11272" width="8.85546875" style="176"/>
    <col min="11273" max="11273" width="6.28515625" style="176" customWidth="1"/>
    <col min="11274" max="11528" width="8.85546875" style="176"/>
    <col min="11529" max="11529" width="6.28515625" style="176" customWidth="1"/>
    <col min="11530" max="11784" width="8.85546875" style="176"/>
    <col min="11785" max="11785" width="6.28515625" style="176" customWidth="1"/>
    <col min="11786" max="12040" width="8.85546875" style="176"/>
    <col min="12041" max="12041" width="6.28515625" style="176" customWidth="1"/>
    <col min="12042" max="12296" width="8.85546875" style="176"/>
    <col min="12297" max="12297" width="6.28515625" style="176" customWidth="1"/>
    <col min="12298" max="12552" width="8.85546875" style="176"/>
    <col min="12553" max="12553" width="6.28515625" style="176" customWidth="1"/>
    <col min="12554" max="12808" width="8.85546875" style="176"/>
    <col min="12809" max="12809" width="6.28515625" style="176" customWidth="1"/>
    <col min="12810" max="13064" width="8.85546875" style="176"/>
    <col min="13065" max="13065" width="6.28515625" style="176" customWidth="1"/>
    <col min="13066" max="13320" width="8.85546875" style="176"/>
    <col min="13321" max="13321" width="6.28515625" style="176" customWidth="1"/>
    <col min="13322" max="13576" width="8.85546875" style="176"/>
    <col min="13577" max="13577" width="6.28515625" style="176" customWidth="1"/>
    <col min="13578" max="13832" width="8.85546875" style="176"/>
    <col min="13833" max="13833" width="6.28515625" style="176" customWidth="1"/>
    <col min="13834" max="14088" width="8.85546875" style="176"/>
    <col min="14089" max="14089" width="6.28515625" style="176" customWidth="1"/>
    <col min="14090" max="14344" width="8.85546875" style="176"/>
    <col min="14345" max="14345" width="6.28515625" style="176" customWidth="1"/>
    <col min="14346" max="14600" width="8.85546875" style="176"/>
    <col min="14601" max="14601" width="6.28515625" style="176" customWidth="1"/>
    <col min="14602" max="14856" width="8.85546875" style="176"/>
    <col min="14857" max="14857" width="6.28515625" style="176" customWidth="1"/>
    <col min="14858" max="15112" width="8.85546875" style="176"/>
    <col min="15113" max="15113" width="6.28515625" style="176" customWidth="1"/>
    <col min="15114" max="15368" width="8.85546875" style="176"/>
    <col min="15369" max="15369" width="6.28515625" style="176" customWidth="1"/>
    <col min="15370" max="15624" width="8.85546875" style="176"/>
    <col min="15625" max="15625" width="6.28515625" style="176" customWidth="1"/>
    <col min="15626" max="15880" width="8.85546875" style="176"/>
    <col min="15881" max="15881" width="6.28515625" style="176" customWidth="1"/>
    <col min="15882" max="16136" width="8.85546875" style="176"/>
    <col min="16137" max="16137" width="6.28515625" style="176" customWidth="1"/>
    <col min="16138" max="16384" width="8.85546875" style="176"/>
  </cols>
  <sheetData>
    <row r="1" spans="2:14">
      <c r="B1" s="185"/>
      <c r="C1" s="185"/>
      <c r="D1" s="185"/>
      <c r="E1" s="185"/>
      <c r="F1" s="185"/>
      <c r="G1" s="185"/>
      <c r="H1" s="185"/>
      <c r="I1" s="185"/>
      <c r="J1" s="185"/>
      <c r="K1" s="185"/>
    </row>
    <row r="2" spans="2:14" ht="38.25" customHeight="1">
      <c r="B2" s="459" t="str">
        <f>+Cov!B25</f>
        <v>Construction of Slab culvert with Clear Span of 3.0 m</v>
      </c>
      <c r="C2" s="459"/>
      <c r="D2" s="459"/>
      <c r="E2" s="459"/>
      <c r="F2" s="459"/>
      <c r="G2" s="459"/>
      <c r="H2" s="459"/>
      <c r="I2" s="459"/>
      <c r="J2" s="459"/>
      <c r="K2" s="186"/>
      <c r="L2" s="186"/>
      <c r="M2" s="186"/>
      <c r="N2" s="186"/>
    </row>
    <row r="3" spans="2:14" ht="38.25" customHeight="1">
      <c r="B3" s="358"/>
      <c r="C3" s="358"/>
      <c r="D3" s="358"/>
      <c r="E3" s="358"/>
      <c r="F3" s="358"/>
      <c r="G3" s="358"/>
      <c r="H3" s="358"/>
      <c r="I3" s="358"/>
      <c r="J3" s="358"/>
      <c r="K3" s="186"/>
      <c r="L3" s="186"/>
      <c r="M3" s="186"/>
      <c r="N3" s="186"/>
    </row>
    <row r="4" spans="2:14" ht="38.25" customHeight="1">
      <c r="B4" s="358"/>
      <c r="C4" s="358"/>
      <c r="D4" s="358"/>
      <c r="E4" s="358"/>
      <c r="F4" s="358"/>
      <c r="G4" s="358"/>
      <c r="H4" s="358"/>
      <c r="I4" s="358"/>
      <c r="J4" s="358"/>
      <c r="K4" s="186"/>
      <c r="L4" s="186"/>
      <c r="M4" s="186"/>
      <c r="N4" s="186"/>
    </row>
    <row r="5" spans="2:14" ht="38.25" customHeight="1">
      <c r="B5" s="358"/>
      <c r="C5" s="358"/>
      <c r="D5" s="358"/>
      <c r="E5" s="358"/>
      <c r="F5" s="358"/>
      <c r="G5" s="358"/>
      <c r="H5" s="358"/>
      <c r="I5" s="358"/>
      <c r="J5" s="358"/>
      <c r="K5" s="186"/>
      <c r="L5" s="186"/>
      <c r="M5" s="186"/>
      <c r="N5" s="186"/>
    </row>
    <row r="6" spans="2:14" ht="38.25" customHeight="1">
      <c r="B6" s="358"/>
      <c r="C6" s="358"/>
      <c r="D6" s="358"/>
      <c r="E6" s="358"/>
      <c r="F6" s="358"/>
      <c r="G6" s="358"/>
      <c r="H6" s="358"/>
      <c r="I6" s="358"/>
      <c r="J6" s="358"/>
      <c r="K6" s="186"/>
      <c r="L6" s="186"/>
      <c r="M6" s="186"/>
      <c r="N6" s="186"/>
    </row>
    <row r="7" spans="2:14" ht="38.25" customHeight="1">
      <c r="B7" s="358"/>
      <c r="C7" s="358"/>
      <c r="D7" s="358"/>
      <c r="E7" s="358"/>
      <c r="F7" s="358"/>
      <c r="G7" s="358"/>
      <c r="H7" s="358"/>
      <c r="I7" s="358"/>
      <c r="J7" s="358"/>
      <c r="K7" s="186"/>
      <c r="L7" s="186"/>
      <c r="M7" s="186"/>
      <c r="N7" s="186"/>
    </row>
    <row r="8" spans="2:14" ht="38.25" customHeight="1">
      <c r="B8" s="358"/>
      <c r="C8" s="358"/>
      <c r="D8" s="358"/>
      <c r="E8" s="358"/>
      <c r="F8" s="358"/>
      <c r="G8" s="358"/>
      <c r="H8" s="358"/>
      <c r="I8" s="358"/>
      <c r="J8" s="358"/>
      <c r="K8" s="186"/>
      <c r="L8" s="186"/>
      <c r="M8" s="186"/>
      <c r="N8" s="186"/>
    </row>
    <row r="9" spans="2:14" ht="38.25" customHeight="1">
      <c r="B9" s="358"/>
      <c r="C9" s="358"/>
      <c r="D9" s="358"/>
      <c r="E9" s="358"/>
      <c r="F9" s="358"/>
      <c r="G9" s="358"/>
      <c r="H9" s="358"/>
      <c r="I9" s="358"/>
      <c r="J9" s="358"/>
      <c r="K9" s="186"/>
      <c r="L9" s="186"/>
      <c r="M9" s="186"/>
      <c r="N9" s="186"/>
    </row>
    <row r="10" spans="2:14" ht="38.25" customHeight="1">
      <c r="B10" s="358"/>
      <c r="C10" s="358"/>
      <c r="D10" s="358"/>
      <c r="E10" s="358"/>
      <c r="F10" s="358"/>
      <c r="G10" s="358"/>
      <c r="H10" s="358"/>
      <c r="I10" s="358"/>
      <c r="J10" s="358"/>
      <c r="K10" s="186"/>
      <c r="L10" s="186"/>
      <c r="M10" s="186"/>
      <c r="N10" s="186"/>
    </row>
    <row r="11" spans="2:14" ht="38.25" customHeight="1">
      <c r="B11" s="358"/>
      <c r="C11" s="358"/>
      <c r="D11" s="358"/>
      <c r="E11" s="358"/>
      <c r="F11" s="358"/>
      <c r="G11" s="358"/>
      <c r="H11" s="358"/>
      <c r="I11" s="358"/>
      <c r="J11" s="358"/>
      <c r="K11" s="186"/>
      <c r="L11" s="186"/>
      <c r="M11" s="186"/>
      <c r="N11" s="186"/>
    </row>
    <row r="12" spans="2:14" ht="38.25" customHeight="1">
      <c r="B12" s="358"/>
      <c r="C12" s="358"/>
      <c r="D12" s="358"/>
      <c r="E12" s="358"/>
      <c r="F12" s="358"/>
      <c r="G12" s="358"/>
      <c r="H12" s="358"/>
      <c r="I12" s="358"/>
      <c r="J12" s="358"/>
      <c r="K12" s="186"/>
      <c r="L12" s="186"/>
      <c r="M12" s="186"/>
      <c r="N12" s="186"/>
    </row>
    <row r="15" spans="2:14">
      <c r="C15" s="187"/>
    </row>
    <row r="16" spans="2:14" ht="13.5" thickBot="1">
      <c r="C16" s="187"/>
      <c r="E16" s="188" t="s">
        <v>315</v>
      </c>
      <c r="H16" s="189"/>
      <c r="J16" s="190"/>
    </row>
    <row r="17" spans="3:10">
      <c r="C17" s="187"/>
      <c r="E17" s="191"/>
      <c r="J17" s="190"/>
    </row>
    <row r="18" spans="3:10">
      <c r="C18" s="187"/>
      <c r="E18" s="187"/>
      <c r="J18" s="190"/>
    </row>
    <row r="19" spans="3:10">
      <c r="C19" s="187"/>
      <c r="E19" s="187"/>
      <c r="J19" s="190"/>
    </row>
    <row r="20" spans="3:10">
      <c r="C20" s="187"/>
      <c r="E20" s="187"/>
      <c r="J20" s="190"/>
    </row>
    <row r="21" spans="3:10">
      <c r="C21" s="187"/>
      <c r="E21" s="187"/>
      <c r="J21" s="190"/>
    </row>
    <row r="22" spans="3:10">
      <c r="C22" s="187"/>
      <c r="E22" s="187"/>
      <c r="H22" s="176" t="s">
        <v>316</v>
      </c>
      <c r="J22" s="190"/>
    </row>
    <row r="23" spans="3:10">
      <c r="C23" s="187"/>
      <c r="E23" s="192" t="s">
        <v>317</v>
      </c>
      <c r="J23" s="190"/>
    </row>
    <row r="24" spans="3:10">
      <c r="C24" s="187"/>
      <c r="E24" s="187"/>
      <c r="J24" s="190"/>
    </row>
    <row r="25" spans="3:10">
      <c r="C25" s="187"/>
      <c r="E25" s="187"/>
      <c r="J25" s="190"/>
    </row>
    <row r="26" spans="3:10">
      <c r="C26" s="187"/>
      <c r="E26" s="187"/>
      <c r="J26" s="190"/>
    </row>
    <row r="27" spans="3:10" ht="13.5" thickBot="1">
      <c r="C27" s="187"/>
      <c r="E27" s="187"/>
      <c r="F27" s="176" t="s">
        <v>304</v>
      </c>
      <c r="J27" s="190"/>
    </row>
    <row r="28" spans="3:10">
      <c r="C28" s="187"/>
      <c r="D28" s="193"/>
      <c r="E28" s="185"/>
      <c r="F28" s="185"/>
      <c r="G28" s="185"/>
      <c r="H28" s="194"/>
      <c r="J28" s="190"/>
    </row>
    <row r="29" spans="3:10">
      <c r="C29" s="187"/>
      <c r="D29" s="192" t="s">
        <v>318</v>
      </c>
      <c r="H29" s="190"/>
      <c r="J29" s="190"/>
    </row>
    <row r="30" spans="3:10" ht="13.5" thickBot="1">
      <c r="C30" s="187"/>
      <c r="D30" s="195"/>
      <c r="E30" s="196"/>
      <c r="F30" s="196"/>
      <c r="G30" s="196"/>
      <c r="H30" s="197"/>
      <c r="J30" s="190"/>
    </row>
    <row r="31" spans="3:10">
      <c r="C31" s="187"/>
      <c r="D31" s="193"/>
      <c r="E31" s="185"/>
      <c r="F31" s="185"/>
      <c r="G31" s="185"/>
      <c r="H31" s="198"/>
      <c r="J31" s="190"/>
    </row>
    <row r="32" spans="3:10">
      <c r="C32" s="187"/>
      <c r="D32" s="199"/>
      <c r="E32" s="189" t="s">
        <v>319</v>
      </c>
      <c r="F32" s="189"/>
      <c r="G32" s="189"/>
      <c r="H32" s="200"/>
      <c r="J32" s="190"/>
    </row>
    <row r="33" spans="3:10">
      <c r="C33" s="187"/>
      <c r="J33" s="190"/>
    </row>
  </sheetData>
  <mergeCells count="1">
    <mergeCell ref="B2:J2"/>
  </mergeCells>
  <printOptions horizontalCentered="1" verticalCentered="1"/>
  <pageMargins left="0.70866141732283472" right="0.70866141732283472" top="0.94488188976377963" bottom="0.55118110236220474" header="0.31496062992125984" footer="0.31496062992125984"/>
  <pageSetup paperSize="9" orientation="landscape" r:id="rId1"/>
  <rowBreaks count="1" manualBreakCount="1">
    <brk id="13" max="10" man="1"/>
  </rowBreaks>
  <drawing r:id="rId2"/>
</worksheet>
</file>

<file path=xl/worksheets/sheet12.xml><?xml version="1.0" encoding="utf-8"?>
<worksheet xmlns="http://schemas.openxmlformats.org/spreadsheetml/2006/main" xmlns:r="http://schemas.openxmlformats.org/officeDocument/2006/relationships">
  <dimension ref="N30:T114"/>
  <sheetViews>
    <sheetView view="pageBreakPreview" zoomScale="75" zoomScaleSheetLayoutView="75" workbookViewId="0">
      <selection activeCell="V72" sqref="V72"/>
    </sheetView>
  </sheetViews>
  <sheetFormatPr defaultRowHeight="12.75"/>
  <cols>
    <col min="13" max="13" width="6.5703125" customWidth="1"/>
  </cols>
  <sheetData>
    <row r="30" hidden="1"/>
    <row r="63" hidden="1"/>
    <row r="96" ht="3" customHeight="1"/>
    <row r="100" spans="14:20">
      <c r="N100" t="s">
        <v>395</v>
      </c>
    </row>
    <row r="102" spans="14:20">
      <c r="N102" t="s">
        <v>396</v>
      </c>
      <c r="P102" s="22">
        <f>0.45+0.325</f>
        <v>0.77500000000000002</v>
      </c>
      <c r="R102" t="s">
        <v>398</v>
      </c>
    </row>
    <row r="104" spans="14:20">
      <c r="N104" t="s">
        <v>397</v>
      </c>
      <c r="P104">
        <v>20</v>
      </c>
      <c r="Q104" t="s">
        <v>392</v>
      </c>
      <c r="R104" t="s">
        <v>399</v>
      </c>
    </row>
    <row r="105" spans="14:20">
      <c r="R105">
        <f>0.725*2+0.8+0.2</f>
        <v>2.4500000000000002</v>
      </c>
      <c r="S105" t="s">
        <v>10</v>
      </c>
    </row>
    <row r="106" spans="14:20">
      <c r="S106">
        <f>12*12</f>
        <v>144</v>
      </c>
    </row>
    <row r="107" spans="14:20">
      <c r="S107">
        <f>+S106/162</f>
        <v>0.88888888888888884</v>
      </c>
    </row>
    <row r="108" spans="14:20">
      <c r="S108">
        <f>+S107*R105*20</f>
        <v>43.555555555555557</v>
      </c>
    </row>
    <row r="109" spans="14:20">
      <c r="S109">
        <v>17.297999999999998</v>
      </c>
    </row>
    <row r="110" spans="14:20">
      <c r="S110">
        <v>41.292000000000002</v>
      </c>
    </row>
    <row r="111" spans="14:20">
      <c r="S111">
        <v>33.107999999999997</v>
      </c>
    </row>
    <row r="112" spans="14:20">
      <c r="R112" t="s">
        <v>2</v>
      </c>
      <c r="S112">
        <f>+S111+S110+S109+S108</f>
        <v>135.25355555555558</v>
      </c>
      <c r="T112">
        <f>+S112*2</f>
        <v>270.50711111111116</v>
      </c>
    </row>
    <row r="113" spans="20:20">
      <c r="T113">
        <v>398.95400000000001</v>
      </c>
    </row>
    <row r="114" spans="20:20">
      <c r="T114" s="96">
        <f>+T113+T112</f>
        <v>669.46111111111122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I31"/>
  <sheetViews>
    <sheetView view="pageBreakPreview" zoomScale="75" zoomScaleSheetLayoutView="75" workbookViewId="0">
      <selection activeCell="U12" sqref="U12"/>
    </sheetView>
  </sheetViews>
  <sheetFormatPr defaultRowHeight="12.75"/>
  <cols>
    <col min="1" max="1" width="4" style="285" customWidth="1"/>
    <col min="2" max="2" width="47.5703125" style="285" customWidth="1"/>
    <col min="3" max="3" width="3.28515625" style="285" customWidth="1"/>
    <col min="4" max="4" width="38.28515625" style="285" customWidth="1"/>
    <col min="5" max="5" width="8.85546875" style="285"/>
    <col min="6" max="6" width="5.28515625" style="285" customWidth="1"/>
    <col min="7" max="9" width="9.28515625" style="285" hidden="1" customWidth="1"/>
    <col min="10" max="256" width="8.85546875" style="285"/>
    <col min="257" max="257" width="4" style="285" customWidth="1"/>
    <col min="258" max="258" width="47.5703125" style="285" customWidth="1"/>
    <col min="259" max="259" width="3.28515625" style="285" customWidth="1"/>
    <col min="260" max="260" width="38.28515625" style="285" customWidth="1"/>
    <col min="261" max="261" width="8.85546875" style="285"/>
    <col min="262" max="262" width="5.28515625" style="285" customWidth="1"/>
    <col min="263" max="265" width="0" style="285" hidden="1" customWidth="1"/>
    <col min="266" max="512" width="8.85546875" style="285"/>
    <col min="513" max="513" width="4" style="285" customWidth="1"/>
    <col min="514" max="514" width="47.5703125" style="285" customWidth="1"/>
    <col min="515" max="515" width="3.28515625" style="285" customWidth="1"/>
    <col min="516" max="516" width="38.28515625" style="285" customWidth="1"/>
    <col min="517" max="517" width="8.85546875" style="285"/>
    <col min="518" max="518" width="5.28515625" style="285" customWidth="1"/>
    <col min="519" max="521" width="0" style="285" hidden="1" customWidth="1"/>
    <col min="522" max="768" width="8.85546875" style="285"/>
    <col min="769" max="769" width="4" style="285" customWidth="1"/>
    <col min="770" max="770" width="47.5703125" style="285" customWidth="1"/>
    <col min="771" max="771" width="3.28515625" style="285" customWidth="1"/>
    <col min="772" max="772" width="38.28515625" style="285" customWidth="1"/>
    <col min="773" max="773" width="8.85546875" style="285"/>
    <col min="774" max="774" width="5.28515625" style="285" customWidth="1"/>
    <col min="775" max="777" width="0" style="285" hidden="1" customWidth="1"/>
    <col min="778" max="1024" width="8.85546875" style="285"/>
    <col min="1025" max="1025" width="4" style="285" customWidth="1"/>
    <col min="1026" max="1026" width="47.5703125" style="285" customWidth="1"/>
    <col min="1027" max="1027" width="3.28515625" style="285" customWidth="1"/>
    <col min="1028" max="1028" width="38.28515625" style="285" customWidth="1"/>
    <col min="1029" max="1029" width="8.85546875" style="285"/>
    <col min="1030" max="1030" width="5.28515625" style="285" customWidth="1"/>
    <col min="1031" max="1033" width="0" style="285" hidden="1" customWidth="1"/>
    <col min="1034" max="1280" width="8.85546875" style="285"/>
    <col min="1281" max="1281" width="4" style="285" customWidth="1"/>
    <col min="1282" max="1282" width="47.5703125" style="285" customWidth="1"/>
    <col min="1283" max="1283" width="3.28515625" style="285" customWidth="1"/>
    <col min="1284" max="1284" width="38.28515625" style="285" customWidth="1"/>
    <col min="1285" max="1285" width="8.85546875" style="285"/>
    <col min="1286" max="1286" width="5.28515625" style="285" customWidth="1"/>
    <col min="1287" max="1289" width="0" style="285" hidden="1" customWidth="1"/>
    <col min="1290" max="1536" width="8.85546875" style="285"/>
    <col min="1537" max="1537" width="4" style="285" customWidth="1"/>
    <col min="1538" max="1538" width="47.5703125" style="285" customWidth="1"/>
    <col min="1539" max="1539" width="3.28515625" style="285" customWidth="1"/>
    <col min="1540" max="1540" width="38.28515625" style="285" customWidth="1"/>
    <col min="1541" max="1541" width="8.85546875" style="285"/>
    <col min="1542" max="1542" width="5.28515625" style="285" customWidth="1"/>
    <col min="1543" max="1545" width="0" style="285" hidden="1" customWidth="1"/>
    <col min="1546" max="1792" width="8.85546875" style="285"/>
    <col min="1793" max="1793" width="4" style="285" customWidth="1"/>
    <col min="1794" max="1794" width="47.5703125" style="285" customWidth="1"/>
    <col min="1795" max="1795" width="3.28515625" style="285" customWidth="1"/>
    <col min="1796" max="1796" width="38.28515625" style="285" customWidth="1"/>
    <col min="1797" max="1797" width="8.85546875" style="285"/>
    <col min="1798" max="1798" width="5.28515625" style="285" customWidth="1"/>
    <col min="1799" max="1801" width="0" style="285" hidden="1" customWidth="1"/>
    <col min="1802" max="2048" width="8.85546875" style="285"/>
    <col min="2049" max="2049" width="4" style="285" customWidth="1"/>
    <col min="2050" max="2050" width="47.5703125" style="285" customWidth="1"/>
    <col min="2051" max="2051" width="3.28515625" style="285" customWidth="1"/>
    <col min="2052" max="2052" width="38.28515625" style="285" customWidth="1"/>
    <col min="2053" max="2053" width="8.85546875" style="285"/>
    <col min="2054" max="2054" width="5.28515625" style="285" customWidth="1"/>
    <col min="2055" max="2057" width="0" style="285" hidden="1" customWidth="1"/>
    <col min="2058" max="2304" width="8.85546875" style="285"/>
    <col min="2305" max="2305" width="4" style="285" customWidth="1"/>
    <col min="2306" max="2306" width="47.5703125" style="285" customWidth="1"/>
    <col min="2307" max="2307" width="3.28515625" style="285" customWidth="1"/>
    <col min="2308" max="2308" width="38.28515625" style="285" customWidth="1"/>
    <col min="2309" max="2309" width="8.85546875" style="285"/>
    <col min="2310" max="2310" width="5.28515625" style="285" customWidth="1"/>
    <col min="2311" max="2313" width="0" style="285" hidden="1" customWidth="1"/>
    <col min="2314" max="2560" width="8.85546875" style="285"/>
    <col min="2561" max="2561" width="4" style="285" customWidth="1"/>
    <col min="2562" max="2562" width="47.5703125" style="285" customWidth="1"/>
    <col min="2563" max="2563" width="3.28515625" style="285" customWidth="1"/>
    <col min="2564" max="2564" width="38.28515625" style="285" customWidth="1"/>
    <col min="2565" max="2565" width="8.85546875" style="285"/>
    <col min="2566" max="2566" width="5.28515625" style="285" customWidth="1"/>
    <col min="2567" max="2569" width="0" style="285" hidden="1" customWidth="1"/>
    <col min="2570" max="2816" width="8.85546875" style="285"/>
    <col min="2817" max="2817" width="4" style="285" customWidth="1"/>
    <col min="2818" max="2818" width="47.5703125" style="285" customWidth="1"/>
    <col min="2819" max="2819" width="3.28515625" style="285" customWidth="1"/>
    <col min="2820" max="2820" width="38.28515625" style="285" customWidth="1"/>
    <col min="2821" max="2821" width="8.85546875" style="285"/>
    <col min="2822" max="2822" width="5.28515625" style="285" customWidth="1"/>
    <col min="2823" max="2825" width="0" style="285" hidden="1" customWidth="1"/>
    <col min="2826" max="3072" width="8.85546875" style="285"/>
    <col min="3073" max="3073" width="4" style="285" customWidth="1"/>
    <col min="3074" max="3074" width="47.5703125" style="285" customWidth="1"/>
    <col min="3075" max="3075" width="3.28515625" style="285" customWidth="1"/>
    <col min="3076" max="3076" width="38.28515625" style="285" customWidth="1"/>
    <col min="3077" max="3077" width="8.85546875" style="285"/>
    <col min="3078" max="3078" width="5.28515625" style="285" customWidth="1"/>
    <col min="3079" max="3081" width="0" style="285" hidden="1" customWidth="1"/>
    <col min="3082" max="3328" width="8.85546875" style="285"/>
    <col min="3329" max="3329" width="4" style="285" customWidth="1"/>
    <col min="3330" max="3330" width="47.5703125" style="285" customWidth="1"/>
    <col min="3331" max="3331" width="3.28515625" style="285" customWidth="1"/>
    <col min="3332" max="3332" width="38.28515625" style="285" customWidth="1"/>
    <col min="3333" max="3333" width="8.85546875" style="285"/>
    <col min="3334" max="3334" width="5.28515625" style="285" customWidth="1"/>
    <col min="3335" max="3337" width="0" style="285" hidden="1" customWidth="1"/>
    <col min="3338" max="3584" width="8.85546875" style="285"/>
    <col min="3585" max="3585" width="4" style="285" customWidth="1"/>
    <col min="3586" max="3586" width="47.5703125" style="285" customWidth="1"/>
    <col min="3587" max="3587" width="3.28515625" style="285" customWidth="1"/>
    <col min="3588" max="3588" width="38.28515625" style="285" customWidth="1"/>
    <col min="3589" max="3589" width="8.85546875" style="285"/>
    <col min="3590" max="3590" width="5.28515625" style="285" customWidth="1"/>
    <col min="3591" max="3593" width="0" style="285" hidden="1" customWidth="1"/>
    <col min="3594" max="3840" width="8.85546875" style="285"/>
    <col min="3841" max="3841" width="4" style="285" customWidth="1"/>
    <col min="3842" max="3842" width="47.5703125" style="285" customWidth="1"/>
    <col min="3843" max="3843" width="3.28515625" style="285" customWidth="1"/>
    <col min="3844" max="3844" width="38.28515625" style="285" customWidth="1"/>
    <col min="3845" max="3845" width="8.85546875" style="285"/>
    <col min="3846" max="3846" width="5.28515625" style="285" customWidth="1"/>
    <col min="3847" max="3849" width="0" style="285" hidden="1" customWidth="1"/>
    <col min="3850" max="4096" width="8.85546875" style="285"/>
    <col min="4097" max="4097" width="4" style="285" customWidth="1"/>
    <col min="4098" max="4098" width="47.5703125" style="285" customWidth="1"/>
    <col min="4099" max="4099" width="3.28515625" style="285" customWidth="1"/>
    <col min="4100" max="4100" width="38.28515625" style="285" customWidth="1"/>
    <col min="4101" max="4101" width="8.85546875" style="285"/>
    <col min="4102" max="4102" width="5.28515625" style="285" customWidth="1"/>
    <col min="4103" max="4105" width="0" style="285" hidden="1" customWidth="1"/>
    <col min="4106" max="4352" width="8.85546875" style="285"/>
    <col min="4353" max="4353" width="4" style="285" customWidth="1"/>
    <col min="4354" max="4354" width="47.5703125" style="285" customWidth="1"/>
    <col min="4355" max="4355" width="3.28515625" style="285" customWidth="1"/>
    <col min="4356" max="4356" width="38.28515625" style="285" customWidth="1"/>
    <col min="4357" max="4357" width="8.85546875" style="285"/>
    <col min="4358" max="4358" width="5.28515625" style="285" customWidth="1"/>
    <col min="4359" max="4361" width="0" style="285" hidden="1" customWidth="1"/>
    <col min="4362" max="4608" width="8.85546875" style="285"/>
    <col min="4609" max="4609" width="4" style="285" customWidth="1"/>
    <col min="4610" max="4610" width="47.5703125" style="285" customWidth="1"/>
    <col min="4611" max="4611" width="3.28515625" style="285" customWidth="1"/>
    <col min="4612" max="4612" width="38.28515625" style="285" customWidth="1"/>
    <col min="4613" max="4613" width="8.85546875" style="285"/>
    <col min="4614" max="4614" width="5.28515625" style="285" customWidth="1"/>
    <col min="4615" max="4617" width="0" style="285" hidden="1" customWidth="1"/>
    <col min="4618" max="4864" width="8.85546875" style="285"/>
    <col min="4865" max="4865" width="4" style="285" customWidth="1"/>
    <col min="4866" max="4866" width="47.5703125" style="285" customWidth="1"/>
    <col min="4867" max="4867" width="3.28515625" style="285" customWidth="1"/>
    <col min="4868" max="4868" width="38.28515625" style="285" customWidth="1"/>
    <col min="4869" max="4869" width="8.85546875" style="285"/>
    <col min="4870" max="4870" width="5.28515625" style="285" customWidth="1"/>
    <col min="4871" max="4873" width="0" style="285" hidden="1" customWidth="1"/>
    <col min="4874" max="5120" width="8.85546875" style="285"/>
    <col min="5121" max="5121" width="4" style="285" customWidth="1"/>
    <col min="5122" max="5122" width="47.5703125" style="285" customWidth="1"/>
    <col min="5123" max="5123" width="3.28515625" style="285" customWidth="1"/>
    <col min="5124" max="5124" width="38.28515625" style="285" customWidth="1"/>
    <col min="5125" max="5125" width="8.85546875" style="285"/>
    <col min="5126" max="5126" width="5.28515625" style="285" customWidth="1"/>
    <col min="5127" max="5129" width="0" style="285" hidden="1" customWidth="1"/>
    <col min="5130" max="5376" width="8.85546875" style="285"/>
    <col min="5377" max="5377" width="4" style="285" customWidth="1"/>
    <col min="5378" max="5378" width="47.5703125" style="285" customWidth="1"/>
    <col min="5379" max="5379" width="3.28515625" style="285" customWidth="1"/>
    <col min="5380" max="5380" width="38.28515625" style="285" customWidth="1"/>
    <col min="5381" max="5381" width="8.85546875" style="285"/>
    <col min="5382" max="5382" width="5.28515625" style="285" customWidth="1"/>
    <col min="5383" max="5385" width="0" style="285" hidden="1" customWidth="1"/>
    <col min="5386" max="5632" width="8.85546875" style="285"/>
    <col min="5633" max="5633" width="4" style="285" customWidth="1"/>
    <col min="5634" max="5634" width="47.5703125" style="285" customWidth="1"/>
    <col min="5635" max="5635" width="3.28515625" style="285" customWidth="1"/>
    <col min="5636" max="5636" width="38.28515625" style="285" customWidth="1"/>
    <col min="5637" max="5637" width="8.85546875" style="285"/>
    <col min="5638" max="5638" width="5.28515625" style="285" customWidth="1"/>
    <col min="5639" max="5641" width="0" style="285" hidden="1" customWidth="1"/>
    <col min="5642" max="5888" width="8.85546875" style="285"/>
    <col min="5889" max="5889" width="4" style="285" customWidth="1"/>
    <col min="5890" max="5890" width="47.5703125" style="285" customWidth="1"/>
    <col min="5891" max="5891" width="3.28515625" style="285" customWidth="1"/>
    <col min="5892" max="5892" width="38.28515625" style="285" customWidth="1"/>
    <col min="5893" max="5893" width="8.85546875" style="285"/>
    <col min="5894" max="5894" width="5.28515625" style="285" customWidth="1"/>
    <col min="5895" max="5897" width="0" style="285" hidden="1" customWidth="1"/>
    <col min="5898" max="6144" width="8.85546875" style="285"/>
    <col min="6145" max="6145" width="4" style="285" customWidth="1"/>
    <col min="6146" max="6146" width="47.5703125" style="285" customWidth="1"/>
    <col min="6147" max="6147" width="3.28515625" style="285" customWidth="1"/>
    <col min="6148" max="6148" width="38.28515625" style="285" customWidth="1"/>
    <col min="6149" max="6149" width="8.85546875" style="285"/>
    <col min="6150" max="6150" width="5.28515625" style="285" customWidth="1"/>
    <col min="6151" max="6153" width="0" style="285" hidden="1" customWidth="1"/>
    <col min="6154" max="6400" width="8.85546875" style="285"/>
    <col min="6401" max="6401" width="4" style="285" customWidth="1"/>
    <col min="6402" max="6402" width="47.5703125" style="285" customWidth="1"/>
    <col min="6403" max="6403" width="3.28515625" style="285" customWidth="1"/>
    <col min="6404" max="6404" width="38.28515625" style="285" customWidth="1"/>
    <col min="6405" max="6405" width="8.85546875" style="285"/>
    <col min="6406" max="6406" width="5.28515625" style="285" customWidth="1"/>
    <col min="6407" max="6409" width="0" style="285" hidden="1" customWidth="1"/>
    <col min="6410" max="6656" width="8.85546875" style="285"/>
    <col min="6657" max="6657" width="4" style="285" customWidth="1"/>
    <col min="6658" max="6658" width="47.5703125" style="285" customWidth="1"/>
    <col min="6659" max="6659" width="3.28515625" style="285" customWidth="1"/>
    <col min="6660" max="6660" width="38.28515625" style="285" customWidth="1"/>
    <col min="6661" max="6661" width="8.85546875" style="285"/>
    <col min="6662" max="6662" width="5.28515625" style="285" customWidth="1"/>
    <col min="6663" max="6665" width="0" style="285" hidden="1" customWidth="1"/>
    <col min="6666" max="6912" width="8.85546875" style="285"/>
    <col min="6913" max="6913" width="4" style="285" customWidth="1"/>
    <col min="6914" max="6914" width="47.5703125" style="285" customWidth="1"/>
    <col min="6915" max="6915" width="3.28515625" style="285" customWidth="1"/>
    <col min="6916" max="6916" width="38.28515625" style="285" customWidth="1"/>
    <col min="6917" max="6917" width="8.85546875" style="285"/>
    <col min="6918" max="6918" width="5.28515625" style="285" customWidth="1"/>
    <col min="6919" max="6921" width="0" style="285" hidden="1" customWidth="1"/>
    <col min="6922" max="7168" width="8.85546875" style="285"/>
    <col min="7169" max="7169" width="4" style="285" customWidth="1"/>
    <col min="7170" max="7170" width="47.5703125" style="285" customWidth="1"/>
    <col min="7171" max="7171" width="3.28515625" style="285" customWidth="1"/>
    <col min="7172" max="7172" width="38.28515625" style="285" customWidth="1"/>
    <col min="7173" max="7173" width="8.85546875" style="285"/>
    <col min="7174" max="7174" width="5.28515625" style="285" customWidth="1"/>
    <col min="7175" max="7177" width="0" style="285" hidden="1" customWidth="1"/>
    <col min="7178" max="7424" width="8.85546875" style="285"/>
    <col min="7425" max="7425" width="4" style="285" customWidth="1"/>
    <col min="7426" max="7426" width="47.5703125" style="285" customWidth="1"/>
    <col min="7427" max="7427" width="3.28515625" style="285" customWidth="1"/>
    <col min="7428" max="7428" width="38.28515625" style="285" customWidth="1"/>
    <col min="7429" max="7429" width="8.85546875" style="285"/>
    <col min="7430" max="7430" width="5.28515625" style="285" customWidth="1"/>
    <col min="7431" max="7433" width="0" style="285" hidden="1" customWidth="1"/>
    <col min="7434" max="7680" width="8.85546875" style="285"/>
    <col min="7681" max="7681" width="4" style="285" customWidth="1"/>
    <col min="7682" max="7682" width="47.5703125" style="285" customWidth="1"/>
    <col min="7683" max="7683" width="3.28515625" style="285" customWidth="1"/>
    <col min="7684" max="7684" width="38.28515625" style="285" customWidth="1"/>
    <col min="7685" max="7685" width="8.85546875" style="285"/>
    <col min="7686" max="7686" width="5.28515625" style="285" customWidth="1"/>
    <col min="7687" max="7689" width="0" style="285" hidden="1" customWidth="1"/>
    <col min="7690" max="7936" width="8.85546875" style="285"/>
    <col min="7937" max="7937" width="4" style="285" customWidth="1"/>
    <col min="7938" max="7938" width="47.5703125" style="285" customWidth="1"/>
    <col min="7939" max="7939" width="3.28515625" style="285" customWidth="1"/>
    <col min="7940" max="7940" width="38.28515625" style="285" customWidth="1"/>
    <col min="7941" max="7941" width="8.85546875" style="285"/>
    <col min="7942" max="7942" width="5.28515625" style="285" customWidth="1"/>
    <col min="7943" max="7945" width="0" style="285" hidden="1" customWidth="1"/>
    <col min="7946" max="8192" width="8.85546875" style="285"/>
    <col min="8193" max="8193" width="4" style="285" customWidth="1"/>
    <col min="8194" max="8194" width="47.5703125" style="285" customWidth="1"/>
    <col min="8195" max="8195" width="3.28515625" style="285" customWidth="1"/>
    <col min="8196" max="8196" width="38.28515625" style="285" customWidth="1"/>
    <col min="8197" max="8197" width="8.85546875" style="285"/>
    <col min="8198" max="8198" width="5.28515625" style="285" customWidth="1"/>
    <col min="8199" max="8201" width="0" style="285" hidden="1" customWidth="1"/>
    <col min="8202" max="8448" width="8.85546875" style="285"/>
    <col min="8449" max="8449" width="4" style="285" customWidth="1"/>
    <col min="8450" max="8450" width="47.5703125" style="285" customWidth="1"/>
    <col min="8451" max="8451" width="3.28515625" style="285" customWidth="1"/>
    <col min="8452" max="8452" width="38.28515625" style="285" customWidth="1"/>
    <col min="8453" max="8453" width="8.85546875" style="285"/>
    <col min="8454" max="8454" width="5.28515625" style="285" customWidth="1"/>
    <col min="8455" max="8457" width="0" style="285" hidden="1" customWidth="1"/>
    <col min="8458" max="8704" width="8.85546875" style="285"/>
    <col min="8705" max="8705" width="4" style="285" customWidth="1"/>
    <col min="8706" max="8706" width="47.5703125" style="285" customWidth="1"/>
    <col min="8707" max="8707" width="3.28515625" style="285" customWidth="1"/>
    <col min="8708" max="8708" width="38.28515625" style="285" customWidth="1"/>
    <col min="8709" max="8709" width="8.85546875" style="285"/>
    <col min="8710" max="8710" width="5.28515625" style="285" customWidth="1"/>
    <col min="8711" max="8713" width="0" style="285" hidden="1" customWidth="1"/>
    <col min="8714" max="8960" width="8.85546875" style="285"/>
    <col min="8961" max="8961" width="4" style="285" customWidth="1"/>
    <col min="8962" max="8962" width="47.5703125" style="285" customWidth="1"/>
    <col min="8963" max="8963" width="3.28515625" style="285" customWidth="1"/>
    <col min="8964" max="8964" width="38.28515625" style="285" customWidth="1"/>
    <col min="8965" max="8965" width="8.85546875" style="285"/>
    <col min="8966" max="8966" width="5.28515625" style="285" customWidth="1"/>
    <col min="8967" max="8969" width="0" style="285" hidden="1" customWidth="1"/>
    <col min="8970" max="9216" width="8.85546875" style="285"/>
    <col min="9217" max="9217" width="4" style="285" customWidth="1"/>
    <col min="9218" max="9218" width="47.5703125" style="285" customWidth="1"/>
    <col min="9219" max="9219" width="3.28515625" style="285" customWidth="1"/>
    <col min="9220" max="9220" width="38.28515625" style="285" customWidth="1"/>
    <col min="9221" max="9221" width="8.85546875" style="285"/>
    <col min="9222" max="9222" width="5.28515625" style="285" customWidth="1"/>
    <col min="9223" max="9225" width="0" style="285" hidden="1" customWidth="1"/>
    <col min="9226" max="9472" width="8.85546875" style="285"/>
    <col min="9473" max="9473" width="4" style="285" customWidth="1"/>
    <col min="9474" max="9474" width="47.5703125" style="285" customWidth="1"/>
    <col min="9475" max="9475" width="3.28515625" style="285" customWidth="1"/>
    <col min="9476" max="9476" width="38.28515625" style="285" customWidth="1"/>
    <col min="9477" max="9477" width="8.85546875" style="285"/>
    <col min="9478" max="9478" width="5.28515625" style="285" customWidth="1"/>
    <col min="9479" max="9481" width="0" style="285" hidden="1" customWidth="1"/>
    <col min="9482" max="9728" width="8.85546875" style="285"/>
    <col min="9729" max="9729" width="4" style="285" customWidth="1"/>
    <col min="9730" max="9730" width="47.5703125" style="285" customWidth="1"/>
    <col min="9731" max="9731" width="3.28515625" style="285" customWidth="1"/>
    <col min="9732" max="9732" width="38.28515625" style="285" customWidth="1"/>
    <col min="9733" max="9733" width="8.85546875" style="285"/>
    <col min="9734" max="9734" width="5.28515625" style="285" customWidth="1"/>
    <col min="9735" max="9737" width="0" style="285" hidden="1" customWidth="1"/>
    <col min="9738" max="9984" width="8.85546875" style="285"/>
    <col min="9985" max="9985" width="4" style="285" customWidth="1"/>
    <col min="9986" max="9986" width="47.5703125" style="285" customWidth="1"/>
    <col min="9987" max="9987" width="3.28515625" style="285" customWidth="1"/>
    <col min="9988" max="9988" width="38.28515625" style="285" customWidth="1"/>
    <col min="9989" max="9989" width="8.85546875" style="285"/>
    <col min="9990" max="9990" width="5.28515625" style="285" customWidth="1"/>
    <col min="9991" max="9993" width="0" style="285" hidden="1" customWidth="1"/>
    <col min="9994" max="10240" width="8.85546875" style="285"/>
    <col min="10241" max="10241" width="4" style="285" customWidth="1"/>
    <col min="10242" max="10242" width="47.5703125" style="285" customWidth="1"/>
    <col min="10243" max="10243" width="3.28515625" style="285" customWidth="1"/>
    <col min="10244" max="10244" width="38.28515625" style="285" customWidth="1"/>
    <col min="10245" max="10245" width="8.85546875" style="285"/>
    <col min="10246" max="10246" width="5.28515625" style="285" customWidth="1"/>
    <col min="10247" max="10249" width="0" style="285" hidden="1" customWidth="1"/>
    <col min="10250" max="10496" width="8.85546875" style="285"/>
    <col min="10497" max="10497" width="4" style="285" customWidth="1"/>
    <col min="10498" max="10498" width="47.5703125" style="285" customWidth="1"/>
    <col min="10499" max="10499" width="3.28515625" style="285" customWidth="1"/>
    <col min="10500" max="10500" width="38.28515625" style="285" customWidth="1"/>
    <col min="10501" max="10501" width="8.85546875" style="285"/>
    <col min="10502" max="10502" width="5.28515625" style="285" customWidth="1"/>
    <col min="10503" max="10505" width="0" style="285" hidden="1" customWidth="1"/>
    <col min="10506" max="10752" width="8.85546875" style="285"/>
    <col min="10753" max="10753" width="4" style="285" customWidth="1"/>
    <col min="10754" max="10754" width="47.5703125" style="285" customWidth="1"/>
    <col min="10755" max="10755" width="3.28515625" style="285" customWidth="1"/>
    <col min="10756" max="10756" width="38.28515625" style="285" customWidth="1"/>
    <col min="10757" max="10757" width="8.85546875" style="285"/>
    <col min="10758" max="10758" width="5.28515625" style="285" customWidth="1"/>
    <col min="10759" max="10761" width="0" style="285" hidden="1" customWidth="1"/>
    <col min="10762" max="11008" width="8.85546875" style="285"/>
    <col min="11009" max="11009" width="4" style="285" customWidth="1"/>
    <col min="11010" max="11010" width="47.5703125" style="285" customWidth="1"/>
    <col min="11011" max="11011" width="3.28515625" style="285" customWidth="1"/>
    <col min="11012" max="11012" width="38.28515625" style="285" customWidth="1"/>
    <col min="11013" max="11013" width="8.85546875" style="285"/>
    <col min="11014" max="11014" width="5.28515625" style="285" customWidth="1"/>
    <col min="11015" max="11017" width="0" style="285" hidden="1" customWidth="1"/>
    <col min="11018" max="11264" width="8.85546875" style="285"/>
    <col min="11265" max="11265" width="4" style="285" customWidth="1"/>
    <col min="11266" max="11266" width="47.5703125" style="285" customWidth="1"/>
    <col min="11267" max="11267" width="3.28515625" style="285" customWidth="1"/>
    <col min="11268" max="11268" width="38.28515625" style="285" customWidth="1"/>
    <col min="11269" max="11269" width="8.85546875" style="285"/>
    <col min="11270" max="11270" width="5.28515625" style="285" customWidth="1"/>
    <col min="11271" max="11273" width="0" style="285" hidden="1" customWidth="1"/>
    <col min="11274" max="11520" width="8.85546875" style="285"/>
    <col min="11521" max="11521" width="4" style="285" customWidth="1"/>
    <col min="11522" max="11522" width="47.5703125" style="285" customWidth="1"/>
    <col min="11523" max="11523" width="3.28515625" style="285" customWidth="1"/>
    <col min="11524" max="11524" width="38.28515625" style="285" customWidth="1"/>
    <col min="11525" max="11525" width="8.85546875" style="285"/>
    <col min="11526" max="11526" width="5.28515625" style="285" customWidth="1"/>
    <col min="11527" max="11529" width="0" style="285" hidden="1" customWidth="1"/>
    <col min="11530" max="11776" width="8.85546875" style="285"/>
    <col min="11777" max="11777" width="4" style="285" customWidth="1"/>
    <col min="11778" max="11778" width="47.5703125" style="285" customWidth="1"/>
    <col min="11779" max="11779" width="3.28515625" style="285" customWidth="1"/>
    <col min="11780" max="11780" width="38.28515625" style="285" customWidth="1"/>
    <col min="11781" max="11781" width="8.85546875" style="285"/>
    <col min="11782" max="11782" width="5.28515625" style="285" customWidth="1"/>
    <col min="11783" max="11785" width="0" style="285" hidden="1" customWidth="1"/>
    <col min="11786" max="12032" width="8.85546875" style="285"/>
    <col min="12033" max="12033" width="4" style="285" customWidth="1"/>
    <col min="12034" max="12034" width="47.5703125" style="285" customWidth="1"/>
    <col min="12035" max="12035" width="3.28515625" style="285" customWidth="1"/>
    <col min="12036" max="12036" width="38.28515625" style="285" customWidth="1"/>
    <col min="12037" max="12037" width="8.85546875" style="285"/>
    <col min="12038" max="12038" width="5.28515625" style="285" customWidth="1"/>
    <col min="12039" max="12041" width="0" style="285" hidden="1" customWidth="1"/>
    <col min="12042" max="12288" width="8.85546875" style="285"/>
    <col min="12289" max="12289" width="4" style="285" customWidth="1"/>
    <col min="12290" max="12290" width="47.5703125" style="285" customWidth="1"/>
    <col min="12291" max="12291" width="3.28515625" style="285" customWidth="1"/>
    <col min="12292" max="12292" width="38.28515625" style="285" customWidth="1"/>
    <col min="12293" max="12293" width="8.85546875" style="285"/>
    <col min="12294" max="12294" width="5.28515625" style="285" customWidth="1"/>
    <col min="12295" max="12297" width="0" style="285" hidden="1" customWidth="1"/>
    <col min="12298" max="12544" width="8.85546875" style="285"/>
    <col min="12545" max="12545" width="4" style="285" customWidth="1"/>
    <col min="12546" max="12546" width="47.5703125" style="285" customWidth="1"/>
    <col min="12547" max="12547" width="3.28515625" style="285" customWidth="1"/>
    <col min="12548" max="12548" width="38.28515625" style="285" customWidth="1"/>
    <col min="12549" max="12549" width="8.85546875" style="285"/>
    <col min="12550" max="12550" width="5.28515625" style="285" customWidth="1"/>
    <col min="12551" max="12553" width="0" style="285" hidden="1" customWidth="1"/>
    <col min="12554" max="12800" width="8.85546875" style="285"/>
    <col min="12801" max="12801" width="4" style="285" customWidth="1"/>
    <col min="12802" max="12802" width="47.5703125" style="285" customWidth="1"/>
    <col min="12803" max="12803" width="3.28515625" style="285" customWidth="1"/>
    <col min="12804" max="12804" width="38.28515625" style="285" customWidth="1"/>
    <col min="12805" max="12805" width="8.85546875" style="285"/>
    <col min="12806" max="12806" width="5.28515625" style="285" customWidth="1"/>
    <col min="12807" max="12809" width="0" style="285" hidden="1" customWidth="1"/>
    <col min="12810" max="13056" width="8.85546875" style="285"/>
    <col min="13057" max="13057" width="4" style="285" customWidth="1"/>
    <col min="13058" max="13058" width="47.5703125" style="285" customWidth="1"/>
    <col min="13059" max="13059" width="3.28515625" style="285" customWidth="1"/>
    <col min="13060" max="13060" width="38.28515625" style="285" customWidth="1"/>
    <col min="13061" max="13061" width="8.85546875" style="285"/>
    <col min="13062" max="13062" width="5.28515625" style="285" customWidth="1"/>
    <col min="13063" max="13065" width="0" style="285" hidden="1" customWidth="1"/>
    <col min="13066" max="13312" width="8.85546875" style="285"/>
    <col min="13313" max="13313" width="4" style="285" customWidth="1"/>
    <col min="13314" max="13314" width="47.5703125" style="285" customWidth="1"/>
    <col min="13315" max="13315" width="3.28515625" style="285" customWidth="1"/>
    <col min="13316" max="13316" width="38.28515625" style="285" customWidth="1"/>
    <col min="13317" max="13317" width="8.85546875" style="285"/>
    <col min="13318" max="13318" width="5.28515625" style="285" customWidth="1"/>
    <col min="13319" max="13321" width="0" style="285" hidden="1" customWidth="1"/>
    <col min="13322" max="13568" width="8.85546875" style="285"/>
    <col min="13569" max="13569" width="4" style="285" customWidth="1"/>
    <col min="13570" max="13570" width="47.5703125" style="285" customWidth="1"/>
    <col min="13571" max="13571" width="3.28515625" style="285" customWidth="1"/>
    <col min="13572" max="13572" width="38.28515625" style="285" customWidth="1"/>
    <col min="13573" max="13573" width="8.85546875" style="285"/>
    <col min="13574" max="13574" width="5.28515625" style="285" customWidth="1"/>
    <col min="13575" max="13577" width="0" style="285" hidden="1" customWidth="1"/>
    <col min="13578" max="13824" width="8.85546875" style="285"/>
    <col min="13825" max="13825" width="4" style="285" customWidth="1"/>
    <col min="13826" max="13826" width="47.5703125" style="285" customWidth="1"/>
    <col min="13827" max="13827" width="3.28515625" style="285" customWidth="1"/>
    <col min="13828" max="13828" width="38.28515625" style="285" customWidth="1"/>
    <col min="13829" max="13829" width="8.85546875" style="285"/>
    <col min="13830" max="13830" width="5.28515625" style="285" customWidth="1"/>
    <col min="13831" max="13833" width="0" style="285" hidden="1" customWidth="1"/>
    <col min="13834" max="14080" width="8.85546875" style="285"/>
    <col min="14081" max="14081" width="4" style="285" customWidth="1"/>
    <col min="14082" max="14082" width="47.5703125" style="285" customWidth="1"/>
    <col min="14083" max="14083" width="3.28515625" style="285" customWidth="1"/>
    <col min="14084" max="14084" width="38.28515625" style="285" customWidth="1"/>
    <col min="14085" max="14085" width="8.85546875" style="285"/>
    <col min="14086" max="14086" width="5.28515625" style="285" customWidth="1"/>
    <col min="14087" max="14089" width="0" style="285" hidden="1" customWidth="1"/>
    <col min="14090" max="14336" width="8.85546875" style="285"/>
    <col min="14337" max="14337" width="4" style="285" customWidth="1"/>
    <col min="14338" max="14338" width="47.5703125" style="285" customWidth="1"/>
    <col min="14339" max="14339" width="3.28515625" style="285" customWidth="1"/>
    <col min="14340" max="14340" width="38.28515625" style="285" customWidth="1"/>
    <col min="14341" max="14341" width="8.85546875" style="285"/>
    <col min="14342" max="14342" width="5.28515625" style="285" customWidth="1"/>
    <col min="14343" max="14345" width="0" style="285" hidden="1" customWidth="1"/>
    <col min="14346" max="14592" width="8.85546875" style="285"/>
    <col min="14593" max="14593" width="4" style="285" customWidth="1"/>
    <col min="14594" max="14594" width="47.5703125" style="285" customWidth="1"/>
    <col min="14595" max="14595" width="3.28515625" style="285" customWidth="1"/>
    <col min="14596" max="14596" width="38.28515625" style="285" customWidth="1"/>
    <col min="14597" max="14597" width="8.85546875" style="285"/>
    <col min="14598" max="14598" width="5.28515625" style="285" customWidth="1"/>
    <col min="14599" max="14601" width="0" style="285" hidden="1" customWidth="1"/>
    <col min="14602" max="14848" width="8.85546875" style="285"/>
    <col min="14849" max="14849" width="4" style="285" customWidth="1"/>
    <col min="14850" max="14850" width="47.5703125" style="285" customWidth="1"/>
    <col min="14851" max="14851" width="3.28515625" style="285" customWidth="1"/>
    <col min="14852" max="14852" width="38.28515625" style="285" customWidth="1"/>
    <col min="14853" max="14853" width="8.85546875" style="285"/>
    <col min="14854" max="14854" width="5.28515625" style="285" customWidth="1"/>
    <col min="14855" max="14857" width="0" style="285" hidden="1" customWidth="1"/>
    <col min="14858" max="15104" width="8.85546875" style="285"/>
    <col min="15105" max="15105" width="4" style="285" customWidth="1"/>
    <col min="15106" max="15106" width="47.5703125" style="285" customWidth="1"/>
    <col min="15107" max="15107" width="3.28515625" style="285" customWidth="1"/>
    <col min="15108" max="15108" width="38.28515625" style="285" customWidth="1"/>
    <col min="15109" max="15109" width="8.85546875" style="285"/>
    <col min="15110" max="15110" width="5.28515625" style="285" customWidth="1"/>
    <col min="15111" max="15113" width="0" style="285" hidden="1" customWidth="1"/>
    <col min="15114" max="15360" width="8.85546875" style="285"/>
    <col min="15361" max="15361" width="4" style="285" customWidth="1"/>
    <col min="15362" max="15362" width="47.5703125" style="285" customWidth="1"/>
    <col min="15363" max="15363" width="3.28515625" style="285" customWidth="1"/>
    <col min="15364" max="15364" width="38.28515625" style="285" customWidth="1"/>
    <col min="15365" max="15365" width="8.85546875" style="285"/>
    <col min="15366" max="15366" width="5.28515625" style="285" customWidth="1"/>
    <col min="15367" max="15369" width="0" style="285" hidden="1" customWidth="1"/>
    <col min="15370" max="15616" width="8.85546875" style="285"/>
    <col min="15617" max="15617" width="4" style="285" customWidth="1"/>
    <col min="15618" max="15618" width="47.5703125" style="285" customWidth="1"/>
    <col min="15619" max="15619" width="3.28515625" style="285" customWidth="1"/>
    <col min="15620" max="15620" width="38.28515625" style="285" customWidth="1"/>
    <col min="15621" max="15621" width="8.85546875" style="285"/>
    <col min="15622" max="15622" width="5.28515625" style="285" customWidth="1"/>
    <col min="15623" max="15625" width="0" style="285" hidden="1" customWidth="1"/>
    <col min="15626" max="15872" width="8.85546875" style="285"/>
    <col min="15873" max="15873" width="4" style="285" customWidth="1"/>
    <col min="15874" max="15874" width="47.5703125" style="285" customWidth="1"/>
    <col min="15875" max="15875" width="3.28515625" style="285" customWidth="1"/>
    <col min="15876" max="15876" width="38.28515625" style="285" customWidth="1"/>
    <col min="15877" max="15877" width="8.85546875" style="285"/>
    <col min="15878" max="15878" width="5.28515625" style="285" customWidth="1"/>
    <col min="15879" max="15881" width="0" style="285" hidden="1" customWidth="1"/>
    <col min="15882" max="16128" width="8.85546875" style="285"/>
    <col min="16129" max="16129" width="4" style="285" customWidth="1"/>
    <col min="16130" max="16130" width="47.5703125" style="285" customWidth="1"/>
    <col min="16131" max="16131" width="3.28515625" style="285" customWidth="1"/>
    <col min="16132" max="16132" width="38.28515625" style="285" customWidth="1"/>
    <col min="16133" max="16133" width="8.85546875" style="285"/>
    <col min="16134" max="16134" width="5.28515625" style="285" customWidth="1"/>
    <col min="16135" max="16137" width="0" style="285" hidden="1" customWidth="1"/>
    <col min="16138" max="16384" width="8.85546875" style="285"/>
  </cols>
  <sheetData>
    <row r="1" spans="1:7" ht="15">
      <c r="A1" s="284"/>
      <c r="B1" s="373" t="s">
        <v>330</v>
      </c>
      <c r="C1" s="373"/>
      <c r="D1" s="373"/>
    </row>
    <row r="2" spans="1:7" ht="15">
      <c r="A2" s="284"/>
      <c r="B2" s="373" t="s">
        <v>331</v>
      </c>
      <c r="C2" s="373"/>
      <c r="D2" s="373"/>
    </row>
    <row r="3" spans="1:7" ht="15.75">
      <c r="A3" s="284"/>
      <c r="B3" s="286"/>
      <c r="C3" s="284"/>
      <c r="D3" s="284"/>
    </row>
    <row r="4" spans="1:7" ht="15.75">
      <c r="A4" s="284"/>
      <c r="B4" s="287"/>
      <c r="C4" s="284"/>
      <c r="D4" s="284"/>
    </row>
    <row r="5" spans="1:7" ht="66" customHeight="1">
      <c r="A5" s="288">
        <v>1</v>
      </c>
      <c r="B5" s="289" t="s">
        <v>332</v>
      </c>
      <c r="C5" s="290"/>
      <c r="D5" s="305" t="str">
        <f>+Cov!B25</f>
        <v>Construction of Slab culvert with Clear Span of 3.0 m</v>
      </c>
      <c r="E5" s="291"/>
      <c r="F5" s="291"/>
    </row>
    <row r="6" spans="1:7" ht="28.5" customHeight="1">
      <c r="A6" s="292">
        <v>2</v>
      </c>
      <c r="B6" s="293" t="s">
        <v>350</v>
      </c>
      <c r="C6" s="290"/>
      <c r="D6" s="294">
        <f>+Cov!G35</f>
        <v>7.2</v>
      </c>
      <c r="G6" s="295" t="s">
        <v>3</v>
      </c>
    </row>
    <row r="7" spans="1:7" ht="24.75" customHeight="1">
      <c r="A7" s="292">
        <v>3</v>
      </c>
      <c r="B7" s="293" t="s">
        <v>333</v>
      </c>
      <c r="C7" s="290"/>
      <c r="D7" s="296"/>
      <c r="G7" s="295" t="s">
        <v>3</v>
      </c>
    </row>
    <row r="8" spans="1:7" ht="30" customHeight="1">
      <c r="A8" s="292">
        <v>4</v>
      </c>
      <c r="B8" s="293" t="s">
        <v>334</v>
      </c>
      <c r="C8" s="290"/>
      <c r="D8" s="296"/>
    </row>
    <row r="9" spans="1:7" ht="28.5" customHeight="1">
      <c r="A9" s="292"/>
      <c r="B9" s="297" t="s">
        <v>335</v>
      </c>
      <c r="C9" s="298"/>
      <c r="D9" s="296" t="s">
        <v>336</v>
      </c>
    </row>
    <row r="10" spans="1:7" ht="32.25" customHeight="1">
      <c r="A10" s="292"/>
      <c r="B10" s="293" t="s">
        <v>337</v>
      </c>
      <c r="C10" s="298"/>
      <c r="D10" s="296" t="s">
        <v>336</v>
      </c>
    </row>
    <row r="11" spans="1:7" ht="35.25" customHeight="1">
      <c r="A11" s="292"/>
      <c r="B11" s="297" t="s">
        <v>338</v>
      </c>
      <c r="C11" s="298"/>
      <c r="D11" s="296"/>
      <c r="E11" s="295"/>
    </row>
    <row r="12" spans="1:7" ht="35.25" customHeight="1">
      <c r="A12" s="292">
        <v>5</v>
      </c>
      <c r="B12" s="293" t="s">
        <v>339</v>
      </c>
      <c r="C12" s="298"/>
      <c r="D12" s="296"/>
    </row>
    <row r="13" spans="1:7" ht="27.75" customHeight="1">
      <c r="A13" s="292"/>
      <c r="B13" s="293" t="s">
        <v>340</v>
      </c>
      <c r="C13" s="290"/>
      <c r="D13" s="296"/>
      <c r="F13" s="295" t="s">
        <v>3</v>
      </c>
    </row>
    <row r="14" spans="1:7" ht="24" customHeight="1">
      <c r="A14" s="292"/>
      <c r="B14" s="293" t="s">
        <v>341</v>
      </c>
      <c r="C14" s="290"/>
      <c r="D14" s="296"/>
      <c r="F14" s="295" t="s">
        <v>3</v>
      </c>
    </row>
    <row r="15" spans="1:7" ht="24" customHeight="1">
      <c r="A15" s="292"/>
      <c r="B15" s="293" t="s">
        <v>342</v>
      </c>
      <c r="C15" s="290"/>
      <c r="D15" s="296"/>
      <c r="F15" s="295" t="s">
        <v>3</v>
      </c>
    </row>
    <row r="16" spans="1:7" ht="36" customHeight="1">
      <c r="A16" s="292">
        <v>6</v>
      </c>
      <c r="B16" s="299" t="s">
        <v>343</v>
      </c>
      <c r="C16" s="298"/>
      <c r="D16" s="296"/>
    </row>
    <row r="17" spans="1:5" ht="48" customHeight="1">
      <c r="A17" s="292">
        <v>7</v>
      </c>
      <c r="B17" s="299" t="s">
        <v>344</v>
      </c>
      <c r="C17" s="298"/>
      <c r="D17" s="296" t="s">
        <v>61</v>
      </c>
      <c r="E17" s="295"/>
    </row>
    <row r="18" spans="1:5" ht="36.75" customHeight="1">
      <c r="A18" s="292">
        <v>8</v>
      </c>
      <c r="B18" s="293" t="s">
        <v>345</v>
      </c>
      <c r="C18" s="298"/>
      <c r="D18" s="296" t="s">
        <v>61</v>
      </c>
    </row>
    <row r="19" spans="1:5" ht="46.5" customHeight="1">
      <c r="A19" s="292">
        <v>9</v>
      </c>
      <c r="B19" s="293" t="s">
        <v>346</v>
      </c>
      <c r="C19" s="298"/>
      <c r="D19" s="296" t="s">
        <v>347</v>
      </c>
      <c r="E19" s="295"/>
    </row>
    <row r="20" spans="1:5" ht="33.75" customHeight="1">
      <c r="A20" s="292">
        <v>10</v>
      </c>
      <c r="B20" s="293" t="s">
        <v>348</v>
      </c>
      <c r="C20" s="290"/>
      <c r="D20" s="300"/>
    </row>
    <row r="21" spans="1:5" ht="33" customHeight="1">
      <c r="A21" s="292">
        <v>11</v>
      </c>
      <c r="B21" s="293" t="s">
        <v>349</v>
      </c>
      <c r="C21" s="290"/>
      <c r="D21" s="301"/>
    </row>
    <row r="24" spans="1:5" ht="27" customHeight="1"/>
    <row r="25" spans="1:5" ht="27" customHeight="1"/>
    <row r="26" spans="1:5" ht="27" customHeight="1"/>
    <row r="27" spans="1:5" ht="27" customHeight="1"/>
    <row r="28" spans="1:5" ht="27" customHeight="1"/>
    <row r="29" spans="1:5" ht="27" customHeight="1"/>
    <row r="30" spans="1:5" ht="27" customHeight="1"/>
    <row r="31" spans="1:5" ht="27" customHeight="1"/>
  </sheetData>
  <mergeCells count="2">
    <mergeCell ref="B1:D1"/>
    <mergeCell ref="B2:D2"/>
  </mergeCells>
  <pageMargins left="0.94488188976377996" right="0" top="0.196850393700787" bottom="0.15748031496063" header="0.118110236220472" footer="0.15748031496063"/>
  <pageSetup paperSize="9" scale="91" orientation="portrait" r:id="rId1"/>
  <headerFooter alignWithMargins="0"/>
</worksheet>
</file>

<file path=xl/worksheets/sheet3.xml><?xml version="1.0" encoding="utf-8"?>
<worksheet xmlns="http://schemas.openxmlformats.org/spreadsheetml/2006/main" xmlns:r="http://schemas.openxmlformats.org/officeDocument/2006/relationships">
  <dimension ref="A1:K39"/>
  <sheetViews>
    <sheetView view="pageBreakPreview" zoomScale="75" zoomScaleSheetLayoutView="75" workbookViewId="0">
      <selection activeCell="L24" sqref="L24"/>
    </sheetView>
  </sheetViews>
  <sheetFormatPr defaultRowHeight="17.25"/>
  <cols>
    <col min="1" max="1" width="13.42578125" style="19" customWidth="1"/>
    <col min="2" max="2" width="38.7109375" style="19" customWidth="1"/>
    <col min="3" max="3" width="13.85546875" style="19" customWidth="1"/>
    <col min="4" max="4" width="20.85546875" style="19" customWidth="1"/>
    <col min="5" max="256" width="8.85546875" style="19"/>
    <col min="257" max="257" width="13.42578125" style="19" customWidth="1"/>
    <col min="258" max="258" width="38.7109375" style="19" customWidth="1"/>
    <col min="259" max="259" width="17.140625" style="19" customWidth="1"/>
    <col min="260" max="260" width="26.7109375" style="19" customWidth="1"/>
    <col min="261" max="512" width="8.85546875" style="19"/>
    <col min="513" max="513" width="13.42578125" style="19" customWidth="1"/>
    <col min="514" max="514" width="38.7109375" style="19" customWidth="1"/>
    <col min="515" max="515" width="17.140625" style="19" customWidth="1"/>
    <col min="516" max="516" width="26.7109375" style="19" customWidth="1"/>
    <col min="517" max="768" width="8.85546875" style="19"/>
    <col min="769" max="769" width="13.42578125" style="19" customWidth="1"/>
    <col min="770" max="770" width="38.7109375" style="19" customWidth="1"/>
    <col min="771" max="771" width="17.140625" style="19" customWidth="1"/>
    <col min="772" max="772" width="26.7109375" style="19" customWidth="1"/>
    <col min="773" max="1024" width="8.85546875" style="19"/>
    <col min="1025" max="1025" width="13.42578125" style="19" customWidth="1"/>
    <col min="1026" max="1026" width="38.7109375" style="19" customWidth="1"/>
    <col min="1027" max="1027" width="17.140625" style="19" customWidth="1"/>
    <col min="1028" max="1028" width="26.7109375" style="19" customWidth="1"/>
    <col min="1029" max="1280" width="8.85546875" style="19"/>
    <col min="1281" max="1281" width="13.42578125" style="19" customWidth="1"/>
    <col min="1282" max="1282" width="38.7109375" style="19" customWidth="1"/>
    <col min="1283" max="1283" width="17.140625" style="19" customWidth="1"/>
    <col min="1284" max="1284" width="26.7109375" style="19" customWidth="1"/>
    <col min="1285" max="1536" width="8.85546875" style="19"/>
    <col min="1537" max="1537" width="13.42578125" style="19" customWidth="1"/>
    <col min="1538" max="1538" width="38.7109375" style="19" customWidth="1"/>
    <col min="1539" max="1539" width="17.140625" style="19" customWidth="1"/>
    <col min="1540" max="1540" width="26.7109375" style="19" customWidth="1"/>
    <col min="1541" max="1792" width="8.85546875" style="19"/>
    <col min="1793" max="1793" width="13.42578125" style="19" customWidth="1"/>
    <col min="1794" max="1794" width="38.7109375" style="19" customWidth="1"/>
    <col min="1795" max="1795" width="17.140625" style="19" customWidth="1"/>
    <col min="1796" max="1796" width="26.7109375" style="19" customWidth="1"/>
    <col min="1797" max="2048" width="8.85546875" style="19"/>
    <col min="2049" max="2049" width="13.42578125" style="19" customWidth="1"/>
    <col min="2050" max="2050" width="38.7109375" style="19" customWidth="1"/>
    <col min="2051" max="2051" width="17.140625" style="19" customWidth="1"/>
    <col min="2052" max="2052" width="26.7109375" style="19" customWidth="1"/>
    <col min="2053" max="2304" width="8.85546875" style="19"/>
    <col min="2305" max="2305" width="13.42578125" style="19" customWidth="1"/>
    <col min="2306" max="2306" width="38.7109375" style="19" customWidth="1"/>
    <col min="2307" max="2307" width="17.140625" style="19" customWidth="1"/>
    <col min="2308" max="2308" width="26.7109375" style="19" customWidth="1"/>
    <col min="2309" max="2560" width="8.85546875" style="19"/>
    <col min="2561" max="2561" width="13.42578125" style="19" customWidth="1"/>
    <col min="2562" max="2562" width="38.7109375" style="19" customWidth="1"/>
    <col min="2563" max="2563" width="17.140625" style="19" customWidth="1"/>
    <col min="2564" max="2564" width="26.7109375" style="19" customWidth="1"/>
    <col min="2565" max="2816" width="8.85546875" style="19"/>
    <col min="2817" max="2817" width="13.42578125" style="19" customWidth="1"/>
    <col min="2818" max="2818" width="38.7109375" style="19" customWidth="1"/>
    <col min="2819" max="2819" width="17.140625" style="19" customWidth="1"/>
    <col min="2820" max="2820" width="26.7109375" style="19" customWidth="1"/>
    <col min="2821" max="3072" width="8.85546875" style="19"/>
    <col min="3073" max="3073" width="13.42578125" style="19" customWidth="1"/>
    <col min="3074" max="3074" width="38.7109375" style="19" customWidth="1"/>
    <col min="3075" max="3075" width="17.140625" style="19" customWidth="1"/>
    <col min="3076" max="3076" width="26.7109375" style="19" customWidth="1"/>
    <col min="3077" max="3328" width="8.85546875" style="19"/>
    <col min="3329" max="3329" width="13.42578125" style="19" customWidth="1"/>
    <col min="3330" max="3330" width="38.7109375" style="19" customWidth="1"/>
    <col min="3331" max="3331" width="17.140625" style="19" customWidth="1"/>
    <col min="3332" max="3332" width="26.7109375" style="19" customWidth="1"/>
    <col min="3333" max="3584" width="8.85546875" style="19"/>
    <col min="3585" max="3585" width="13.42578125" style="19" customWidth="1"/>
    <col min="3586" max="3586" width="38.7109375" style="19" customWidth="1"/>
    <col min="3587" max="3587" width="17.140625" style="19" customWidth="1"/>
    <col min="3588" max="3588" width="26.7109375" style="19" customWidth="1"/>
    <col min="3589" max="3840" width="8.85546875" style="19"/>
    <col min="3841" max="3841" width="13.42578125" style="19" customWidth="1"/>
    <col min="3842" max="3842" width="38.7109375" style="19" customWidth="1"/>
    <col min="3843" max="3843" width="17.140625" style="19" customWidth="1"/>
    <col min="3844" max="3844" width="26.7109375" style="19" customWidth="1"/>
    <col min="3845" max="4096" width="8.85546875" style="19"/>
    <col min="4097" max="4097" width="13.42578125" style="19" customWidth="1"/>
    <col min="4098" max="4098" width="38.7109375" style="19" customWidth="1"/>
    <col min="4099" max="4099" width="17.140625" style="19" customWidth="1"/>
    <col min="4100" max="4100" width="26.7109375" style="19" customWidth="1"/>
    <col min="4101" max="4352" width="8.85546875" style="19"/>
    <col min="4353" max="4353" width="13.42578125" style="19" customWidth="1"/>
    <col min="4354" max="4354" width="38.7109375" style="19" customWidth="1"/>
    <col min="4355" max="4355" width="17.140625" style="19" customWidth="1"/>
    <col min="4356" max="4356" width="26.7109375" style="19" customWidth="1"/>
    <col min="4357" max="4608" width="8.85546875" style="19"/>
    <col min="4609" max="4609" width="13.42578125" style="19" customWidth="1"/>
    <col min="4610" max="4610" width="38.7109375" style="19" customWidth="1"/>
    <col min="4611" max="4611" width="17.140625" style="19" customWidth="1"/>
    <col min="4612" max="4612" width="26.7109375" style="19" customWidth="1"/>
    <col min="4613" max="4864" width="8.85546875" style="19"/>
    <col min="4865" max="4865" width="13.42578125" style="19" customWidth="1"/>
    <col min="4866" max="4866" width="38.7109375" style="19" customWidth="1"/>
    <col min="4867" max="4867" width="17.140625" style="19" customWidth="1"/>
    <col min="4868" max="4868" width="26.7109375" style="19" customWidth="1"/>
    <col min="4869" max="5120" width="8.85546875" style="19"/>
    <col min="5121" max="5121" width="13.42578125" style="19" customWidth="1"/>
    <col min="5122" max="5122" width="38.7109375" style="19" customWidth="1"/>
    <col min="5123" max="5123" width="17.140625" style="19" customWidth="1"/>
    <col min="5124" max="5124" width="26.7109375" style="19" customWidth="1"/>
    <col min="5125" max="5376" width="8.85546875" style="19"/>
    <col min="5377" max="5377" width="13.42578125" style="19" customWidth="1"/>
    <col min="5378" max="5378" width="38.7109375" style="19" customWidth="1"/>
    <col min="5379" max="5379" width="17.140625" style="19" customWidth="1"/>
    <col min="5380" max="5380" width="26.7109375" style="19" customWidth="1"/>
    <col min="5381" max="5632" width="8.85546875" style="19"/>
    <col min="5633" max="5633" width="13.42578125" style="19" customWidth="1"/>
    <col min="5634" max="5634" width="38.7109375" style="19" customWidth="1"/>
    <col min="5635" max="5635" width="17.140625" style="19" customWidth="1"/>
    <col min="5636" max="5636" width="26.7109375" style="19" customWidth="1"/>
    <col min="5637" max="5888" width="8.85546875" style="19"/>
    <col min="5889" max="5889" width="13.42578125" style="19" customWidth="1"/>
    <col min="5890" max="5890" width="38.7109375" style="19" customWidth="1"/>
    <col min="5891" max="5891" width="17.140625" style="19" customWidth="1"/>
    <col min="5892" max="5892" width="26.7109375" style="19" customWidth="1"/>
    <col min="5893" max="6144" width="8.85546875" style="19"/>
    <col min="6145" max="6145" width="13.42578125" style="19" customWidth="1"/>
    <col min="6146" max="6146" width="38.7109375" style="19" customWidth="1"/>
    <col min="6147" max="6147" width="17.140625" style="19" customWidth="1"/>
    <col min="6148" max="6148" width="26.7109375" style="19" customWidth="1"/>
    <col min="6149" max="6400" width="8.85546875" style="19"/>
    <col min="6401" max="6401" width="13.42578125" style="19" customWidth="1"/>
    <col min="6402" max="6402" width="38.7109375" style="19" customWidth="1"/>
    <col min="6403" max="6403" width="17.140625" style="19" customWidth="1"/>
    <col min="6404" max="6404" width="26.7109375" style="19" customWidth="1"/>
    <col min="6405" max="6656" width="8.85546875" style="19"/>
    <col min="6657" max="6657" width="13.42578125" style="19" customWidth="1"/>
    <col min="6658" max="6658" width="38.7109375" style="19" customWidth="1"/>
    <col min="6659" max="6659" width="17.140625" style="19" customWidth="1"/>
    <col min="6660" max="6660" width="26.7109375" style="19" customWidth="1"/>
    <col min="6661" max="6912" width="8.85546875" style="19"/>
    <col min="6913" max="6913" width="13.42578125" style="19" customWidth="1"/>
    <col min="6914" max="6914" width="38.7109375" style="19" customWidth="1"/>
    <col min="6915" max="6915" width="17.140625" style="19" customWidth="1"/>
    <col min="6916" max="6916" width="26.7109375" style="19" customWidth="1"/>
    <col min="6917" max="7168" width="8.85546875" style="19"/>
    <col min="7169" max="7169" width="13.42578125" style="19" customWidth="1"/>
    <col min="7170" max="7170" width="38.7109375" style="19" customWidth="1"/>
    <col min="7171" max="7171" width="17.140625" style="19" customWidth="1"/>
    <col min="7172" max="7172" width="26.7109375" style="19" customWidth="1"/>
    <col min="7173" max="7424" width="8.85546875" style="19"/>
    <col min="7425" max="7425" width="13.42578125" style="19" customWidth="1"/>
    <col min="7426" max="7426" width="38.7109375" style="19" customWidth="1"/>
    <col min="7427" max="7427" width="17.140625" style="19" customWidth="1"/>
    <col min="7428" max="7428" width="26.7109375" style="19" customWidth="1"/>
    <col min="7429" max="7680" width="8.85546875" style="19"/>
    <col min="7681" max="7681" width="13.42578125" style="19" customWidth="1"/>
    <col min="7682" max="7682" width="38.7109375" style="19" customWidth="1"/>
    <col min="7683" max="7683" width="17.140625" style="19" customWidth="1"/>
    <col min="7684" max="7684" width="26.7109375" style="19" customWidth="1"/>
    <col min="7685" max="7936" width="8.85546875" style="19"/>
    <col min="7937" max="7937" width="13.42578125" style="19" customWidth="1"/>
    <col min="7938" max="7938" width="38.7109375" style="19" customWidth="1"/>
    <col min="7939" max="7939" width="17.140625" style="19" customWidth="1"/>
    <col min="7940" max="7940" width="26.7109375" style="19" customWidth="1"/>
    <col min="7941" max="8192" width="8.85546875" style="19"/>
    <col min="8193" max="8193" width="13.42578125" style="19" customWidth="1"/>
    <col min="8194" max="8194" width="38.7109375" style="19" customWidth="1"/>
    <col min="8195" max="8195" width="17.140625" style="19" customWidth="1"/>
    <col min="8196" max="8196" width="26.7109375" style="19" customWidth="1"/>
    <col min="8197" max="8448" width="8.85546875" style="19"/>
    <col min="8449" max="8449" width="13.42578125" style="19" customWidth="1"/>
    <col min="8450" max="8450" width="38.7109375" style="19" customWidth="1"/>
    <col min="8451" max="8451" width="17.140625" style="19" customWidth="1"/>
    <col min="8452" max="8452" width="26.7109375" style="19" customWidth="1"/>
    <col min="8453" max="8704" width="8.85546875" style="19"/>
    <col min="8705" max="8705" width="13.42578125" style="19" customWidth="1"/>
    <col min="8706" max="8706" width="38.7109375" style="19" customWidth="1"/>
    <col min="8707" max="8707" width="17.140625" style="19" customWidth="1"/>
    <col min="8708" max="8708" width="26.7109375" style="19" customWidth="1"/>
    <col min="8709" max="8960" width="8.85546875" style="19"/>
    <col min="8961" max="8961" width="13.42578125" style="19" customWidth="1"/>
    <col min="8962" max="8962" width="38.7109375" style="19" customWidth="1"/>
    <col min="8963" max="8963" width="17.140625" style="19" customWidth="1"/>
    <col min="8964" max="8964" width="26.7109375" style="19" customWidth="1"/>
    <col min="8965" max="9216" width="8.85546875" style="19"/>
    <col min="9217" max="9217" width="13.42578125" style="19" customWidth="1"/>
    <col min="9218" max="9218" width="38.7109375" style="19" customWidth="1"/>
    <col min="9219" max="9219" width="17.140625" style="19" customWidth="1"/>
    <col min="9220" max="9220" width="26.7109375" style="19" customWidth="1"/>
    <col min="9221" max="9472" width="8.85546875" style="19"/>
    <col min="9473" max="9473" width="13.42578125" style="19" customWidth="1"/>
    <col min="9474" max="9474" width="38.7109375" style="19" customWidth="1"/>
    <col min="9475" max="9475" width="17.140625" style="19" customWidth="1"/>
    <col min="9476" max="9476" width="26.7109375" style="19" customWidth="1"/>
    <col min="9477" max="9728" width="8.85546875" style="19"/>
    <col min="9729" max="9729" width="13.42578125" style="19" customWidth="1"/>
    <col min="9730" max="9730" width="38.7109375" style="19" customWidth="1"/>
    <col min="9731" max="9731" width="17.140625" style="19" customWidth="1"/>
    <col min="9732" max="9732" width="26.7109375" style="19" customWidth="1"/>
    <col min="9733" max="9984" width="8.85546875" style="19"/>
    <col min="9985" max="9985" width="13.42578125" style="19" customWidth="1"/>
    <col min="9986" max="9986" width="38.7109375" style="19" customWidth="1"/>
    <col min="9987" max="9987" width="17.140625" style="19" customWidth="1"/>
    <col min="9988" max="9988" width="26.7109375" style="19" customWidth="1"/>
    <col min="9989" max="10240" width="8.85546875" style="19"/>
    <col min="10241" max="10241" width="13.42578125" style="19" customWidth="1"/>
    <col min="10242" max="10242" width="38.7109375" style="19" customWidth="1"/>
    <col min="10243" max="10243" width="17.140625" style="19" customWidth="1"/>
    <col min="10244" max="10244" width="26.7109375" style="19" customWidth="1"/>
    <col min="10245" max="10496" width="8.85546875" style="19"/>
    <col min="10497" max="10497" width="13.42578125" style="19" customWidth="1"/>
    <col min="10498" max="10498" width="38.7109375" style="19" customWidth="1"/>
    <col min="10499" max="10499" width="17.140625" style="19" customWidth="1"/>
    <col min="10500" max="10500" width="26.7109375" style="19" customWidth="1"/>
    <col min="10501" max="10752" width="8.85546875" style="19"/>
    <col min="10753" max="10753" width="13.42578125" style="19" customWidth="1"/>
    <col min="10754" max="10754" width="38.7109375" style="19" customWidth="1"/>
    <col min="10755" max="10755" width="17.140625" style="19" customWidth="1"/>
    <col min="10756" max="10756" width="26.7109375" style="19" customWidth="1"/>
    <col min="10757" max="11008" width="8.85546875" style="19"/>
    <col min="11009" max="11009" width="13.42578125" style="19" customWidth="1"/>
    <col min="11010" max="11010" width="38.7109375" style="19" customWidth="1"/>
    <col min="11011" max="11011" width="17.140625" style="19" customWidth="1"/>
    <col min="11012" max="11012" width="26.7109375" style="19" customWidth="1"/>
    <col min="11013" max="11264" width="8.85546875" style="19"/>
    <col min="11265" max="11265" width="13.42578125" style="19" customWidth="1"/>
    <col min="11266" max="11266" width="38.7109375" style="19" customWidth="1"/>
    <col min="11267" max="11267" width="17.140625" style="19" customWidth="1"/>
    <col min="11268" max="11268" width="26.7109375" style="19" customWidth="1"/>
    <col min="11269" max="11520" width="8.85546875" style="19"/>
    <col min="11521" max="11521" width="13.42578125" style="19" customWidth="1"/>
    <col min="11522" max="11522" width="38.7109375" style="19" customWidth="1"/>
    <col min="11523" max="11523" width="17.140625" style="19" customWidth="1"/>
    <col min="11524" max="11524" width="26.7109375" style="19" customWidth="1"/>
    <col min="11525" max="11776" width="8.85546875" style="19"/>
    <col min="11777" max="11777" width="13.42578125" style="19" customWidth="1"/>
    <col min="11778" max="11778" width="38.7109375" style="19" customWidth="1"/>
    <col min="11779" max="11779" width="17.140625" style="19" customWidth="1"/>
    <col min="11780" max="11780" width="26.7109375" style="19" customWidth="1"/>
    <col min="11781" max="12032" width="8.85546875" style="19"/>
    <col min="12033" max="12033" width="13.42578125" style="19" customWidth="1"/>
    <col min="12034" max="12034" width="38.7109375" style="19" customWidth="1"/>
    <col min="12035" max="12035" width="17.140625" style="19" customWidth="1"/>
    <col min="12036" max="12036" width="26.7109375" style="19" customWidth="1"/>
    <col min="12037" max="12288" width="8.85546875" style="19"/>
    <col min="12289" max="12289" width="13.42578125" style="19" customWidth="1"/>
    <col min="12290" max="12290" width="38.7109375" style="19" customWidth="1"/>
    <col min="12291" max="12291" width="17.140625" style="19" customWidth="1"/>
    <col min="12292" max="12292" width="26.7109375" style="19" customWidth="1"/>
    <col min="12293" max="12544" width="8.85546875" style="19"/>
    <col min="12545" max="12545" width="13.42578125" style="19" customWidth="1"/>
    <col min="12546" max="12546" width="38.7109375" style="19" customWidth="1"/>
    <col min="12547" max="12547" width="17.140625" style="19" customWidth="1"/>
    <col min="12548" max="12548" width="26.7109375" style="19" customWidth="1"/>
    <col min="12549" max="12800" width="8.85546875" style="19"/>
    <col min="12801" max="12801" width="13.42578125" style="19" customWidth="1"/>
    <col min="12802" max="12802" width="38.7109375" style="19" customWidth="1"/>
    <col min="12803" max="12803" width="17.140625" style="19" customWidth="1"/>
    <col min="12804" max="12804" width="26.7109375" style="19" customWidth="1"/>
    <col min="12805" max="13056" width="8.85546875" style="19"/>
    <col min="13057" max="13057" width="13.42578125" style="19" customWidth="1"/>
    <col min="13058" max="13058" width="38.7109375" style="19" customWidth="1"/>
    <col min="13059" max="13059" width="17.140625" style="19" customWidth="1"/>
    <col min="13060" max="13060" width="26.7109375" style="19" customWidth="1"/>
    <col min="13061" max="13312" width="8.85546875" style="19"/>
    <col min="13313" max="13313" width="13.42578125" style="19" customWidth="1"/>
    <col min="13314" max="13314" width="38.7109375" style="19" customWidth="1"/>
    <col min="13315" max="13315" width="17.140625" style="19" customWidth="1"/>
    <col min="13316" max="13316" width="26.7109375" style="19" customWidth="1"/>
    <col min="13317" max="13568" width="8.85546875" style="19"/>
    <col min="13569" max="13569" width="13.42578125" style="19" customWidth="1"/>
    <col min="13570" max="13570" width="38.7109375" style="19" customWidth="1"/>
    <col min="13571" max="13571" width="17.140625" style="19" customWidth="1"/>
    <col min="13572" max="13572" width="26.7109375" style="19" customWidth="1"/>
    <col min="13573" max="13824" width="8.85546875" style="19"/>
    <col min="13825" max="13825" width="13.42578125" style="19" customWidth="1"/>
    <col min="13826" max="13826" width="38.7109375" style="19" customWidth="1"/>
    <col min="13827" max="13827" width="17.140625" style="19" customWidth="1"/>
    <col min="13828" max="13828" width="26.7109375" style="19" customWidth="1"/>
    <col min="13829" max="14080" width="8.85546875" style="19"/>
    <col min="14081" max="14081" width="13.42578125" style="19" customWidth="1"/>
    <col min="14082" max="14082" width="38.7109375" style="19" customWidth="1"/>
    <col min="14083" max="14083" width="17.140625" style="19" customWidth="1"/>
    <col min="14084" max="14084" width="26.7109375" style="19" customWidth="1"/>
    <col min="14085" max="14336" width="8.85546875" style="19"/>
    <col min="14337" max="14337" width="13.42578125" style="19" customWidth="1"/>
    <col min="14338" max="14338" width="38.7109375" style="19" customWidth="1"/>
    <col min="14339" max="14339" width="17.140625" style="19" customWidth="1"/>
    <col min="14340" max="14340" width="26.7109375" style="19" customWidth="1"/>
    <col min="14341" max="14592" width="8.85546875" style="19"/>
    <col min="14593" max="14593" width="13.42578125" style="19" customWidth="1"/>
    <col min="14594" max="14594" width="38.7109375" style="19" customWidth="1"/>
    <col min="14595" max="14595" width="17.140625" style="19" customWidth="1"/>
    <col min="14596" max="14596" width="26.7109375" style="19" customWidth="1"/>
    <col min="14597" max="14848" width="8.85546875" style="19"/>
    <col min="14849" max="14849" width="13.42578125" style="19" customWidth="1"/>
    <col min="14850" max="14850" width="38.7109375" style="19" customWidth="1"/>
    <col min="14851" max="14851" width="17.140625" style="19" customWidth="1"/>
    <col min="14852" max="14852" width="26.7109375" style="19" customWidth="1"/>
    <col min="14853" max="15104" width="8.85546875" style="19"/>
    <col min="15105" max="15105" width="13.42578125" style="19" customWidth="1"/>
    <col min="15106" max="15106" width="38.7109375" style="19" customWidth="1"/>
    <col min="15107" max="15107" width="17.140625" style="19" customWidth="1"/>
    <col min="15108" max="15108" width="26.7109375" style="19" customWidth="1"/>
    <col min="15109" max="15360" width="8.85546875" style="19"/>
    <col min="15361" max="15361" width="13.42578125" style="19" customWidth="1"/>
    <col min="15362" max="15362" width="38.7109375" style="19" customWidth="1"/>
    <col min="15363" max="15363" width="17.140625" style="19" customWidth="1"/>
    <col min="15364" max="15364" width="26.7109375" style="19" customWidth="1"/>
    <col min="15365" max="15616" width="8.85546875" style="19"/>
    <col min="15617" max="15617" width="13.42578125" style="19" customWidth="1"/>
    <col min="15618" max="15618" width="38.7109375" style="19" customWidth="1"/>
    <col min="15619" max="15619" width="17.140625" style="19" customWidth="1"/>
    <col min="15620" max="15620" width="26.7109375" style="19" customWidth="1"/>
    <col min="15621" max="15872" width="8.85546875" style="19"/>
    <col min="15873" max="15873" width="13.42578125" style="19" customWidth="1"/>
    <col min="15874" max="15874" width="38.7109375" style="19" customWidth="1"/>
    <col min="15875" max="15875" width="17.140625" style="19" customWidth="1"/>
    <col min="15876" max="15876" width="26.7109375" style="19" customWidth="1"/>
    <col min="15877" max="16128" width="8.85546875" style="19"/>
    <col min="16129" max="16129" width="13.42578125" style="19" customWidth="1"/>
    <col min="16130" max="16130" width="38.7109375" style="19" customWidth="1"/>
    <col min="16131" max="16131" width="17.140625" style="19" customWidth="1"/>
    <col min="16132" max="16132" width="26.7109375" style="19" customWidth="1"/>
    <col min="16133" max="16384" width="8.85546875" style="19"/>
  </cols>
  <sheetData>
    <row r="1" spans="1:11" ht="33.6" customHeight="1">
      <c r="A1" s="375" t="s">
        <v>638</v>
      </c>
      <c r="B1" s="375"/>
      <c r="C1" s="375"/>
      <c r="D1" s="375"/>
      <c r="E1" s="33"/>
      <c r="F1" s="33" t="s">
        <v>367</v>
      </c>
      <c r="G1" s="33"/>
      <c r="H1" s="33"/>
      <c r="I1" s="33"/>
      <c r="J1" s="33"/>
      <c r="K1" s="33"/>
    </row>
    <row r="2" spans="1:11">
      <c r="B2" s="376" t="s">
        <v>56</v>
      </c>
      <c r="C2" s="376"/>
      <c r="D2" s="302">
        <f>+'Gen abs'!G19</f>
        <v>720000</v>
      </c>
    </row>
    <row r="3" spans="1:11" ht="21" customHeight="1"/>
    <row r="4" spans="1:11" ht="21" customHeight="1"/>
    <row r="5" spans="1:11" ht="22.5" customHeight="1">
      <c r="A5" s="19" t="s">
        <v>351</v>
      </c>
    </row>
    <row r="6" spans="1:11">
      <c r="A6" s="20">
        <v>1</v>
      </c>
      <c r="B6" s="19" t="s">
        <v>38</v>
      </c>
    </row>
    <row r="7" spans="1:11" hidden="1">
      <c r="A7" s="20">
        <v>2</v>
      </c>
      <c r="B7" s="19" t="s">
        <v>352</v>
      </c>
    </row>
    <row r="8" spans="1:11" hidden="1">
      <c r="A8" s="20">
        <v>3</v>
      </c>
      <c r="B8" s="19" t="s">
        <v>353</v>
      </c>
    </row>
    <row r="9" spans="1:11">
      <c r="A9" s="20">
        <v>2</v>
      </c>
      <c r="B9" s="19" t="s">
        <v>354</v>
      </c>
    </row>
    <row r="10" spans="1:11">
      <c r="A10" s="20">
        <v>3</v>
      </c>
      <c r="B10" s="19" t="s">
        <v>49</v>
      </c>
    </row>
    <row r="11" spans="1:11">
      <c r="A11" s="20">
        <v>4</v>
      </c>
      <c r="B11" s="19" t="s">
        <v>39</v>
      </c>
    </row>
    <row r="12" spans="1:11">
      <c r="A12" s="20">
        <v>5</v>
      </c>
      <c r="B12" s="19" t="s">
        <v>355</v>
      </c>
    </row>
    <row r="13" spans="1:11" hidden="1">
      <c r="A13" s="20">
        <v>8</v>
      </c>
      <c r="B13" s="21" t="s">
        <v>40</v>
      </c>
    </row>
    <row r="14" spans="1:11" hidden="1">
      <c r="A14" s="20">
        <v>9</v>
      </c>
      <c r="B14" s="21" t="s">
        <v>41</v>
      </c>
    </row>
    <row r="15" spans="1:11" hidden="1">
      <c r="A15" s="20">
        <v>10</v>
      </c>
      <c r="B15" s="303" t="s">
        <v>42</v>
      </c>
    </row>
    <row r="16" spans="1:11" hidden="1">
      <c r="A16" s="20">
        <v>11</v>
      </c>
      <c r="B16" s="303" t="s">
        <v>356</v>
      </c>
    </row>
    <row r="17" spans="1:4">
      <c r="A17" s="20">
        <v>6</v>
      </c>
      <c r="B17" s="303" t="s">
        <v>357</v>
      </c>
    </row>
    <row r="18" spans="1:4">
      <c r="A18" s="20">
        <v>7</v>
      </c>
      <c r="B18" s="303" t="s">
        <v>358</v>
      </c>
    </row>
    <row r="19" spans="1:4" hidden="1">
      <c r="A19" s="20">
        <v>8</v>
      </c>
      <c r="B19" s="303" t="s">
        <v>359</v>
      </c>
    </row>
    <row r="20" spans="1:4" hidden="1">
      <c r="A20" s="20">
        <v>7</v>
      </c>
      <c r="B20" s="303" t="s">
        <v>360</v>
      </c>
    </row>
    <row r="21" spans="1:4">
      <c r="A21" s="20">
        <v>8</v>
      </c>
      <c r="B21" s="303" t="s">
        <v>361</v>
      </c>
    </row>
    <row r="22" spans="1:4">
      <c r="A22" s="20">
        <v>9</v>
      </c>
      <c r="B22" s="303" t="s">
        <v>369</v>
      </c>
    </row>
    <row r="23" spans="1:4">
      <c r="A23" s="20">
        <v>10</v>
      </c>
      <c r="B23" s="21" t="s">
        <v>368</v>
      </c>
    </row>
    <row r="24" spans="1:4">
      <c r="A24" s="20">
        <v>11</v>
      </c>
      <c r="B24" s="21" t="s">
        <v>362</v>
      </c>
    </row>
    <row r="25" spans="1:4">
      <c r="A25" s="20">
        <v>12</v>
      </c>
      <c r="B25" s="21" t="s">
        <v>363</v>
      </c>
    </row>
    <row r="26" spans="1:4" hidden="1">
      <c r="A26" s="20">
        <v>12</v>
      </c>
      <c r="B26" s="21" t="s">
        <v>35</v>
      </c>
    </row>
    <row r="27" spans="1:4">
      <c r="A27" s="20">
        <v>13</v>
      </c>
      <c r="B27" s="21" t="s">
        <v>31</v>
      </c>
    </row>
    <row r="28" spans="1:4" hidden="1">
      <c r="A28" s="20">
        <v>14</v>
      </c>
      <c r="B28" s="21" t="s">
        <v>364</v>
      </c>
    </row>
    <row r="29" spans="1:4" hidden="1">
      <c r="A29" s="20">
        <v>15</v>
      </c>
      <c r="B29" s="21" t="s">
        <v>365</v>
      </c>
    </row>
    <row r="30" spans="1:4" ht="21" customHeight="1">
      <c r="A30" s="20"/>
      <c r="B30" s="303"/>
    </row>
    <row r="31" spans="1:4" ht="65.25" hidden="1" customHeight="1">
      <c r="A31" s="374" t="s">
        <v>366</v>
      </c>
      <c r="B31" s="374"/>
      <c r="C31" s="374"/>
      <c r="D31" s="374"/>
    </row>
    <row r="32" spans="1:4" ht="42" customHeight="1">
      <c r="A32" s="374" t="s">
        <v>370</v>
      </c>
      <c r="B32" s="374"/>
      <c r="C32" s="374"/>
      <c r="D32" s="374"/>
    </row>
    <row r="33" spans="1:6" ht="13.15" customHeight="1">
      <c r="A33" s="304"/>
      <c r="B33" s="304"/>
      <c r="C33" s="304"/>
      <c r="D33" s="304"/>
    </row>
    <row r="34" spans="1:6">
      <c r="A34" s="377" t="s">
        <v>639</v>
      </c>
      <c r="B34" s="377"/>
      <c r="C34" s="377"/>
      <c r="D34" s="377"/>
    </row>
    <row r="35" spans="1:6" ht="33" customHeight="1">
      <c r="A35" s="377"/>
      <c r="B35" s="377"/>
      <c r="C35" s="377"/>
      <c r="D35" s="377"/>
    </row>
    <row r="36" spans="1:6" ht="24.75" customHeight="1">
      <c r="A36" s="374"/>
      <c r="B36" s="374"/>
      <c r="C36" s="374"/>
      <c r="D36" s="374"/>
    </row>
    <row r="37" spans="1:6" s="44" customFormat="1" ht="15">
      <c r="A37" s="316"/>
      <c r="B37" s="317"/>
      <c r="C37" s="318"/>
      <c r="D37" s="317"/>
      <c r="F37" s="317"/>
    </row>
    <row r="38" spans="1:6">
      <c r="B38" s="319"/>
      <c r="C38" s="320"/>
    </row>
    <row r="39" spans="1:6">
      <c r="A39" s="321"/>
      <c r="C39" s="319"/>
      <c r="D39" s="320"/>
    </row>
  </sheetData>
  <mergeCells count="6">
    <mergeCell ref="A36:D36"/>
    <mergeCell ref="A1:D1"/>
    <mergeCell ref="B2:C2"/>
    <mergeCell ref="A31:D31"/>
    <mergeCell ref="A32:D32"/>
    <mergeCell ref="A34:D35"/>
  </mergeCells>
  <pageMargins left="1.54" right="0.35" top="0.75" bottom="0.75" header="0.31" footer="0.3"/>
  <pageSetup paperSize="9" scale="90"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sheetPr>
    <tabColor rgb="FF00B050"/>
  </sheetPr>
  <dimension ref="A1:K22"/>
  <sheetViews>
    <sheetView view="pageBreakPreview" zoomScale="75" zoomScaleSheetLayoutView="75" workbookViewId="0">
      <selection activeCell="R6" sqref="R6"/>
    </sheetView>
  </sheetViews>
  <sheetFormatPr defaultColWidth="9.140625" defaultRowHeight="12.75"/>
  <cols>
    <col min="1" max="1" width="6" customWidth="1"/>
    <col min="2" max="2" width="5.5703125" customWidth="1"/>
    <col min="3" max="3" width="46.42578125" customWidth="1"/>
    <col min="4" max="4" width="6" customWidth="1"/>
    <col min="5" max="5" width="8.85546875" style="11" customWidth="1"/>
    <col min="6" max="6" width="9.7109375" style="4" customWidth="1"/>
    <col min="7" max="7" width="9.7109375" style="2" customWidth="1"/>
    <col min="8" max="8" width="9.42578125" bestFit="1" customWidth="1"/>
    <col min="9" max="9" width="9.140625" customWidth="1"/>
    <col min="10" max="10" width="9.28515625" customWidth="1"/>
  </cols>
  <sheetData>
    <row r="1" spans="1:11">
      <c r="A1" s="379" t="s">
        <v>33</v>
      </c>
      <c r="B1" s="379"/>
      <c r="C1" s="379"/>
      <c r="D1" s="379"/>
      <c r="E1" s="379"/>
      <c r="F1" s="379"/>
      <c r="G1" s="379"/>
    </row>
    <row r="2" spans="1:11" ht="47.45" customHeight="1">
      <c r="A2" s="385" t="s">
        <v>37</v>
      </c>
      <c r="B2" s="385"/>
      <c r="C2" s="386" t="str">
        <f>+Cov!B25</f>
        <v>Construction of Slab culvert with Clear Span of 3.0 m</v>
      </c>
      <c r="D2" s="386"/>
      <c r="E2" s="386"/>
      <c r="F2" s="386"/>
      <c r="G2" s="386"/>
      <c r="H2" s="10"/>
      <c r="I2" s="378"/>
      <c r="J2" s="378"/>
    </row>
    <row r="3" spans="1:11" s="23" customFormat="1" ht="12.75" customHeight="1">
      <c r="A3" s="383" t="s">
        <v>14</v>
      </c>
      <c r="B3" s="383" t="s">
        <v>32</v>
      </c>
      <c r="C3" s="383" t="s">
        <v>8</v>
      </c>
      <c r="D3" s="383" t="s">
        <v>5</v>
      </c>
      <c r="E3" s="382" t="s">
        <v>166</v>
      </c>
      <c r="F3" s="382" t="s">
        <v>6</v>
      </c>
      <c r="G3" s="380" t="s">
        <v>7</v>
      </c>
    </row>
    <row r="4" spans="1:11" s="23" customFormat="1">
      <c r="A4" s="384"/>
      <c r="B4" s="384"/>
      <c r="C4" s="384"/>
      <c r="D4" s="384"/>
      <c r="E4" s="382"/>
      <c r="F4" s="382"/>
      <c r="G4" s="381"/>
    </row>
    <row r="5" spans="1:11" ht="198.6" customHeight="1">
      <c r="A5" s="8">
        <v>1</v>
      </c>
      <c r="B5" s="29" t="s">
        <v>50</v>
      </c>
      <c r="C5" s="28" t="s">
        <v>58</v>
      </c>
      <c r="D5" s="27" t="s">
        <v>402</v>
      </c>
      <c r="E5" s="16">
        <f>+'SC Detailed'!J12</f>
        <v>120.19999999999999</v>
      </c>
      <c r="F5" s="16">
        <f>+'DATA FULL'!G42</f>
        <v>123.5</v>
      </c>
      <c r="G5" s="9">
        <f t="shared" ref="G5:G11" si="0">ROUND(E5*F5,0)</f>
        <v>14845</v>
      </c>
      <c r="I5" s="15"/>
      <c r="K5" s="20"/>
    </row>
    <row r="6" spans="1:11" ht="125.45" customHeight="1">
      <c r="A6" s="8">
        <v>2</v>
      </c>
      <c r="B6" s="30" t="s">
        <v>52</v>
      </c>
      <c r="C6" s="28" t="s">
        <v>53</v>
      </c>
      <c r="D6" s="27" t="s">
        <v>402</v>
      </c>
      <c r="E6" s="16">
        <f>+'SC Detailed'!J19</f>
        <v>12.9</v>
      </c>
      <c r="F6" s="16">
        <f>+'DATA FULL'!G90</f>
        <v>1426.2</v>
      </c>
      <c r="G6" s="9">
        <f t="shared" si="0"/>
        <v>18398</v>
      </c>
      <c r="I6" s="15"/>
    </row>
    <row r="7" spans="1:11" ht="193.15" customHeight="1">
      <c r="A7" s="8">
        <v>3</v>
      </c>
      <c r="B7" s="25" t="s">
        <v>45</v>
      </c>
      <c r="C7" s="28" t="s">
        <v>51</v>
      </c>
      <c r="D7" s="27" t="s">
        <v>402</v>
      </c>
      <c r="E7" s="16">
        <f>+'SC Detailed'!J46</f>
        <v>19.200000000000003</v>
      </c>
      <c r="F7" s="16">
        <f>+'DATA FULL'!G246</f>
        <v>6675.7</v>
      </c>
      <c r="G7" s="9">
        <f t="shared" si="0"/>
        <v>128173</v>
      </c>
      <c r="I7" s="15"/>
    </row>
    <row r="8" spans="1:11" ht="189.6" customHeight="1">
      <c r="A8" s="8">
        <v>4</v>
      </c>
      <c r="B8" s="29" t="s">
        <v>46</v>
      </c>
      <c r="C8" s="28" t="s">
        <v>627</v>
      </c>
      <c r="D8" s="27" t="s">
        <v>402</v>
      </c>
      <c r="E8" s="16">
        <f>+'SC Detailed'!J55</f>
        <v>19.200000000000003</v>
      </c>
      <c r="F8" s="16">
        <f>+'DATA FULL'!G332</f>
        <v>7375.1</v>
      </c>
      <c r="G8" s="9">
        <f t="shared" si="0"/>
        <v>141602</v>
      </c>
      <c r="I8" s="15"/>
    </row>
    <row r="9" spans="1:11" ht="108" customHeight="1">
      <c r="A9" s="8">
        <v>5</v>
      </c>
      <c r="B9" s="25" t="s">
        <v>44</v>
      </c>
      <c r="C9" s="28" t="s">
        <v>23</v>
      </c>
      <c r="D9" s="27" t="s">
        <v>403</v>
      </c>
      <c r="E9" s="16">
        <f>+'SC Detailed'!J57</f>
        <v>670</v>
      </c>
      <c r="F9" s="16">
        <f>+'DATA FULL'!G377</f>
        <v>86.8</v>
      </c>
      <c r="G9" s="9">
        <f t="shared" si="0"/>
        <v>58156</v>
      </c>
      <c r="I9" s="15"/>
    </row>
    <row r="10" spans="1:11" ht="171" customHeight="1">
      <c r="A10" s="8">
        <v>6</v>
      </c>
      <c r="B10" s="25" t="s">
        <v>148</v>
      </c>
      <c r="C10" s="28" t="s">
        <v>78</v>
      </c>
      <c r="D10" s="27" t="s">
        <v>402</v>
      </c>
      <c r="E10" s="26">
        <f>+'SC Detailed'!J66</f>
        <v>12.4</v>
      </c>
      <c r="F10" s="16">
        <f>+'DATA FULL'!G460</f>
        <v>11736.3</v>
      </c>
      <c r="G10" s="9">
        <f t="shared" si="0"/>
        <v>145530</v>
      </c>
      <c r="I10" s="15"/>
    </row>
    <row r="11" spans="1:11" ht="208.9" customHeight="1">
      <c r="A11" s="8">
        <v>7</v>
      </c>
      <c r="B11" s="25" t="s">
        <v>47</v>
      </c>
      <c r="C11" s="28" t="s">
        <v>323</v>
      </c>
      <c r="D11" s="27" t="s">
        <v>402</v>
      </c>
      <c r="E11" s="16">
        <f>+'SC Detailed'!J68</f>
        <v>1.2000000000000002</v>
      </c>
      <c r="F11" s="16">
        <f>+'DATA FULL'!G538</f>
        <v>6555.9</v>
      </c>
      <c r="G11" s="9">
        <f t="shared" si="0"/>
        <v>7867</v>
      </c>
      <c r="I11" s="15"/>
    </row>
    <row r="12" spans="1:11" ht="129.6" customHeight="1">
      <c r="A12" s="8">
        <v>8</v>
      </c>
      <c r="B12" s="25" t="s">
        <v>48</v>
      </c>
      <c r="C12" s="28" t="s">
        <v>24</v>
      </c>
      <c r="D12" s="27" t="s">
        <v>402</v>
      </c>
      <c r="E12" s="26">
        <f>+'SC Detailed'!J75</f>
        <v>46.1</v>
      </c>
      <c r="F12" s="16">
        <f>+'DATA FULL'!G588</f>
        <v>1313.9</v>
      </c>
      <c r="G12" s="9">
        <f>ROUND(E12*F12,0)</f>
        <v>60571</v>
      </c>
      <c r="I12" s="15">
        <f>+G5+G6+G9+G7+G8+G11+G10+G12</f>
        <v>575142</v>
      </c>
    </row>
    <row r="13" spans="1:11" ht="93" customHeight="1">
      <c r="A13" s="8">
        <v>9</v>
      </c>
      <c r="B13" s="25" t="str">
        <f>+'SC Detailed'!B76</f>
        <v>IRR-CAW-8-4</v>
      </c>
      <c r="C13" s="28" t="s">
        <v>200</v>
      </c>
      <c r="D13" s="27" t="s">
        <v>402</v>
      </c>
      <c r="E13" s="26">
        <f>+'SC Detailed'!J81</f>
        <v>19.3</v>
      </c>
      <c r="F13" s="16">
        <f>+'DATA FULL'!G640</f>
        <v>709.9</v>
      </c>
      <c r="G13" s="9">
        <f>ROUND(E13*F13,0)</f>
        <v>13701</v>
      </c>
      <c r="I13" s="15"/>
    </row>
    <row r="14" spans="1:11" ht="16.5" customHeight="1">
      <c r="A14" s="6"/>
      <c r="B14" s="6"/>
      <c r="C14" s="329" t="s">
        <v>9</v>
      </c>
      <c r="D14" s="6"/>
      <c r="E14" s="13"/>
      <c r="F14" s="12"/>
      <c r="G14" s="17">
        <f>SUM(G5:G13)</f>
        <v>588843</v>
      </c>
      <c r="I14" s="2"/>
    </row>
    <row r="15" spans="1:11" ht="16.5" customHeight="1">
      <c r="A15" s="6">
        <v>10</v>
      </c>
      <c r="B15" s="6"/>
      <c r="C15" s="7" t="s">
        <v>43</v>
      </c>
      <c r="D15" s="34"/>
      <c r="E15" s="13"/>
      <c r="F15" s="12"/>
      <c r="G15" s="18">
        <f>+seinorage!E19</f>
        <v>9733.02</v>
      </c>
    </row>
    <row r="16" spans="1:11" ht="16.5" customHeight="1">
      <c r="A16" s="6">
        <v>11</v>
      </c>
      <c r="B16" s="6"/>
      <c r="C16" s="7" t="s">
        <v>57</v>
      </c>
      <c r="D16" s="34">
        <v>1E-3</v>
      </c>
      <c r="E16" s="13"/>
      <c r="F16" s="12"/>
      <c r="G16" s="18">
        <f>+(+G14+G15)*D16</f>
        <v>598.57602000000009</v>
      </c>
    </row>
    <row r="17" spans="1:10" ht="16.5" customHeight="1">
      <c r="A17" s="6">
        <v>12</v>
      </c>
      <c r="B17" s="6"/>
      <c r="C17" s="201" t="s">
        <v>305</v>
      </c>
      <c r="D17" s="34">
        <v>0.18</v>
      </c>
      <c r="E17" s="13"/>
      <c r="F17" s="12"/>
      <c r="G17" s="202">
        <f>+(G16+G15+G14)*D17</f>
        <v>107851.4272836</v>
      </c>
      <c r="H17" s="2">
        <f>+G17+G16+G15+G14</f>
        <v>707026.02330360003</v>
      </c>
    </row>
    <row r="18" spans="1:10" ht="16.5" customHeight="1">
      <c r="A18" s="6">
        <v>13</v>
      </c>
      <c r="B18" s="6"/>
      <c r="C18" s="7" t="s">
        <v>31</v>
      </c>
      <c r="D18" s="6"/>
      <c r="E18" s="13"/>
      <c r="F18" s="12"/>
      <c r="G18" s="18">
        <f>+H18</f>
        <v>12973.976696399972</v>
      </c>
      <c r="H18" s="2">
        <f>+H19-H17</f>
        <v>12973.976696399972</v>
      </c>
    </row>
    <row r="19" spans="1:10" ht="16.5" customHeight="1">
      <c r="A19" s="8"/>
      <c r="B19" s="6"/>
      <c r="C19" s="14" t="s">
        <v>30</v>
      </c>
      <c r="D19" s="6"/>
      <c r="E19" s="13"/>
      <c r="F19" s="12"/>
      <c r="G19" s="5">
        <f>SUM(G14:G18)</f>
        <v>720000</v>
      </c>
      <c r="H19" s="31">
        <v>720000</v>
      </c>
    </row>
    <row r="20" spans="1:10">
      <c r="F20" s="4" t="s">
        <v>29</v>
      </c>
      <c r="G20" s="3">
        <f>SUM(G19:G19)/100000</f>
        <v>7.2</v>
      </c>
    </row>
    <row r="21" spans="1:10">
      <c r="J21" s="2"/>
    </row>
    <row r="22" spans="1:10">
      <c r="J22" s="2"/>
    </row>
  </sheetData>
  <mergeCells count="11">
    <mergeCell ref="I2:J2"/>
    <mergeCell ref="A1:G1"/>
    <mergeCell ref="G3:G4"/>
    <mergeCell ref="E3:E4"/>
    <mergeCell ref="A3:A4"/>
    <mergeCell ref="B3:B4"/>
    <mergeCell ref="C3:C4"/>
    <mergeCell ref="D3:D4"/>
    <mergeCell ref="F3:F4"/>
    <mergeCell ref="A2:B2"/>
    <mergeCell ref="C2:G2"/>
  </mergeCells>
  <printOptions horizontalCentered="1" verticalCentered="1"/>
  <pageMargins left="0.20866141699999999" right="0.27559055118110198" top="0.19" bottom="0.59055118110236204" header="0.31496062992126" footer="0.31496062992126"/>
  <pageSetup paperSize="9" scale="90" orientation="portrait" verticalDpi="300" r:id="rId1"/>
  <headerFooter scaleWithDoc="0" alignWithMargins="0"/>
</worksheet>
</file>

<file path=xl/worksheets/sheet5.xml><?xml version="1.0" encoding="utf-8"?>
<worksheet xmlns="http://schemas.openxmlformats.org/spreadsheetml/2006/main" xmlns:r="http://schemas.openxmlformats.org/officeDocument/2006/relationships">
  <dimension ref="A1:N85"/>
  <sheetViews>
    <sheetView view="pageBreakPreview" zoomScale="75" zoomScaleSheetLayoutView="75" workbookViewId="0">
      <selection activeCell="W13" sqref="W13"/>
    </sheetView>
  </sheetViews>
  <sheetFormatPr defaultColWidth="9.140625" defaultRowHeight="15"/>
  <cols>
    <col min="1" max="1" width="5.140625" style="203" customWidth="1"/>
    <col min="2" max="2" width="8.42578125" style="203" customWidth="1"/>
    <col min="3" max="3" width="39.85546875" style="203" customWidth="1"/>
    <col min="4" max="5" width="3.7109375" style="203" customWidth="1"/>
    <col min="6" max="6" width="3.5703125" style="242" customWidth="1"/>
    <col min="7" max="7" width="7.42578125" style="243" customWidth="1"/>
    <col min="8" max="8" width="11.140625" style="242" customWidth="1"/>
    <col min="9" max="9" width="8" style="243" customWidth="1"/>
    <col min="10" max="10" width="9.42578125" style="242" customWidth="1"/>
    <col min="11" max="11" width="5" style="242" customWidth="1"/>
    <col min="12" max="16384" width="9.140625" style="203"/>
  </cols>
  <sheetData>
    <row r="1" spans="1:14" ht="21" customHeight="1">
      <c r="A1" s="401" t="s">
        <v>62</v>
      </c>
      <c r="B1" s="401"/>
      <c r="C1" s="401"/>
      <c r="D1" s="401"/>
      <c r="E1" s="401"/>
      <c r="F1" s="401"/>
      <c r="G1" s="401"/>
      <c r="H1" s="401"/>
      <c r="I1" s="401"/>
      <c r="J1" s="401"/>
      <c r="K1" s="401"/>
    </row>
    <row r="2" spans="1:14" ht="43.9" customHeight="1">
      <c r="A2" s="402" t="s">
        <v>63</v>
      </c>
      <c r="B2" s="402"/>
      <c r="C2" s="403" t="str">
        <f>+Cov!B25</f>
        <v>Construction of Slab culvert with Clear Span of 3.0 m</v>
      </c>
      <c r="D2" s="403"/>
      <c r="E2" s="403"/>
      <c r="F2" s="403"/>
      <c r="G2" s="403"/>
      <c r="H2" s="403"/>
      <c r="I2" s="403"/>
      <c r="J2" s="403"/>
      <c r="K2" s="403"/>
      <c r="L2" s="203" t="s">
        <v>158</v>
      </c>
    </row>
    <row r="3" spans="1:14">
      <c r="A3" s="404" t="s">
        <v>64</v>
      </c>
      <c r="B3" s="404" t="s">
        <v>65</v>
      </c>
      <c r="C3" s="404" t="s">
        <v>66</v>
      </c>
      <c r="D3" s="395" t="s">
        <v>11</v>
      </c>
      <c r="E3" s="396"/>
      <c r="F3" s="397"/>
      <c r="G3" s="405" t="s">
        <v>28</v>
      </c>
      <c r="H3" s="404" t="s">
        <v>27</v>
      </c>
      <c r="I3" s="405" t="s">
        <v>26</v>
      </c>
      <c r="J3" s="404" t="s">
        <v>67</v>
      </c>
      <c r="K3" s="404"/>
    </row>
    <row r="4" spans="1:14">
      <c r="A4" s="404"/>
      <c r="B4" s="404"/>
      <c r="C4" s="404"/>
      <c r="D4" s="398"/>
      <c r="E4" s="399"/>
      <c r="F4" s="400"/>
      <c r="G4" s="405"/>
      <c r="H4" s="404"/>
      <c r="I4" s="405"/>
      <c r="J4" s="404"/>
      <c r="K4" s="404"/>
      <c r="L4" s="203" t="s">
        <v>155</v>
      </c>
      <c r="M4" s="206">
        <v>3</v>
      </c>
    </row>
    <row r="5" spans="1:14" ht="88.5" customHeight="1">
      <c r="A5" s="207">
        <v>1</v>
      </c>
      <c r="B5" s="208" t="s">
        <v>17</v>
      </c>
      <c r="C5" s="209" t="s">
        <v>307</v>
      </c>
      <c r="D5" s="209"/>
      <c r="E5" s="209"/>
      <c r="F5" s="210"/>
      <c r="G5" s="211"/>
      <c r="H5" s="210"/>
      <c r="I5" s="211"/>
      <c r="J5" s="210"/>
      <c r="K5" s="210"/>
      <c r="L5" s="203" t="s">
        <v>157</v>
      </c>
      <c r="N5" s="203">
        <v>1</v>
      </c>
    </row>
    <row r="6" spans="1:14">
      <c r="A6" s="207"/>
      <c r="B6" s="208"/>
      <c r="C6" s="212" t="s">
        <v>149</v>
      </c>
      <c r="D6" s="213">
        <f>+$N$5</f>
        <v>1</v>
      </c>
      <c r="E6" s="214" t="s">
        <v>82</v>
      </c>
      <c r="F6" s="210">
        <v>2</v>
      </c>
      <c r="G6" s="211">
        <f>4.7+0.6+0.3+0.6+0.3</f>
        <v>6.4999999999999991</v>
      </c>
      <c r="H6" s="211">
        <f>1.5+0.6+0.3+0.6+0.3</f>
        <v>3.3</v>
      </c>
      <c r="I6" s="252">
        <f>((3-1.2)+(4.6-1.2))/2+0.2</f>
        <v>2.8</v>
      </c>
      <c r="J6" s="211">
        <f>ROUND((D6*F6*G6*H6*I6),2)</f>
        <v>120.12</v>
      </c>
      <c r="K6" s="210"/>
    </row>
    <row r="7" spans="1:14" hidden="1">
      <c r="A7" s="207"/>
      <c r="B7" s="208"/>
      <c r="C7" s="212" t="s">
        <v>150</v>
      </c>
      <c r="D7" s="213">
        <f>+$D$6</f>
        <v>1</v>
      </c>
      <c r="E7" s="214" t="s">
        <v>82</v>
      </c>
      <c r="F7" s="210">
        <v>0</v>
      </c>
      <c r="G7" s="211">
        <f>+G6+0.45+0.45</f>
        <v>7.3999999999999995</v>
      </c>
      <c r="H7" s="211">
        <f>0.9+0.1+0.1</f>
        <v>1.1000000000000001</v>
      </c>
      <c r="I7" s="211">
        <f>+I6</f>
        <v>2.8</v>
      </c>
      <c r="J7" s="211">
        <f t="shared" ref="J7:J8" si="0">ROUND((D7*F7*G7*H7*I7),2)</f>
        <v>0</v>
      </c>
      <c r="K7" s="210"/>
    </row>
    <row r="8" spans="1:14" hidden="1">
      <c r="A8" s="207"/>
      <c r="B8" s="208"/>
      <c r="C8" s="212" t="s">
        <v>151</v>
      </c>
      <c r="D8" s="213">
        <f>+$D$6</f>
        <v>1</v>
      </c>
      <c r="E8" s="214" t="s">
        <v>82</v>
      </c>
      <c r="F8" s="210">
        <v>0</v>
      </c>
      <c r="G8" s="211">
        <v>1</v>
      </c>
      <c r="H8" s="211">
        <f>0.9+0.1+0.1</f>
        <v>1.1000000000000001</v>
      </c>
      <c r="I8" s="211">
        <f>+I6</f>
        <v>2.8</v>
      </c>
      <c r="J8" s="211">
        <f t="shared" si="0"/>
        <v>0</v>
      </c>
      <c r="K8" s="210"/>
    </row>
    <row r="9" spans="1:14" hidden="1">
      <c r="A9" s="207"/>
      <c r="B9" s="208"/>
      <c r="C9" s="212" t="s">
        <v>191</v>
      </c>
      <c r="D9" s="213">
        <f>+$N$5</f>
        <v>1</v>
      </c>
      <c r="E9" s="214" t="s">
        <v>82</v>
      </c>
      <c r="F9" s="210">
        <v>0</v>
      </c>
      <c r="G9" s="211">
        <v>15.3</v>
      </c>
      <c r="H9" s="215" t="s">
        <v>192</v>
      </c>
      <c r="I9" s="216">
        <v>0.45</v>
      </c>
      <c r="J9" s="216">
        <f>ROUND((D9*I9*((1.464+5)/2)*G9*F9),2)</f>
        <v>0</v>
      </c>
      <c r="K9" s="210"/>
    </row>
    <row r="10" spans="1:14" hidden="1">
      <c r="A10" s="207"/>
      <c r="B10" s="208"/>
      <c r="C10" s="212" t="s">
        <v>190</v>
      </c>
      <c r="D10" s="213">
        <f>+$N$5</f>
        <v>1</v>
      </c>
      <c r="E10" s="214" t="s">
        <v>82</v>
      </c>
      <c r="F10" s="210">
        <v>0</v>
      </c>
      <c r="G10" s="211">
        <v>2.2999999999999998</v>
      </c>
      <c r="H10" s="211">
        <f>1.5+0.3+0.3</f>
        <v>2.1</v>
      </c>
      <c r="I10" s="211">
        <f>0.5+0.3+0.3+0.9</f>
        <v>2</v>
      </c>
      <c r="J10" s="211">
        <f>ROUND((D10*F10*G10*H10*I10),2)</f>
        <v>0</v>
      </c>
      <c r="K10" s="210"/>
    </row>
    <row r="11" spans="1:14">
      <c r="A11" s="207"/>
      <c r="B11" s="208"/>
      <c r="C11" s="212"/>
      <c r="D11" s="213"/>
      <c r="E11" s="212"/>
      <c r="F11" s="210"/>
      <c r="G11" s="211"/>
      <c r="H11" s="210"/>
      <c r="I11" s="211" t="s">
        <v>2</v>
      </c>
      <c r="J11" s="211">
        <f>SUM(J6:J10)</f>
        <v>120.12</v>
      </c>
      <c r="K11" s="210"/>
    </row>
    <row r="12" spans="1:14" ht="13.5" customHeight="1">
      <c r="A12" s="207"/>
      <c r="B12" s="208"/>
      <c r="C12" s="212"/>
      <c r="D12" s="213"/>
      <c r="E12" s="212"/>
      <c r="F12" s="210"/>
      <c r="G12" s="211"/>
      <c r="H12" s="210"/>
      <c r="I12" s="211" t="s">
        <v>55</v>
      </c>
      <c r="J12" s="205">
        <f>+ROUNDUP(J11,1)</f>
        <v>120.19999999999999</v>
      </c>
      <c r="K12" s="204" t="s">
        <v>4</v>
      </c>
    </row>
    <row r="13" spans="1:14" ht="70.900000000000006" customHeight="1">
      <c r="A13" s="207">
        <v>2</v>
      </c>
      <c r="B13" s="208" t="s">
        <v>1</v>
      </c>
      <c r="C13" s="212" t="s">
        <v>308</v>
      </c>
      <c r="D13" s="213"/>
      <c r="E13" s="212"/>
      <c r="F13" s="210"/>
      <c r="G13" s="211"/>
      <c r="H13" s="210"/>
      <c r="I13" s="211"/>
      <c r="J13" s="210"/>
      <c r="K13" s="204"/>
    </row>
    <row r="14" spans="1:14">
      <c r="A14" s="207"/>
      <c r="B14" s="208"/>
      <c r="C14" s="212" t="str">
        <f>+C6</f>
        <v>Abutments Foundation</v>
      </c>
      <c r="D14" s="213">
        <f t="shared" ref="D14:D16" si="1">+$D$6</f>
        <v>1</v>
      </c>
      <c r="E14" s="214" t="s">
        <v>82</v>
      </c>
      <c r="F14" s="210">
        <f t="shared" ref="F14:H16" si="2">+F6</f>
        <v>2</v>
      </c>
      <c r="G14" s="211">
        <f t="shared" si="2"/>
        <v>6.4999999999999991</v>
      </c>
      <c r="H14" s="211">
        <f t="shared" si="2"/>
        <v>3.3</v>
      </c>
      <c r="I14" s="211">
        <v>0.3</v>
      </c>
      <c r="J14" s="211">
        <f t="shared" ref="J14:J16" si="3">ROUND((D14*F14*G14*H14*I14),2)</f>
        <v>12.87</v>
      </c>
      <c r="K14" s="210"/>
    </row>
    <row r="15" spans="1:14" hidden="1">
      <c r="A15" s="207"/>
      <c r="B15" s="208"/>
      <c r="C15" s="212" t="str">
        <f>+C7</f>
        <v>Central pier foundation</v>
      </c>
      <c r="D15" s="213">
        <f t="shared" si="1"/>
        <v>1</v>
      </c>
      <c r="E15" s="214" t="s">
        <v>82</v>
      </c>
      <c r="F15" s="210">
        <f t="shared" si="2"/>
        <v>0</v>
      </c>
      <c r="G15" s="211">
        <f t="shared" si="2"/>
        <v>7.3999999999999995</v>
      </c>
      <c r="H15" s="211">
        <f t="shared" si="2"/>
        <v>1.1000000000000001</v>
      </c>
      <c r="I15" s="211">
        <v>0.3</v>
      </c>
      <c r="J15" s="211">
        <f t="shared" si="3"/>
        <v>0</v>
      </c>
      <c r="K15" s="210"/>
    </row>
    <row r="16" spans="1:14" hidden="1">
      <c r="A16" s="207"/>
      <c r="B16" s="208"/>
      <c r="C16" s="212" t="str">
        <f>+C8</f>
        <v>Return walls foundation</v>
      </c>
      <c r="D16" s="213">
        <f t="shared" si="1"/>
        <v>1</v>
      </c>
      <c r="E16" s="214" t="s">
        <v>82</v>
      </c>
      <c r="F16" s="210">
        <f t="shared" si="2"/>
        <v>0</v>
      </c>
      <c r="G16" s="211">
        <f t="shared" si="2"/>
        <v>1</v>
      </c>
      <c r="H16" s="211">
        <f t="shared" si="2"/>
        <v>1.1000000000000001</v>
      </c>
      <c r="I16" s="211">
        <v>0.3</v>
      </c>
      <c r="J16" s="211">
        <f t="shared" si="3"/>
        <v>0</v>
      </c>
      <c r="K16" s="210"/>
    </row>
    <row r="17" spans="1:11" hidden="1">
      <c r="A17" s="207"/>
      <c r="B17" s="208"/>
      <c r="C17" s="212" t="s">
        <v>190</v>
      </c>
      <c r="D17" s="213">
        <f>+$N$5</f>
        <v>1</v>
      </c>
      <c r="E17" s="214" t="s">
        <v>82</v>
      </c>
      <c r="F17" s="210">
        <v>0</v>
      </c>
      <c r="G17" s="211">
        <v>2.2999999999999998</v>
      </c>
      <c r="H17" s="211">
        <f>1.5+0.3+0.3</f>
        <v>2.1</v>
      </c>
      <c r="I17" s="211">
        <v>0.3</v>
      </c>
      <c r="J17" s="211">
        <f>ROUND((D17*F17*G17*H17*I17),2)</f>
        <v>0</v>
      </c>
      <c r="K17" s="210"/>
    </row>
    <row r="18" spans="1:11">
      <c r="A18" s="207"/>
      <c r="B18" s="208"/>
      <c r="C18" s="212"/>
      <c r="D18" s="213"/>
      <c r="E18" s="212"/>
      <c r="F18" s="210"/>
      <c r="G18" s="211"/>
      <c r="H18" s="210"/>
      <c r="I18" s="211" t="s">
        <v>2</v>
      </c>
      <c r="J18" s="211">
        <f>SUM(J14:J17)</f>
        <v>12.87</v>
      </c>
      <c r="K18" s="210"/>
    </row>
    <row r="19" spans="1:11" ht="13.5" customHeight="1">
      <c r="A19" s="207"/>
      <c r="B19" s="208"/>
      <c r="C19" s="217"/>
      <c r="D19" s="213"/>
      <c r="E19" s="217"/>
      <c r="F19" s="210"/>
      <c r="G19" s="211"/>
      <c r="H19" s="210"/>
      <c r="I19" s="211" t="s">
        <v>55</v>
      </c>
      <c r="J19" s="205">
        <f>+ROUNDUP(J18,1)</f>
        <v>12.9</v>
      </c>
      <c r="K19" s="204" t="s">
        <v>4</v>
      </c>
    </row>
    <row r="20" spans="1:11" ht="181.5" hidden="1" customHeight="1">
      <c r="A20" s="207">
        <v>3</v>
      </c>
      <c r="B20" s="208" t="e">
        <f>+#REF!</f>
        <v>#REF!</v>
      </c>
      <c r="C20" s="218" t="e">
        <f>+#REF!</f>
        <v>#REF!</v>
      </c>
      <c r="D20" s="219"/>
      <c r="E20" s="218"/>
      <c r="F20" s="210"/>
      <c r="G20" s="211"/>
      <c r="H20" s="210"/>
      <c r="I20" s="211"/>
      <c r="J20" s="210"/>
      <c r="K20" s="210"/>
    </row>
    <row r="21" spans="1:11" hidden="1">
      <c r="A21" s="207"/>
      <c r="B21" s="208"/>
      <c r="C21" s="212" t="s">
        <v>160</v>
      </c>
      <c r="D21" s="213">
        <f t="shared" ref="D21:D23" si="4">+$D$6</f>
        <v>1</v>
      </c>
      <c r="E21" s="214" t="s">
        <v>82</v>
      </c>
      <c r="F21" s="220">
        <v>0</v>
      </c>
      <c r="G21" s="221">
        <f>+G14</f>
        <v>6.4999999999999991</v>
      </c>
      <c r="H21" s="221">
        <f>+H14</f>
        <v>3.3</v>
      </c>
      <c r="I21" s="211">
        <v>0.3</v>
      </c>
      <c r="J21" s="210">
        <f t="shared" ref="J21:J23" si="5">ROUND((D21*F21*G21*H21*I21),2)</f>
        <v>0</v>
      </c>
      <c r="K21" s="210" t="s">
        <v>4</v>
      </c>
    </row>
    <row r="22" spans="1:11" hidden="1">
      <c r="A22" s="207"/>
      <c r="B22" s="208"/>
      <c r="C22" s="212" t="e">
        <f t="shared" ref="C22" si="6">+#REF!</f>
        <v>#REF!</v>
      </c>
      <c r="D22" s="213">
        <f t="shared" si="4"/>
        <v>1</v>
      </c>
      <c r="E22" s="214" t="s">
        <v>82</v>
      </c>
      <c r="F22" s="220" t="e">
        <f t="shared" ref="F22" si="7">+#REF!</f>
        <v>#REF!</v>
      </c>
      <c r="G22" s="221" t="e">
        <f t="shared" ref="G22" si="8">+#REF!</f>
        <v>#REF!</v>
      </c>
      <c r="H22" s="221" t="e">
        <f t="shared" ref="H22" si="9">+#REF!</f>
        <v>#REF!</v>
      </c>
      <c r="I22" s="211">
        <f>+I21</f>
        <v>0.3</v>
      </c>
      <c r="J22" s="210" t="e">
        <f t="shared" si="5"/>
        <v>#REF!</v>
      </c>
      <c r="K22" s="210" t="s">
        <v>4</v>
      </c>
    </row>
    <row r="23" spans="1:11" hidden="1">
      <c r="A23" s="207"/>
      <c r="B23" s="208"/>
      <c r="C23" s="212" t="e">
        <f t="shared" ref="C23" si="10">+#REF!</f>
        <v>#REF!</v>
      </c>
      <c r="D23" s="213">
        <f t="shared" si="4"/>
        <v>1</v>
      </c>
      <c r="E23" s="214" t="s">
        <v>82</v>
      </c>
      <c r="F23" s="220" t="e">
        <f t="shared" ref="F23" si="11">+#REF!</f>
        <v>#REF!</v>
      </c>
      <c r="G23" s="221" t="e">
        <f t="shared" ref="G23" si="12">+#REF!</f>
        <v>#REF!</v>
      </c>
      <c r="H23" s="221" t="e">
        <f t="shared" ref="H23" si="13">+#REF!</f>
        <v>#REF!</v>
      </c>
      <c r="I23" s="211">
        <f>+I21</f>
        <v>0.3</v>
      </c>
      <c r="J23" s="211" t="e">
        <f t="shared" si="5"/>
        <v>#REF!</v>
      </c>
      <c r="K23" s="210" t="s">
        <v>4</v>
      </c>
    </row>
    <row r="24" spans="1:11" hidden="1">
      <c r="A24" s="207"/>
      <c r="B24" s="208"/>
      <c r="C24" s="212" t="s">
        <v>190</v>
      </c>
      <c r="D24" s="213">
        <f>+$N$5</f>
        <v>1</v>
      </c>
      <c r="E24" s="214" t="s">
        <v>82</v>
      </c>
      <c r="F24" s="210">
        <v>0</v>
      </c>
      <c r="G24" s="211">
        <v>2.2999999999999998</v>
      </c>
      <c r="H24" s="211">
        <f>1.5+0.3+0.3</f>
        <v>2.1</v>
      </c>
      <c r="I24" s="211">
        <f>+I22</f>
        <v>0.3</v>
      </c>
      <c r="J24" s="211">
        <f>ROUND((D24*F24*G24*H24*I24),2)</f>
        <v>0</v>
      </c>
      <c r="K24" s="210" t="s">
        <v>4</v>
      </c>
    </row>
    <row r="25" spans="1:11" hidden="1">
      <c r="A25" s="207"/>
      <c r="B25" s="208"/>
      <c r="C25" s="212"/>
      <c r="D25" s="213"/>
      <c r="E25" s="212"/>
      <c r="F25" s="210"/>
      <c r="G25" s="211"/>
      <c r="H25" s="210"/>
      <c r="I25" s="211" t="s">
        <v>2</v>
      </c>
      <c r="J25" s="211">
        <f>+J24+J21</f>
        <v>0</v>
      </c>
      <c r="K25" s="210" t="s">
        <v>4</v>
      </c>
    </row>
    <row r="26" spans="1:11" ht="13.5" hidden="1" customHeight="1">
      <c r="A26" s="207"/>
      <c r="B26" s="208"/>
      <c r="C26" s="217" t="s">
        <v>68</v>
      </c>
      <c r="D26" s="213"/>
      <c r="E26" s="217"/>
      <c r="F26" s="210">
        <v>0</v>
      </c>
      <c r="G26" s="211">
        <v>5</v>
      </c>
      <c r="H26" s="391">
        <v>0.74</v>
      </c>
      <c r="I26" s="392"/>
      <c r="J26" s="211">
        <f t="shared" ref="J26:J28" si="14">F26*G26*H26</f>
        <v>0</v>
      </c>
      <c r="K26" s="204" t="s">
        <v>4</v>
      </c>
    </row>
    <row r="27" spans="1:11" ht="13.5" hidden="1" customHeight="1">
      <c r="A27" s="207"/>
      <c r="B27" s="208"/>
      <c r="C27" s="217" t="s">
        <v>69</v>
      </c>
      <c r="D27" s="213"/>
      <c r="E27" s="217"/>
      <c r="F27" s="210">
        <v>0</v>
      </c>
      <c r="G27" s="211">
        <v>5</v>
      </c>
      <c r="H27" s="393">
        <v>0.55500000000000005</v>
      </c>
      <c r="I27" s="394"/>
      <c r="J27" s="211">
        <f t="shared" si="14"/>
        <v>0</v>
      </c>
      <c r="K27" s="204" t="s">
        <v>4</v>
      </c>
    </row>
    <row r="28" spans="1:11" ht="13.5" hidden="1" customHeight="1">
      <c r="A28" s="207"/>
      <c r="B28" s="208"/>
      <c r="C28" s="217" t="s">
        <v>70</v>
      </c>
      <c r="D28" s="213"/>
      <c r="E28" s="217"/>
      <c r="F28" s="210">
        <v>0</v>
      </c>
      <c r="G28" s="211">
        <v>5</v>
      </c>
      <c r="H28" s="391">
        <v>0.185</v>
      </c>
      <c r="I28" s="392"/>
      <c r="J28" s="211">
        <f t="shared" si="14"/>
        <v>0</v>
      </c>
      <c r="K28" s="204" t="s">
        <v>4</v>
      </c>
    </row>
    <row r="29" spans="1:11" ht="13.5" hidden="1" customHeight="1">
      <c r="A29" s="207"/>
      <c r="B29" s="208"/>
      <c r="C29" s="217" t="s">
        <v>71</v>
      </c>
      <c r="D29" s="213"/>
      <c r="E29" s="217"/>
      <c r="F29" s="210">
        <v>0</v>
      </c>
      <c r="G29" s="211">
        <v>5</v>
      </c>
      <c r="H29" s="210">
        <v>0.25</v>
      </c>
      <c r="I29" s="211">
        <v>0.3</v>
      </c>
      <c r="J29" s="211">
        <f>F29*G29*H29*I29</f>
        <v>0</v>
      </c>
      <c r="K29" s="204" t="s">
        <v>4</v>
      </c>
    </row>
    <row r="30" spans="1:11" ht="13.5" hidden="1" customHeight="1">
      <c r="A30" s="207"/>
      <c r="B30" s="208"/>
      <c r="C30" s="217" t="s">
        <v>72</v>
      </c>
      <c r="D30" s="213"/>
      <c r="E30" s="217"/>
      <c r="F30" s="210">
        <v>0</v>
      </c>
      <c r="G30" s="211">
        <v>3</v>
      </c>
      <c r="H30" s="210">
        <v>0.45</v>
      </c>
      <c r="I30" s="211">
        <v>0.45</v>
      </c>
      <c r="J30" s="211">
        <f>F30*G30*H30*I30</f>
        <v>0</v>
      </c>
      <c r="K30" s="204"/>
    </row>
    <row r="31" spans="1:11" ht="13.5" hidden="1" customHeight="1">
      <c r="A31" s="207"/>
      <c r="B31" s="208"/>
      <c r="C31" s="217" t="s">
        <v>73</v>
      </c>
      <c r="D31" s="213"/>
      <c r="E31" s="217"/>
      <c r="F31" s="210"/>
      <c r="G31" s="211"/>
      <c r="H31" s="210"/>
      <c r="I31" s="211"/>
      <c r="J31" s="211">
        <f>SUM(J25:J30)</f>
        <v>0</v>
      </c>
      <c r="K31" s="204" t="s">
        <v>4</v>
      </c>
    </row>
    <row r="32" spans="1:11" ht="13.5" hidden="1" customHeight="1">
      <c r="A32" s="207"/>
      <c r="B32" s="208"/>
      <c r="C32" s="217" t="s">
        <v>55</v>
      </c>
      <c r="D32" s="213"/>
      <c r="E32" s="217"/>
      <c r="F32" s="210"/>
      <c r="G32" s="211"/>
      <c r="H32" s="210"/>
      <c r="I32" s="211" t="s">
        <v>55</v>
      </c>
      <c r="J32" s="205">
        <f>+ROUNDUP(J31,1)</f>
        <v>0</v>
      </c>
      <c r="K32" s="204" t="s">
        <v>4</v>
      </c>
    </row>
    <row r="33" spans="1:11" ht="13.5" hidden="1" customHeight="1">
      <c r="A33" s="207"/>
      <c r="B33" s="208"/>
      <c r="C33" s="217"/>
      <c r="D33" s="213"/>
      <c r="E33" s="217"/>
      <c r="F33" s="210"/>
      <c r="G33" s="211"/>
      <c r="H33" s="210"/>
      <c r="I33" s="211"/>
      <c r="J33" s="205"/>
      <c r="K33" s="204"/>
    </row>
    <row r="34" spans="1:11" ht="181.5" customHeight="1">
      <c r="A34" s="207">
        <v>3</v>
      </c>
      <c r="B34" s="208" t="s">
        <v>19</v>
      </c>
      <c r="C34" s="218" t="s">
        <v>309</v>
      </c>
      <c r="D34" s="219"/>
      <c r="E34" s="218"/>
      <c r="F34" s="210"/>
      <c r="G34" s="211"/>
      <c r="H34" s="210"/>
      <c r="I34" s="211"/>
      <c r="J34" s="210"/>
      <c r="K34" s="210"/>
    </row>
    <row r="35" spans="1:11">
      <c r="A35" s="207"/>
      <c r="B35" s="208"/>
      <c r="C35" s="212" t="str">
        <f>+C6</f>
        <v>Abutments Foundation</v>
      </c>
      <c r="D35" s="213">
        <f t="shared" ref="D35:D37" si="15">+$D$6</f>
        <v>1</v>
      </c>
      <c r="E35" s="214" t="s">
        <v>82</v>
      </c>
      <c r="F35" s="220">
        <f t="shared" ref="F35" si="16">+F6</f>
        <v>2</v>
      </c>
      <c r="G35" s="211">
        <f>4.7+1.2</f>
        <v>5.9</v>
      </c>
      <c r="H35" s="211">
        <v>2.7</v>
      </c>
      <c r="I35" s="211">
        <v>0.6</v>
      </c>
      <c r="J35" s="210">
        <f t="shared" ref="J35:J37" si="17">ROUND((D35*F35*G35*H35*I35),2)</f>
        <v>19.12</v>
      </c>
      <c r="K35" s="210"/>
    </row>
    <row r="36" spans="1:11" hidden="1">
      <c r="A36" s="207"/>
      <c r="B36" s="208"/>
      <c r="C36" s="212" t="str">
        <f t="shared" ref="C36:H36" si="18">+C7</f>
        <v>Central pier foundation</v>
      </c>
      <c r="D36" s="213">
        <f t="shared" si="15"/>
        <v>1</v>
      </c>
      <c r="E36" s="214" t="s">
        <v>82</v>
      </c>
      <c r="F36" s="220">
        <f t="shared" si="18"/>
        <v>0</v>
      </c>
      <c r="G36" s="221">
        <f t="shared" si="18"/>
        <v>7.3999999999999995</v>
      </c>
      <c r="H36" s="221">
        <f t="shared" si="18"/>
        <v>1.1000000000000001</v>
      </c>
      <c r="I36" s="211">
        <f>+I35</f>
        <v>0.6</v>
      </c>
      <c r="J36" s="210">
        <f t="shared" si="17"/>
        <v>0</v>
      </c>
      <c r="K36" s="210"/>
    </row>
    <row r="37" spans="1:11" hidden="1">
      <c r="A37" s="207"/>
      <c r="B37" s="208"/>
      <c r="C37" s="212" t="str">
        <f t="shared" ref="C37:H37" si="19">+C8</f>
        <v>Return walls foundation</v>
      </c>
      <c r="D37" s="213">
        <f t="shared" si="15"/>
        <v>1</v>
      </c>
      <c r="E37" s="214" t="s">
        <v>82</v>
      </c>
      <c r="F37" s="220">
        <f t="shared" si="19"/>
        <v>0</v>
      </c>
      <c r="G37" s="221">
        <f t="shared" si="19"/>
        <v>1</v>
      </c>
      <c r="H37" s="221">
        <f t="shared" si="19"/>
        <v>1.1000000000000001</v>
      </c>
      <c r="I37" s="211">
        <f>+I35</f>
        <v>0.6</v>
      </c>
      <c r="J37" s="211">
        <f t="shared" si="17"/>
        <v>0</v>
      </c>
      <c r="K37" s="210"/>
    </row>
    <row r="38" spans="1:11" hidden="1">
      <c r="A38" s="207"/>
      <c r="B38" s="208"/>
      <c r="C38" s="212" t="s">
        <v>190</v>
      </c>
      <c r="D38" s="213">
        <f>+$N$5</f>
        <v>1</v>
      </c>
      <c r="E38" s="214" t="s">
        <v>82</v>
      </c>
      <c r="F38" s="210">
        <v>0</v>
      </c>
      <c r="G38" s="211">
        <v>2.2999999999999998</v>
      </c>
      <c r="H38" s="211">
        <f>1.5+0.3+0.3</f>
        <v>2.1</v>
      </c>
      <c r="I38" s="211">
        <f>+I36</f>
        <v>0.6</v>
      </c>
      <c r="J38" s="211">
        <f>ROUND((D38*F38*G38*H38*I38),2)</f>
        <v>0</v>
      </c>
      <c r="K38" s="210"/>
    </row>
    <row r="39" spans="1:11">
      <c r="A39" s="207"/>
      <c r="B39" s="208"/>
      <c r="C39" s="212"/>
      <c r="D39" s="213"/>
      <c r="E39" s="212"/>
      <c r="F39" s="210"/>
      <c r="G39" s="211"/>
      <c r="H39" s="210"/>
      <c r="I39" s="211" t="s">
        <v>2</v>
      </c>
      <c r="J39" s="210">
        <f>SUM(J35:J38)</f>
        <v>19.12</v>
      </c>
      <c r="K39" s="210"/>
    </row>
    <row r="40" spans="1:11" ht="13.5" hidden="1" customHeight="1">
      <c r="A40" s="207"/>
      <c r="B40" s="208"/>
      <c r="C40" s="217" t="s">
        <v>68</v>
      </c>
      <c r="D40" s="213"/>
      <c r="E40" s="217"/>
      <c r="F40" s="210">
        <v>0</v>
      </c>
      <c r="G40" s="211">
        <v>5</v>
      </c>
      <c r="H40" s="391">
        <v>0.74</v>
      </c>
      <c r="I40" s="392"/>
      <c r="J40" s="211">
        <f t="shared" ref="J40:J42" si="20">F40*G40*H40</f>
        <v>0</v>
      </c>
      <c r="K40" s="204" t="s">
        <v>4</v>
      </c>
    </row>
    <row r="41" spans="1:11" ht="13.5" hidden="1" customHeight="1">
      <c r="A41" s="207"/>
      <c r="B41" s="208"/>
      <c r="C41" s="217" t="s">
        <v>69</v>
      </c>
      <c r="D41" s="213"/>
      <c r="E41" s="217"/>
      <c r="F41" s="210">
        <v>0</v>
      </c>
      <c r="G41" s="211">
        <v>5</v>
      </c>
      <c r="H41" s="393">
        <v>0.55500000000000005</v>
      </c>
      <c r="I41" s="394"/>
      <c r="J41" s="211">
        <f t="shared" si="20"/>
        <v>0</v>
      </c>
      <c r="K41" s="204" t="s">
        <v>4</v>
      </c>
    </row>
    <row r="42" spans="1:11" ht="13.5" hidden="1" customHeight="1">
      <c r="A42" s="207"/>
      <c r="B42" s="208"/>
      <c r="C42" s="217" t="s">
        <v>70</v>
      </c>
      <c r="D42" s="213"/>
      <c r="E42" s="217"/>
      <c r="F42" s="210">
        <v>0</v>
      </c>
      <c r="G42" s="211">
        <v>5</v>
      </c>
      <c r="H42" s="391">
        <v>0.185</v>
      </c>
      <c r="I42" s="392"/>
      <c r="J42" s="211">
        <f t="shared" si="20"/>
        <v>0</v>
      </c>
      <c r="K42" s="204" t="s">
        <v>4</v>
      </c>
    </row>
    <row r="43" spans="1:11" ht="13.5" hidden="1" customHeight="1">
      <c r="A43" s="207"/>
      <c r="B43" s="208"/>
      <c r="C43" s="217" t="s">
        <v>71</v>
      </c>
      <c r="D43" s="213"/>
      <c r="E43" s="217"/>
      <c r="F43" s="210">
        <v>0</v>
      </c>
      <c r="G43" s="211">
        <v>5</v>
      </c>
      <c r="H43" s="210">
        <v>0.25</v>
      </c>
      <c r="I43" s="211">
        <v>0.3</v>
      </c>
      <c r="J43" s="211">
        <f>F43*G43*H43*I43</f>
        <v>0</v>
      </c>
      <c r="K43" s="204" t="s">
        <v>4</v>
      </c>
    </row>
    <row r="44" spans="1:11" ht="13.5" hidden="1" customHeight="1">
      <c r="A44" s="207"/>
      <c r="B44" s="208"/>
      <c r="C44" s="217" t="s">
        <v>72</v>
      </c>
      <c r="D44" s="213"/>
      <c r="E44" s="217"/>
      <c r="F44" s="210">
        <v>0</v>
      </c>
      <c r="G44" s="211">
        <v>3</v>
      </c>
      <c r="H44" s="210">
        <v>0.45</v>
      </c>
      <c r="I44" s="211">
        <v>0.45</v>
      </c>
      <c r="J44" s="211">
        <f>F44*G44*H44*I44</f>
        <v>0</v>
      </c>
      <c r="K44" s="204"/>
    </row>
    <row r="45" spans="1:11" ht="13.5" hidden="1" customHeight="1">
      <c r="A45" s="207"/>
      <c r="B45" s="208"/>
      <c r="C45" s="217" t="s">
        <v>73</v>
      </c>
      <c r="D45" s="213"/>
      <c r="E45" s="217"/>
      <c r="F45" s="210"/>
      <c r="G45" s="211"/>
      <c r="H45" s="210"/>
      <c r="I45" s="211"/>
      <c r="J45" s="211">
        <f>SUM(J39:J44)</f>
        <v>19.12</v>
      </c>
      <c r="K45" s="204" t="s">
        <v>4</v>
      </c>
    </row>
    <row r="46" spans="1:11" ht="13.5" customHeight="1">
      <c r="A46" s="207"/>
      <c r="B46" s="208"/>
      <c r="C46" s="217"/>
      <c r="D46" s="213"/>
      <c r="E46" s="217"/>
      <c r="F46" s="210"/>
      <c r="G46" s="211"/>
      <c r="H46" s="210"/>
      <c r="I46" s="211" t="s">
        <v>55</v>
      </c>
      <c r="J46" s="205">
        <f>+ROUNDUP(J45,1)</f>
        <v>19.200000000000003</v>
      </c>
      <c r="K46" s="204" t="s">
        <v>4</v>
      </c>
    </row>
    <row r="47" spans="1:11" ht="180" customHeight="1">
      <c r="A47" s="207">
        <v>4</v>
      </c>
      <c r="B47" s="46" t="s">
        <v>20</v>
      </c>
      <c r="C47" s="218" t="s">
        <v>627</v>
      </c>
      <c r="D47" s="219"/>
      <c r="E47" s="218"/>
      <c r="F47" s="210"/>
      <c r="G47" s="211"/>
      <c r="H47" s="210"/>
      <c r="I47" s="211"/>
      <c r="J47" s="211"/>
      <c r="K47" s="204"/>
    </row>
    <row r="48" spans="1:11" s="226" customFormat="1" ht="14.1" customHeight="1">
      <c r="A48" s="222"/>
      <c r="B48" s="223"/>
      <c r="C48" s="224" t="s">
        <v>74</v>
      </c>
      <c r="D48" s="213">
        <f t="shared" ref="D48:D52" si="21">+$D$6</f>
        <v>1</v>
      </c>
      <c r="E48" s="214" t="s">
        <v>82</v>
      </c>
      <c r="F48" s="225">
        <f>+F6</f>
        <v>2</v>
      </c>
      <c r="G48" s="216">
        <v>4.7</v>
      </c>
      <c r="H48" s="215" t="s">
        <v>188</v>
      </c>
      <c r="I48" s="216">
        <v>1.7</v>
      </c>
      <c r="J48" s="216">
        <f>ROUND((D48*I48*((0.9+1.5)/2)*G48*F48),2)</f>
        <v>19.18</v>
      </c>
      <c r="K48" s="225"/>
    </row>
    <row r="49" spans="1:14" s="226" customFormat="1" ht="14.1" hidden="1" customHeight="1">
      <c r="A49" s="222"/>
      <c r="B49" s="227"/>
      <c r="C49" s="228" t="s">
        <v>75</v>
      </c>
      <c r="D49" s="213">
        <f t="shared" si="21"/>
        <v>1</v>
      </c>
      <c r="E49" s="214" t="s">
        <v>82</v>
      </c>
      <c r="F49" s="225">
        <v>0</v>
      </c>
      <c r="G49" s="216">
        <f>+G48</f>
        <v>4.7</v>
      </c>
      <c r="H49" s="225">
        <v>0.45</v>
      </c>
      <c r="I49" s="216">
        <f>ROUND((0.45+0.075),2)</f>
        <v>0.53</v>
      </c>
      <c r="J49" s="210">
        <f t="shared" ref="J49:J51" si="22">ROUND((D49*F49*G49*H49*I49),2)</f>
        <v>0</v>
      </c>
      <c r="K49" s="225"/>
    </row>
    <row r="50" spans="1:14" s="226" customFormat="1" ht="14.1" hidden="1" customHeight="1">
      <c r="A50" s="222"/>
      <c r="B50" s="229"/>
      <c r="C50" s="224" t="s">
        <v>152</v>
      </c>
      <c r="D50" s="213">
        <f t="shared" si="21"/>
        <v>1</v>
      </c>
      <c r="E50" s="214" t="s">
        <v>82</v>
      </c>
      <c r="F50" s="225">
        <f>+F7</f>
        <v>0</v>
      </c>
      <c r="G50" s="216">
        <f>+G49</f>
        <v>4.7</v>
      </c>
      <c r="H50" s="216">
        <v>0.9</v>
      </c>
      <c r="I50" s="216">
        <f>+I48</f>
        <v>1.7</v>
      </c>
      <c r="J50" s="210">
        <f t="shared" si="22"/>
        <v>0</v>
      </c>
      <c r="K50" s="225"/>
    </row>
    <row r="51" spans="1:14" s="226" customFormat="1" ht="14.1" hidden="1" customHeight="1">
      <c r="A51" s="222"/>
      <c r="B51" s="229"/>
      <c r="C51" s="224" t="s">
        <v>153</v>
      </c>
      <c r="D51" s="213">
        <f t="shared" si="21"/>
        <v>1</v>
      </c>
      <c r="E51" s="214" t="s">
        <v>82</v>
      </c>
      <c r="F51" s="225">
        <f>+F50*2</f>
        <v>0</v>
      </c>
      <c r="G51" s="216">
        <f>+H50</f>
        <v>0.9</v>
      </c>
      <c r="H51" s="216">
        <f>+H50/2</f>
        <v>0.45</v>
      </c>
      <c r="I51" s="216">
        <f>+I50</f>
        <v>1.7</v>
      </c>
      <c r="J51" s="210">
        <f t="shared" si="22"/>
        <v>0</v>
      </c>
      <c r="K51" s="225"/>
    </row>
    <row r="52" spans="1:14" s="226" customFormat="1" ht="14.1" hidden="1" customHeight="1">
      <c r="A52" s="222"/>
      <c r="B52" s="229"/>
      <c r="C52" s="224" t="s">
        <v>154</v>
      </c>
      <c r="D52" s="213">
        <f t="shared" si="21"/>
        <v>1</v>
      </c>
      <c r="E52" s="214" t="s">
        <v>82</v>
      </c>
      <c r="F52" s="225">
        <f>+F8</f>
        <v>0</v>
      </c>
      <c r="G52" s="216">
        <f>+(L52+M52)/2</f>
        <v>1.55</v>
      </c>
      <c r="H52" s="230" t="s">
        <v>156</v>
      </c>
      <c r="I52" s="216">
        <f>+I48+I49</f>
        <v>2.23</v>
      </c>
      <c r="J52" s="216">
        <f>ROUND((D52*I52*((0.3+0.9)/2)*G52*F52),2)</f>
        <v>0</v>
      </c>
      <c r="K52" s="225"/>
      <c r="L52" s="231">
        <f>+G8</f>
        <v>1</v>
      </c>
      <c r="M52" s="231">
        <f>+L52+1.1</f>
        <v>2.1</v>
      </c>
    </row>
    <row r="53" spans="1:14" s="226" customFormat="1" ht="14.1" hidden="1" customHeight="1">
      <c r="A53" s="222"/>
      <c r="B53" s="229"/>
      <c r="C53" s="228" t="s">
        <v>190</v>
      </c>
      <c r="D53" s="213">
        <f>+$N$5</f>
        <v>1</v>
      </c>
      <c r="E53" s="214" t="s">
        <v>82</v>
      </c>
      <c r="F53" s="210">
        <v>0</v>
      </c>
      <c r="G53" s="216">
        <v>2</v>
      </c>
      <c r="H53" s="215" t="s">
        <v>193</v>
      </c>
      <c r="I53" s="216">
        <v>3</v>
      </c>
      <c r="J53" s="216">
        <f>ROUND((D53*I53*((0.3+1.5)/2)*G53*F53),2)</f>
        <v>0</v>
      </c>
      <c r="K53" s="210"/>
      <c r="L53" s="231"/>
      <c r="M53" s="231"/>
    </row>
    <row r="54" spans="1:14" s="226" customFormat="1" ht="14.1" customHeight="1">
      <c r="A54" s="222"/>
      <c r="B54" s="227"/>
      <c r="C54" s="232"/>
      <c r="D54" s="210"/>
      <c r="E54" s="232"/>
      <c r="F54" s="225"/>
      <c r="G54" s="216"/>
      <c r="H54" s="225"/>
      <c r="I54" s="211" t="s">
        <v>2</v>
      </c>
      <c r="J54" s="233">
        <f>SUM(J48:J53)</f>
        <v>19.18</v>
      </c>
      <c r="K54" s="222"/>
    </row>
    <row r="55" spans="1:14" s="226" customFormat="1" ht="14.1" customHeight="1">
      <c r="A55" s="222"/>
      <c r="B55" s="227"/>
      <c r="C55" s="232"/>
      <c r="D55" s="210"/>
      <c r="E55" s="232"/>
      <c r="F55" s="225"/>
      <c r="G55" s="216"/>
      <c r="H55" s="225"/>
      <c r="I55" s="211" t="s">
        <v>55</v>
      </c>
      <c r="J55" s="205">
        <f>+ROUNDUP(J54,1)</f>
        <v>19.200000000000003</v>
      </c>
      <c r="K55" s="222" t="s">
        <v>4</v>
      </c>
    </row>
    <row r="56" spans="1:14" ht="111.75" customHeight="1">
      <c r="A56" s="207">
        <v>5</v>
      </c>
      <c r="B56" s="208" t="s">
        <v>18</v>
      </c>
      <c r="C56" s="218" t="s">
        <v>310</v>
      </c>
      <c r="D56" s="219"/>
      <c r="E56" s="218"/>
      <c r="F56" s="210"/>
      <c r="G56" s="211"/>
      <c r="H56" s="210"/>
      <c r="I56" s="211"/>
      <c r="J56" s="204"/>
      <c r="K56" s="234"/>
    </row>
    <row r="57" spans="1:14" s="226" customFormat="1" ht="21" customHeight="1">
      <c r="A57" s="222"/>
      <c r="B57" s="387" t="s">
        <v>400</v>
      </c>
      <c r="C57" s="387"/>
      <c r="D57" s="213">
        <f>+D6</f>
        <v>1</v>
      </c>
      <c r="E57" s="214" t="s">
        <v>82</v>
      </c>
      <c r="F57" s="210">
        <f>+F7+1</f>
        <v>1</v>
      </c>
      <c r="G57" s="388">
        <v>669.46100000000001</v>
      </c>
      <c r="H57" s="389"/>
      <c r="I57" s="390"/>
      <c r="J57" s="222">
        <v>670</v>
      </c>
      <c r="K57" s="222" t="s">
        <v>77</v>
      </c>
      <c r="L57" s="226" t="s">
        <v>189</v>
      </c>
      <c r="M57" s="235"/>
      <c r="N57" s="226">
        <f>2*92.3</f>
        <v>184.6</v>
      </c>
    </row>
    <row r="58" spans="1:14" s="226" customFormat="1" ht="144" hidden="1">
      <c r="A58" s="222"/>
      <c r="B58" s="236" t="s">
        <v>22</v>
      </c>
      <c r="C58" s="237" t="s">
        <v>311</v>
      </c>
      <c r="D58" s="238"/>
      <c r="E58" s="237"/>
      <c r="F58" s="225">
        <v>0</v>
      </c>
      <c r="G58" s="216">
        <v>27.3</v>
      </c>
      <c r="H58" s="225">
        <v>5</v>
      </c>
      <c r="I58" s="216">
        <v>0.23</v>
      </c>
      <c r="J58" s="216">
        <f>I58*H58*G58*F58</f>
        <v>0</v>
      </c>
      <c r="K58" s="222" t="s">
        <v>4</v>
      </c>
    </row>
    <row r="59" spans="1:14" ht="138.75" customHeight="1">
      <c r="A59" s="207">
        <v>6</v>
      </c>
      <c r="B59" s="239" t="s">
        <v>21</v>
      </c>
      <c r="C59" s="212" t="s">
        <v>312</v>
      </c>
      <c r="D59" s="213"/>
      <c r="E59" s="212"/>
      <c r="F59" s="210"/>
      <c r="G59" s="211"/>
      <c r="H59" s="210"/>
      <c r="I59" s="211"/>
      <c r="J59" s="210"/>
      <c r="K59" s="210"/>
    </row>
    <row r="60" spans="1:14">
      <c r="A60" s="207"/>
      <c r="B60" s="213"/>
      <c r="C60" s="253" t="s">
        <v>79</v>
      </c>
      <c r="D60" s="254">
        <v>1</v>
      </c>
      <c r="E60" s="255" t="s">
        <v>82</v>
      </c>
      <c r="F60" s="256">
        <v>1</v>
      </c>
      <c r="G60" s="252">
        <v>3.9000000000000004</v>
      </c>
      <c r="H60" s="252">
        <v>4.7</v>
      </c>
      <c r="I60" s="252">
        <v>0.32500000000000001</v>
      </c>
      <c r="J60" s="256">
        <v>5.96</v>
      </c>
      <c r="K60" s="210"/>
      <c r="L60" s="203">
        <f>9.8*3</f>
        <v>29.400000000000002</v>
      </c>
    </row>
    <row r="61" spans="1:14">
      <c r="A61" s="207"/>
      <c r="B61" s="213"/>
      <c r="C61" s="253" t="s">
        <v>71</v>
      </c>
      <c r="D61" s="254">
        <v>1</v>
      </c>
      <c r="E61" s="255" t="s">
        <v>82</v>
      </c>
      <c r="F61" s="256">
        <v>2</v>
      </c>
      <c r="G61" s="252"/>
      <c r="H61" s="252"/>
      <c r="I61" s="252">
        <v>0.72700000000000031</v>
      </c>
      <c r="J61" s="252">
        <v>0.72700000000000031</v>
      </c>
      <c r="K61" s="225"/>
    </row>
    <row r="62" spans="1:14">
      <c r="A62" s="207"/>
      <c r="B62" s="213"/>
      <c r="C62" s="257" t="s">
        <v>321</v>
      </c>
      <c r="D62" s="254">
        <v>1</v>
      </c>
      <c r="E62" s="255" t="s">
        <v>82</v>
      </c>
      <c r="F62" s="258">
        <v>2</v>
      </c>
      <c r="G62" s="259">
        <v>4.7</v>
      </c>
      <c r="H62" s="259">
        <v>0.45</v>
      </c>
      <c r="I62" s="259">
        <v>0.45</v>
      </c>
      <c r="J62" s="256">
        <v>1.9</v>
      </c>
      <c r="K62" s="225"/>
    </row>
    <row r="63" spans="1:14">
      <c r="A63" s="207"/>
      <c r="B63" s="213"/>
      <c r="C63" s="257" t="s">
        <v>320</v>
      </c>
      <c r="D63" s="254">
        <v>1</v>
      </c>
      <c r="E63" s="255" t="s">
        <v>82</v>
      </c>
      <c r="F63" s="258">
        <v>2</v>
      </c>
      <c r="G63" s="259">
        <v>4.7</v>
      </c>
      <c r="H63" s="258">
        <v>0.45</v>
      </c>
      <c r="I63" s="259">
        <v>0.77</v>
      </c>
      <c r="J63" s="256">
        <v>3.26</v>
      </c>
      <c r="K63" s="225"/>
    </row>
    <row r="64" spans="1:14">
      <c r="A64" s="207"/>
      <c r="B64" s="213"/>
      <c r="C64" s="260" t="s">
        <v>76</v>
      </c>
      <c r="D64" s="254">
        <v>1</v>
      </c>
      <c r="E64" s="255" t="s">
        <v>82</v>
      </c>
      <c r="F64" s="258">
        <v>2</v>
      </c>
      <c r="G64" s="259">
        <v>3.9</v>
      </c>
      <c r="H64" s="259">
        <v>0.16250000000000001</v>
      </c>
      <c r="I64" s="259">
        <v>0.375</v>
      </c>
      <c r="J64" s="256">
        <v>0.48</v>
      </c>
      <c r="K64" s="225"/>
    </row>
    <row r="65" spans="1:11">
      <c r="A65" s="207"/>
      <c r="B65" s="213"/>
      <c r="C65" s="212"/>
      <c r="D65" s="213"/>
      <c r="E65" s="212"/>
      <c r="F65" s="210"/>
      <c r="G65" s="211"/>
      <c r="H65" s="210"/>
      <c r="I65" s="211" t="s">
        <v>2</v>
      </c>
      <c r="J65" s="211">
        <f>SUM(J60:J64)</f>
        <v>12.327</v>
      </c>
      <c r="K65" s="210"/>
    </row>
    <row r="66" spans="1:11">
      <c r="A66" s="207"/>
      <c r="B66" s="240"/>
      <c r="C66" s="218"/>
      <c r="D66" s="219"/>
      <c r="E66" s="218"/>
      <c r="F66" s="210"/>
      <c r="G66" s="211"/>
      <c r="H66" s="210"/>
      <c r="I66" s="211" t="s">
        <v>80</v>
      </c>
      <c r="J66" s="205">
        <f>+ROUNDUP(J65,1)</f>
        <v>12.4</v>
      </c>
      <c r="K66" s="204" t="s">
        <v>4</v>
      </c>
    </row>
    <row r="67" spans="1:11" ht="217.9" customHeight="1">
      <c r="A67" s="207">
        <v>7</v>
      </c>
      <c r="B67" s="240" t="s">
        <v>22</v>
      </c>
      <c r="C67" s="212" t="s">
        <v>313</v>
      </c>
      <c r="D67" s="213">
        <f t="shared" ref="D67" si="23">+$D$6</f>
        <v>1</v>
      </c>
      <c r="E67" s="213" t="s">
        <v>82</v>
      </c>
      <c r="F67" s="210">
        <f>+F60</f>
        <v>1</v>
      </c>
      <c r="G67" s="211">
        <f>+G60</f>
        <v>3.9000000000000004</v>
      </c>
      <c r="H67" s="211">
        <v>4.25</v>
      </c>
      <c r="I67" s="256">
        <f>(+(87.5+62.5+62.5)/3)/1000</f>
        <v>7.0833333333333331E-2</v>
      </c>
      <c r="J67" s="210">
        <f t="shared" ref="J67:J73" si="24">ROUND((D67*F67*G67*H67*I67),2)</f>
        <v>1.17</v>
      </c>
      <c r="K67" s="210"/>
    </row>
    <row r="68" spans="1:11" ht="17.45" customHeight="1">
      <c r="A68" s="207"/>
      <c r="B68" s="240"/>
      <c r="C68" s="212"/>
      <c r="D68" s="213"/>
      <c r="E68" s="213"/>
      <c r="F68" s="210"/>
      <c r="G68" s="211"/>
      <c r="H68" s="211"/>
      <c r="I68" s="211" t="s">
        <v>80</v>
      </c>
      <c r="J68" s="205">
        <f>+ROUNDUP(J67,1)</f>
        <v>1.2000000000000002</v>
      </c>
      <c r="K68" s="204" t="s">
        <v>4</v>
      </c>
    </row>
    <row r="69" spans="1:11" ht="123" customHeight="1">
      <c r="A69" s="207">
        <v>8</v>
      </c>
      <c r="B69" s="240" t="s">
        <v>15</v>
      </c>
      <c r="C69" s="212" t="s">
        <v>147</v>
      </c>
      <c r="D69" s="213">
        <v>1</v>
      </c>
      <c r="E69" s="213" t="s">
        <v>82</v>
      </c>
      <c r="F69" s="210">
        <v>2</v>
      </c>
      <c r="G69" s="211">
        <v>4.7</v>
      </c>
      <c r="H69" s="211">
        <v>0.9</v>
      </c>
      <c r="I69" s="211">
        <v>2.5</v>
      </c>
      <c r="J69" s="210">
        <f t="shared" si="24"/>
        <v>21.15</v>
      </c>
      <c r="K69" s="210"/>
    </row>
    <row r="70" spans="1:11" ht="15" customHeight="1">
      <c r="A70" s="322"/>
      <c r="B70" s="322"/>
      <c r="C70" s="322" t="s">
        <v>322</v>
      </c>
      <c r="D70" s="213">
        <v>1</v>
      </c>
      <c r="E70" s="214" t="s">
        <v>82</v>
      </c>
      <c r="F70" s="210">
        <v>2</v>
      </c>
      <c r="G70" s="211">
        <v>6</v>
      </c>
      <c r="H70" s="211">
        <v>4.25</v>
      </c>
      <c r="I70" s="216">
        <v>0.3</v>
      </c>
      <c r="J70" s="210">
        <f t="shared" si="24"/>
        <v>15.3</v>
      </c>
      <c r="K70" s="210"/>
    </row>
    <row r="71" spans="1:11" ht="15" customHeight="1">
      <c r="A71" s="322"/>
      <c r="B71" s="322"/>
      <c r="C71" s="322" t="s">
        <v>371</v>
      </c>
      <c r="D71" s="213">
        <v>1</v>
      </c>
      <c r="E71" s="214" t="s">
        <v>82</v>
      </c>
      <c r="F71" s="210">
        <v>1</v>
      </c>
      <c r="G71" s="211">
        <v>5</v>
      </c>
      <c r="H71" s="211">
        <v>5</v>
      </c>
      <c r="I71" s="216">
        <v>0.15</v>
      </c>
      <c r="J71" s="210">
        <f t="shared" si="24"/>
        <v>3.75</v>
      </c>
      <c r="K71" s="210"/>
    </row>
    <row r="72" spans="1:11" ht="15" customHeight="1">
      <c r="A72" s="322"/>
      <c r="B72" s="322"/>
      <c r="C72" s="322" t="s">
        <v>372</v>
      </c>
      <c r="D72" s="213">
        <v>1</v>
      </c>
      <c r="E72" s="214" t="s">
        <v>82</v>
      </c>
      <c r="F72" s="210">
        <v>1</v>
      </c>
      <c r="G72" s="211">
        <v>5</v>
      </c>
      <c r="H72" s="211">
        <v>5</v>
      </c>
      <c r="I72" s="216">
        <v>0.15</v>
      </c>
      <c r="J72" s="210">
        <f t="shared" si="24"/>
        <v>3.75</v>
      </c>
      <c r="K72" s="210"/>
    </row>
    <row r="73" spans="1:11" ht="15" customHeight="1">
      <c r="A73" s="322"/>
      <c r="B73" s="322"/>
      <c r="C73" s="322"/>
      <c r="D73" s="213">
        <v>1</v>
      </c>
      <c r="E73" s="214" t="s">
        <v>82</v>
      </c>
      <c r="F73" s="210">
        <v>1</v>
      </c>
      <c r="G73" s="211">
        <v>3</v>
      </c>
      <c r="H73" s="211">
        <v>4.7</v>
      </c>
      <c r="I73" s="216">
        <v>0.15</v>
      </c>
      <c r="J73" s="210">
        <f t="shared" si="24"/>
        <v>2.12</v>
      </c>
      <c r="K73" s="210"/>
    </row>
    <row r="74" spans="1:11" ht="15" customHeight="1">
      <c r="A74" s="322"/>
      <c r="B74" s="322"/>
      <c r="C74" s="322"/>
      <c r="D74" s="213"/>
      <c r="E74" s="214"/>
      <c r="F74" s="210"/>
      <c r="G74" s="211"/>
      <c r="H74" s="211"/>
      <c r="I74" s="211" t="s">
        <v>2</v>
      </c>
      <c r="J74" s="211">
        <f>SUM(J69:J73)</f>
        <v>46.07</v>
      </c>
      <c r="K74" s="210"/>
    </row>
    <row r="75" spans="1:11">
      <c r="A75" s="207"/>
      <c r="B75" s="236"/>
      <c r="C75" s="218"/>
      <c r="D75" s="218"/>
      <c r="E75" s="218"/>
      <c r="F75" s="210"/>
      <c r="G75" s="211"/>
      <c r="H75" s="210"/>
      <c r="I75" s="211" t="s">
        <v>80</v>
      </c>
      <c r="J75" s="205">
        <f>+ROUNDUP(J74,1)</f>
        <v>46.1</v>
      </c>
      <c r="K75" s="204" t="s">
        <v>4</v>
      </c>
    </row>
    <row r="76" spans="1:11" ht="58.15" customHeight="1">
      <c r="A76" s="207">
        <v>9</v>
      </c>
      <c r="B76" s="236" t="s">
        <v>199</v>
      </c>
      <c r="C76" s="212" t="s">
        <v>200</v>
      </c>
      <c r="D76" s="218"/>
      <c r="E76" s="218"/>
      <c r="F76" s="210"/>
      <c r="G76" s="211"/>
      <c r="H76" s="210"/>
      <c r="I76" s="211"/>
      <c r="J76" s="205"/>
      <c r="K76" s="204"/>
    </row>
    <row r="77" spans="1:11" ht="16.899999999999999" customHeight="1">
      <c r="A77" s="207"/>
      <c r="B77" s="236"/>
      <c r="C77" s="218" t="s">
        <v>194</v>
      </c>
      <c r="D77" s="213">
        <v>1</v>
      </c>
      <c r="E77" s="214" t="s">
        <v>82</v>
      </c>
      <c r="F77" s="210">
        <v>1</v>
      </c>
      <c r="G77" s="211">
        <v>5</v>
      </c>
      <c r="H77" s="211">
        <v>5</v>
      </c>
      <c r="I77" s="216">
        <v>0.3</v>
      </c>
      <c r="J77" s="210">
        <f t="shared" ref="J77:J79" si="25">ROUND((D77*F77*G77*H77*I77),2)</f>
        <v>7.5</v>
      </c>
      <c r="K77" s="210"/>
    </row>
    <row r="78" spans="1:11" ht="15.6" customHeight="1">
      <c r="A78" s="207"/>
      <c r="B78" s="236"/>
      <c r="C78" s="218"/>
      <c r="D78" s="213">
        <v>1</v>
      </c>
      <c r="E78" s="214" t="s">
        <v>82</v>
      </c>
      <c r="F78" s="210">
        <v>1</v>
      </c>
      <c r="G78" s="211">
        <v>5</v>
      </c>
      <c r="H78" s="211">
        <v>5</v>
      </c>
      <c r="I78" s="216">
        <v>0.3</v>
      </c>
      <c r="J78" s="210">
        <f t="shared" si="25"/>
        <v>7.5</v>
      </c>
      <c r="K78" s="210"/>
    </row>
    <row r="79" spans="1:11" ht="15" customHeight="1">
      <c r="A79" s="207"/>
      <c r="B79" s="236"/>
      <c r="C79" s="218"/>
      <c r="D79" s="213">
        <v>1</v>
      </c>
      <c r="E79" s="214" t="s">
        <v>82</v>
      </c>
      <c r="F79" s="210">
        <v>1</v>
      </c>
      <c r="G79" s="211">
        <v>3</v>
      </c>
      <c r="H79" s="211">
        <v>4.7</v>
      </c>
      <c r="I79" s="216">
        <v>0.3</v>
      </c>
      <c r="J79" s="210">
        <f t="shared" si="25"/>
        <v>4.2300000000000004</v>
      </c>
      <c r="K79" s="210"/>
    </row>
    <row r="80" spans="1:11" ht="15" customHeight="1">
      <c r="A80" s="207"/>
      <c r="B80" s="236"/>
      <c r="C80" s="218"/>
      <c r="D80" s="213"/>
      <c r="E80" s="214"/>
      <c r="F80" s="210"/>
      <c r="G80" s="211"/>
      <c r="H80" s="211"/>
      <c r="I80" s="211" t="s">
        <v>2</v>
      </c>
      <c r="J80" s="211">
        <f>SUM(J77:J79)</f>
        <v>19.23</v>
      </c>
      <c r="K80" s="210"/>
    </row>
    <row r="81" spans="1:12" ht="20.45" customHeight="1">
      <c r="A81" s="207"/>
      <c r="B81" s="236"/>
      <c r="C81" s="218"/>
      <c r="D81" s="218"/>
      <c r="E81" s="218"/>
      <c r="F81" s="210"/>
      <c r="G81" s="211"/>
      <c r="H81" s="211"/>
      <c r="I81" s="211" t="s">
        <v>80</v>
      </c>
      <c r="J81" s="205">
        <f>+ROUNDUP(J80,1)</f>
        <v>19.3</v>
      </c>
      <c r="K81" s="204" t="s">
        <v>4</v>
      </c>
    </row>
    <row r="82" spans="1:12" ht="96.6" hidden="1" customHeight="1">
      <c r="A82" s="207">
        <v>11</v>
      </c>
      <c r="B82" s="236" t="e">
        <f>+#REF!</f>
        <v>#REF!</v>
      </c>
      <c r="C82" s="218" t="e">
        <f>+#REF!</f>
        <v>#REF!</v>
      </c>
      <c r="D82" s="213">
        <f>+$N$5</f>
        <v>1</v>
      </c>
      <c r="E82" s="213" t="s">
        <v>82</v>
      </c>
      <c r="F82" s="210">
        <v>0</v>
      </c>
      <c r="G82" s="211">
        <v>10</v>
      </c>
      <c r="H82" s="211">
        <v>1</v>
      </c>
      <c r="I82" s="211">
        <v>0.3</v>
      </c>
      <c r="J82" s="210">
        <f>ROUND((D82*F82*G82*H82*I82),2)</f>
        <v>0</v>
      </c>
      <c r="K82" s="210" t="s">
        <v>306</v>
      </c>
      <c r="L82" s="203" t="s">
        <v>202</v>
      </c>
    </row>
    <row r="83" spans="1:12" hidden="1">
      <c r="A83" s="207">
        <v>12</v>
      </c>
      <c r="B83" s="241" t="e">
        <f>+#REF!</f>
        <v>#REF!</v>
      </c>
      <c r="C83" s="218" t="e">
        <f>+#REF!</f>
        <v>#REF!</v>
      </c>
      <c r="D83" s="213">
        <f>+$N$5</f>
        <v>1</v>
      </c>
      <c r="E83" s="213" t="s">
        <v>82</v>
      </c>
      <c r="F83" s="210">
        <v>0</v>
      </c>
      <c r="G83" s="211">
        <v>10</v>
      </c>
      <c r="H83" s="211">
        <v>5</v>
      </c>
      <c r="I83" s="211">
        <v>0.3</v>
      </c>
      <c r="J83" s="210">
        <f>ROUND((D83*F83*G83*H83*I83),2)</f>
        <v>0</v>
      </c>
      <c r="K83" s="204" t="s">
        <v>4</v>
      </c>
    </row>
    <row r="84" spans="1:12">
      <c r="A84" s="244"/>
      <c r="B84" s="245"/>
      <c r="C84" s="246"/>
      <c r="D84" s="239"/>
      <c r="E84" s="239"/>
      <c r="F84" s="247"/>
      <c r="G84" s="248"/>
      <c r="H84" s="249"/>
      <c r="I84" s="248"/>
      <c r="J84" s="247"/>
      <c r="K84" s="250"/>
    </row>
    <row r="85" spans="1:12" ht="35.25" customHeight="1"/>
  </sheetData>
  <mergeCells count="19">
    <mergeCell ref="D3:F4"/>
    <mergeCell ref="H26:I26"/>
    <mergeCell ref="H27:I27"/>
    <mergeCell ref="H28:I28"/>
    <mergeCell ref="A1:K1"/>
    <mergeCell ref="A2:B2"/>
    <mergeCell ref="C2:K2"/>
    <mergeCell ref="A3:A4"/>
    <mergeCell ref="B3:B4"/>
    <mergeCell ref="C3:C4"/>
    <mergeCell ref="G3:G4"/>
    <mergeCell ref="H3:H4"/>
    <mergeCell ref="I3:I4"/>
    <mergeCell ref="J3:K4"/>
    <mergeCell ref="B57:C57"/>
    <mergeCell ref="G57:I57"/>
    <mergeCell ref="H40:I40"/>
    <mergeCell ref="H41:I41"/>
    <mergeCell ref="H42:I42"/>
  </mergeCells>
  <printOptions horizontalCentered="1"/>
  <pageMargins left="0.1968" right="0.196850393700787" top="0.90551181102362199" bottom="0.87" header="0.31496062992126" footer="0.23622047244094499"/>
  <pageSetup paperSize="9" scale="80" orientation="portrait" r:id="rId1"/>
  <rowBreaks count="1" manualBreakCount="1">
    <brk id="58" max="10" man="1"/>
  </rowBreaks>
</worksheet>
</file>

<file path=xl/worksheets/sheet6.xml><?xml version="1.0" encoding="utf-8"?>
<worksheet xmlns="http://schemas.openxmlformats.org/spreadsheetml/2006/main" xmlns:r="http://schemas.openxmlformats.org/officeDocument/2006/relationships">
  <dimension ref="A2:G640"/>
  <sheetViews>
    <sheetView view="pageBreakPreview" zoomScale="75" zoomScaleNormal="70" zoomScaleSheetLayoutView="75" workbookViewId="0">
      <selection activeCell="V29" sqref="V29"/>
    </sheetView>
  </sheetViews>
  <sheetFormatPr defaultRowHeight="12.75"/>
  <cols>
    <col min="1" max="1" width="14.28515625" style="23" customWidth="1"/>
    <col min="2" max="2" width="7.5703125" customWidth="1"/>
    <col min="3" max="3" width="31.85546875" customWidth="1"/>
    <col min="4" max="4" width="8.28515625" customWidth="1"/>
    <col min="5" max="5" width="8.85546875" customWidth="1"/>
    <col min="6" max="6" width="7.28515625" customWidth="1"/>
    <col min="7" max="7" width="9.140625" customWidth="1"/>
  </cols>
  <sheetData>
    <row r="2" spans="1:7">
      <c r="C2" s="32" t="s">
        <v>632</v>
      </c>
    </row>
    <row r="4" spans="1:7">
      <c r="A4" s="343" t="s">
        <v>17</v>
      </c>
      <c r="B4" s="411" t="s">
        <v>423</v>
      </c>
      <c r="C4" s="412"/>
      <c r="D4" s="412"/>
      <c r="E4" s="412"/>
      <c r="F4" s="412"/>
      <c r="G4" s="413"/>
    </row>
    <row r="5" spans="1:7">
      <c r="A5" s="344"/>
      <c r="B5" s="414"/>
      <c r="C5" s="415"/>
      <c r="D5" s="415"/>
      <c r="E5" s="415"/>
      <c r="F5" s="415"/>
      <c r="G5" s="416"/>
    </row>
    <row r="6" spans="1:7">
      <c r="A6" s="344"/>
      <c r="B6" s="414"/>
      <c r="C6" s="415"/>
      <c r="D6" s="415"/>
      <c r="E6" s="415"/>
      <c r="F6" s="415"/>
      <c r="G6" s="416"/>
    </row>
    <row r="7" spans="1:7" ht="4.9000000000000004" customHeight="1">
      <c r="A7" s="344"/>
      <c r="B7" s="414"/>
      <c r="C7" s="415"/>
      <c r="D7" s="415"/>
      <c r="E7" s="415"/>
      <c r="F7" s="415"/>
      <c r="G7" s="416"/>
    </row>
    <row r="8" spans="1:7" ht="12" customHeight="1">
      <c r="A8" s="345"/>
      <c r="B8" s="417"/>
      <c r="C8" s="418"/>
      <c r="D8" s="418"/>
      <c r="E8" s="418"/>
      <c r="F8" s="418"/>
      <c r="G8" s="419"/>
    </row>
    <row r="9" spans="1:7">
      <c r="A9" s="343"/>
      <c r="B9" t="s">
        <v>404</v>
      </c>
      <c r="G9" s="36"/>
    </row>
    <row r="10" spans="1:7">
      <c r="A10" s="344" t="s">
        <v>87</v>
      </c>
      <c r="B10" t="s">
        <v>405</v>
      </c>
      <c r="D10" t="s">
        <v>5</v>
      </c>
      <c r="E10">
        <v>240</v>
      </c>
      <c r="F10" t="s">
        <v>163</v>
      </c>
      <c r="G10" s="36"/>
    </row>
    <row r="11" spans="1:7">
      <c r="A11" s="344"/>
      <c r="B11" t="s">
        <v>406</v>
      </c>
      <c r="G11" s="36"/>
    </row>
    <row r="12" spans="1:7">
      <c r="A12" s="344"/>
      <c r="B12" t="s">
        <v>165</v>
      </c>
      <c r="C12" t="s">
        <v>8</v>
      </c>
      <c r="D12" t="s">
        <v>5</v>
      </c>
      <c r="E12" t="s">
        <v>166</v>
      </c>
      <c r="F12" t="s">
        <v>6</v>
      </c>
      <c r="G12" s="36" t="s">
        <v>7</v>
      </c>
    </row>
    <row r="13" spans="1:7">
      <c r="A13" s="344"/>
      <c r="F13" t="s">
        <v>167</v>
      </c>
      <c r="G13" s="36" t="s">
        <v>167</v>
      </c>
    </row>
    <row r="14" spans="1:7">
      <c r="A14" s="344"/>
      <c r="C14" t="s">
        <v>407</v>
      </c>
      <c r="E14">
        <v>0</v>
      </c>
      <c r="F14">
        <v>0</v>
      </c>
      <c r="G14" s="36">
        <v>0</v>
      </c>
    </row>
    <row r="15" spans="1:7">
      <c r="A15" s="344"/>
      <c r="B15" t="s">
        <v>168</v>
      </c>
      <c r="F15" t="s">
        <v>169</v>
      </c>
      <c r="G15" s="36">
        <v>0</v>
      </c>
    </row>
    <row r="16" spans="1:7">
      <c r="A16" s="344"/>
      <c r="G16" s="36"/>
    </row>
    <row r="17" spans="1:7">
      <c r="A17" s="344"/>
      <c r="B17" t="s">
        <v>408</v>
      </c>
      <c r="G17" s="36"/>
    </row>
    <row r="18" spans="1:7">
      <c r="A18" s="344"/>
      <c r="B18" t="s">
        <v>165</v>
      </c>
      <c r="C18" t="s">
        <v>8</v>
      </c>
      <c r="D18" t="s">
        <v>5</v>
      </c>
      <c r="E18" t="s">
        <v>166</v>
      </c>
      <c r="F18" t="s">
        <v>6</v>
      </c>
      <c r="G18" s="36" t="s">
        <v>7</v>
      </c>
    </row>
    <row r="19" spans="1:7">
      <c r="A19" s="344"/>
      <c r="F19" t="s">
        <v>167</v>
      </c>
      <c r="G19" s="36" t="s">
        <v>167</v>
      </c>
    </row>
    <row r="20" spans="1:7">
      <c r="A20" s="344"/>
      <c r="B20">
        <v>1</v>
      </c>
      <c r="C20" s="340" t="s">
        <v>409</v>
      </c>
      <c r="D20" t="s">
        <v>410</v>
      </c>
      <c r="E20">
        <v>6</v>
      </c>
      <c r="F20">
        <v>1709.2</v>
      </c>
      <c r="G20" s="36">
        <v>10255.200000000001</v>
      </c>
    </row>
    <row r="21" spans="1:7">
      <c r="A21" s="344"/>
      <c r="C21" t="s">
        <v>411</v>
      </c>
      <c r="D21" t="s">
        <v>410</v>
      </c>
      <c r="E21">
        <v>6</v>
      </c>
      <c r="F21">
        <v>1503.9</v>
      </c>
      <c r="G21" s="36">
        <v>9023.4000000000015</v>
      </c>
    </row>
    <row r="22" spans="1:7">
      <c r="A22" s="344"/>
      <c r="B22" t="s">
        <v>171</v>
      </c>
      <c r="F22" t="s">
        <v>169</v>
      </c>
      <c r="G22" s="36">
        <v>19278.600000000002</v>
      </c>
    </row>
    <row r="23" spans="1:7">
      <c r="A23" s="344"/>
      <c r="G23" s="36"/>
    </row>
    <row r="24" spans="1:7">
      <c r="A24" s="344"/>
      <c r="B24" t="s">
        <v>412</v>
      </c>
      <c r="G24" s="36"/>
    </row>
    <row r="25" spans="1:7">
      <c r="A25" s="344"/>
      <c r="B25" t="s">
        <v>165</v>
      </c>
      <c r="C25" t="s">
        <v>8</v>
      </c>
      <c r="D25" t="s">
        <v>5</v>
      </c>
      <c r="E25" t="s">
        <v>166</v>
      </c>
      <c r="F25" t="s">
        <v>6</v>
      </c>
      <c r="G25" s="36" t="s">
        <v>7</v>
      </c>
    </row>
    <row r="26" spans="1:7">
      <c r="A26" s="344"/>
      <c r="F26" t="s">
        <v>167</v>
      </c>
      <c r="G26" s="36" t="s">
        <v>167</v>
      </c>
    </row>
    <row r="27" spans="1:7">
      <c r="A27" s="344"/>
      <c r="B27">
        <v>1</v>
      </c>
      <c r="C27" t="s">
        <v>413</v>
      </c>
      <c r="D27" t="s">
        <v>414</v>
      </c>
      <c r="E27">
        <v>0.32</v>
      </c>
      <c r="F27">
        <v>730</v>
      </c>
      <c r="G27" s="36">
        <v>233.6</v>
      </c>
    </row>
    <row r="28" spans="1:7">
      <c r="A28" s="344"/>
      <c r="B28">
        <v>2</v>
      </c>
      <c r="C28" t="s">
        <v>415</v>
      </c>
      <c r="D28" t="s">
        <v>414</v>
      </c>
      <c r="E28">
        <v>8</v>
      </c>
      <c r="F28">
        <v>560</v>
      </c>
      <c r="G28" s="36">
        <v>4480</v>
      </c>
    </row>
    <row r="29" spans="1:7">
      <c r="A29" s="344"/>
      <c r="B29">
        <v>3</v>
      </c>
      <c r="C29" t="s">
        <v>416</v>
      </c>
      <c r="D29" t="s">
        <v>410</v>
      </c>
      <c r="E29">
        <v>6</v>
      </c>
      <c r="F29">
        <v>348.4</v>
      </c>
      <c r="G29" s="36">
        <v>2090.3999999999996</v>
      </c>
    </row>
    <row r="30" spans="1:7">
      <c r="A30" s="344"/>
      <c r="B30" t="s">
        <v>175</v>
      </c>
      <c r="F30" t="s">
        <v>169</v>
      </c>
      <c r="G30" s="36">
        <v>6804</v>
      </c>
    </row>
    <row r="31" spans="1:7">
      <c r="A31" s="344"/>
      <c r="B31" t="s">
        <v>176</v>
      </c>
      <c r="E31">
        <v>28.4</v>
      </c>
      <c r="G31" s="36"/>
    </row>
    <row r="32" spans="1:7">
      <c r="A32" s="344"/>
      <c r="B32" t="s">
        <v>177</v>
      </c>
      <c r="D32">
        <v>0.13615000000000002</v>
      </c>
      <c r="E32">
        <v>3.9</v>
      </c>
      <c r="G32" s="36"/>
    </row>
    <row r="33" spans="1:7">
      <c r="A33" s="344"/>
      <c r="B33" t="s">
        <v>178</v>
      </c>
      <c r="E33">
        <v>32.299999999999997</v>
      </c>
      <c r="G33" s="36"/>
    </row>
    <row r="34" spans="1:7">
      <c r="A34" s="344"/>
      <c r="G34" s="36"/>
    </row>
    <row r="35" spans="1:7">
      <c r="A35" s="344"/>
      <c r="B35" t="s">
        <v>417</v>
      </c>
      <c r="G35" s="36"/>
    </row>
    <row r="36" spans="1:7">
      <c r="A36" s="344"/>
      <c r="B36" t="s">
        <v>418</v>
      </c>
      <c r="F36" t="s">
        <v>419</v>
      </c>
      <c r="G36" s="36">
        <v>0</v>
      </c>
    </row>
    <row r="37" spans="1:7">
      <c r="A37" s="344"/>
      <c r="B37" t="s">
        <v>420</v>
      </c>
      <c r="F37" t="s">
        <v>419</v>
      </c>
      <c r="G37" s="36">
        <v>19278.600000000002</v>
      </c>
    </row>
    <row r="38" spans="1:7">
      <c r="A38" s="344"/>
      <c r="B38" t="s">
        <v>421</v>
      </c>
      <c r="F38" t="s">
        <v>419</v>
      </c>
      <c r="G38" s="36">
        <v>6804</v>
      </c>
    </row>
    <row r="39" spans="1:7">
      <c r="A39" s="344"/>
      <c r="B39" t="s">
        <v>2</v>
      </c>
      <c r="F39" t="s">
        <v>419</v>
      </c>
      <c r="G39" s="36">
        <v>26082.600000000002</v>
      </c>
    </row>
    <row r="40" spans="1:7">
      <c r="A40" s="344"/>
      <c r="B40" t="s">
        <v>184</v>
      </c>
      <c r="E40">
        <v>0.13615000000000002</v>
      </c>
      <c r="F40" t="s">
        <v>169</v>
      </c>
      <c r="G40" s="36">
        <v>3551.15</v>
      </c>
    </row>
    <row r="41" spans="1:7">
      <c r="A41" s="344"/>
      <c r="B41" t="s">
        <v>185</v>
      </c>
      <c r="D41">
        <v>240</v>
      </c>
      <c r="E41" t="s">
        <v>163</v>
      </c>
      <c r="F41" t="s">
        <v>169</v>
      </c>
      <c r="G41" s="36">
        <v>29633.750000000004</v>
      </c>
    </row>
    <row r="42" spans="1:7">
      <c r="A42" s="345"/>
      <c r="B42" s="35" t="s">
        <v>186</v>
      </c>
      <c r="C42" s="35" t="s">
        <v>163</v>
      </c>
      <c r="D42" s="35" t="s">
        <v>422</v>
      </c>
      <c r="E42" s="35"/>
      <c r="F42" s="35" t="s">
        <v>187</v>
      </c>
      <c r="G42" s="342">
        <v>123.5</v>
      </c>
    </row>
    <row r="44" spans="1:7">
      <c r="A44" s="343" t="s">
        <v>1</v>
      </c>
      <c r="B44" s="411" t="s">
        <v>625</v>
      </c>
      <c r="C44" s="412"/>
      <c r="D44" s="412"/>
      <c r="E44" s="412"/>
      <c r="F44" s="412"/>
      <c r="G44" s="413"/>
    </row>
    <row r="45" spans="1:7">
      <c r="A45" s="344" t="s">
        <v>424</v>
      </c>
      <c r="B45" s="414"/>
      <c r="C45" s="415"/>
      <c r="D45" s="415"/>
      <c r="E45" s="415"/>
      <c r="F45" s="415"/>
      <c r="G45" s="416"/>
    </row>
    <row r="46" spans="1:7" ht="19.149999999999999" customHeight="1">
      <c r="A46" s="344"/>
      <c r="B46" s="417"/>
      <c r="C46" s="418"/>
      <c r="D46" s="418"/>
      <c r="E46" s="418"/>
      <c r="F46" s="418"/>
      <c r="G46" s="419"/>
    </row>
    <row r="47" spans="1:7" hidden="1">
      <c r="A47" s="339" t="s">
        <v>87</v>
      </c>
      <c r="B47" t="s">
        <v>425</v>
      </c>
      <c r="G47" s="36"/>
    </row>
    <row r="48" spans="1:7" hidden="1">
      <c r="A48" s="339"/>
      <c r="B48" t="s">
        <v>426</v>
      </c>
      <c r="F48">
        <v>100</v>
      </c>
      <c r="G48" s="36" t="s">
        <v>163</v>
      </c>
    </row>
    <row r="49" spans="1:7" hidden="1">
      <c r="A49" s="339"/>
      <c r="B49" t="s">
        <v>427</v>
      </c>
      <c r="G49" s="36"/>
    </row>
    <row r="50" spans="1:7" hidden="1">
      <c r="A50" s="339"/>
      <c r="B50" t="s">
        <v>428</v>
      </c>
      <c r="G50" s="36"/>
    </row>
    <row r="51" spans="1:7" ht="15.6" hidden="1" customHeight="1">
      <c r="A51" s="339"/>
      <c r="G51" s="36"/>
    </row>
    <row r="52" spans="1:7">
      <c r="A52" s="343" t="s">
        <v>195</v>
      </c>
      <c r="C52" t="s">
        <v>161</v>
      </c>
      <c r="E52" t="s">
        <v>162</v>
      </c>
      <c r="F52">
        <v>100</v>
      </c>
      <c r="G52" s="36" t="s">
        <v>163</v>
      </c>
    </row>
    <row r="53" spans="1:7">
      <c r="A53" s="344"/>
      <c r="B53" t="s">
        <v>164</v>
      </c>
      <c r="G53" s="36"/>
    </row>
    <row r="54" spans="1:7">
      <c r="A54" s="344"/>
      <c r="B54" t="s">
        <v>165</v>
      </c>
      <c r="C54" t="s">
        <v>196</v>
      </c>
      <c r="D54" t="s">
        <v>5</v>
      </c>
      <c r="E54" t="s">
        <v>166</v>
      </c>
      <c r="F54" t="s">
        <v>6</v>
      </c>
      <c r="G54" s="36" t="s">
        <v>7</v>
      </c>
    </row>
    <row r="55" spans="1:7">
      <c r="A55" s="344"/>
      <c r="F55" t="s">
        <v>167</v>
      </c>
      <c r="G55" s="36" t="s">
        <v>167</v>
      </c>
    </row>
    <row r="56" spans="1:7">
      <c r="A56" s="344"/>
      <c r="B56">
        <v>1</v>
      </c>
      <c r="C56" s="1" t="s">
        <v>429</v>
      </c>
      <c r="D56" t="s">
        <v>163</v>
      </c>
      <c r="E56">
        <v>100</v>
      </c>
      <c r="F56">
        <v>460</v>
      </c>
      <c r="G56" s="36">
        <v>46000</v>
      </c>
    </row>
    <row r="57" spans="1:7">
      <c r="A57" s="344"/>
      <c r="E57">
        <v>0</v>
      </c>
      <c r="F57">
        <v>0</v>
      </c>
      <c r="G57" s="36">
        <v>0</v>
      </c>
    </row>
    <row r="58" spans="1:7">
      <c r="A58" s="344"/>
      <c r="B58" t="s">
        <v>168</v>
      </c>
      <c r="F58" t="s">
        <v>169</v>
      </c>
      <c r="G58" s="36">
        <v>46000</v>
      </c>
    </row>
    <row r="59" spans="1:7">
      <c r="A59" s="344"/>
      <c r="G59" s="36"/>
    </row>
    <row r="60" spans="1:7">
      <c r="A60" s="344"/>
      <c r="B60" t="s">
        <v>170</v>
      </c>
      <c r="G60" s="36"/>
    </row>
    <row r="61" spans="1:7">
      <c r="A61" s="344"/>
      <c r="B61" t="s">
        <v>165</v>
      </c>
      <c r="C61" t="s">
        <v>8</v>
      </c>
      <c r="D61" t="s">
        <v>5</v>
      </c>
      <c r="E61" t="s">
        <v>166</v>
      </c>
      <c r="F61" t="s">
        <v>6</v>
      </c>
      <c r="G61" s="36" t="s">
        <v>7</v>
      </c>
    </row>
    <row r="62" spans="1:7">
      <c r="A62" s="344"/>
      <c r="F62" t="s">
        <v>167</v>
      </c>
      <c r="G62" s="36" t="s">
        <v>167</v>
      </c>
    </row>
    <row r="63" spans="1:7">
      <c r="A63" s="344"/>
      <c r="B63">
        <v>1</v>
      </c>
      <c r="C63" t="s">
        <v>198</v>
      </c>
      <c r="E63">
        <v>0</v>
      </c>
      <c r="F63">
        <v>0</v>
      </c>
      <c r="G63" s="36">
        <v>0</v>
      </c>
    </row>
    <row r="64" spans="1:7">
      <c r="A64" s="344"/>
      <c r="E64">
        <v>0</v>
      </c>
      <c r="F64">
        <v>0</v>
      </c>
      <c r="G64" s="36">
        <v>0</v>
      </c>
    </row>
    <row r="65" spans="1:7">
      <c r="A65" s="344"/>
      <c r="B65" t="s">
        <v>171</v>
      </c>
      <c r="F65" t="s">
        <v>169</v>
      </c>
      <c r="G65" s="36">
        <v>0</v>
      </c>
    </row>
    <row r="66" spans="1:7">
      <c r="A66" s="344"/>
      <c r="G66" s="36"/>
    </row>
    <row r="67" spans="1:7">
      <c r="A67" s="344"/>
      <c r="B67" t="s">
        <v>172</v>
      </c>
      <c r="G67" s="36"/>
    </row>
    <row r="68" spans="1:7">
      <c r="A68" s="344"/>
      <c r="B68" t="s">
        <v>165</v>
      </c>
      <c r="C68" t="s">
        <v>8</v>
      </c>
      <c r="D68" t="s">
        <v>5</v>
      </c>
      <c r="E68" t="s">
        <v>166</v>
      </c>
      <c r="F68" t="s">
        <v>6</v>
      </c>
      <c r="G68" s="36" t="s">
        <v>7</v>
      </c>
    </row>
    <row r="69" spans="1:7">
      <c r="A69" s="344"/>
      <c r="F69" t="s">
        <v>167</v>
      </c>
      <c r="G69" s="36" t="s">
        <v>167</v>
      </c>
    </row>
    <row r="70" spans="1:7">
      <c r="A70" s="344"/>
      <c r="B70">
        <v>1</v>
      </c>
      <c r="C70" t="s">
        <v>174</v>
      </c>
      <c r="D70" t="s">
        <v>173</v>
      </c>
      <c r="E70">
        <v>20</v>
      </c>
      <c r="F70">
        <v>560</v>
      </c>
      <c r="G70" s="36">
        <v>11200</v>
      </c>
    </row>
    <row r="71" spans="1:7">
      <c r="A71" s="344"/>
      <c r="B71" t="s">
        <v>175</v>
      </c>
      <c r="F71" t="s">
        <v>169</v>
      </c>
      <c r="G71" s="36">
        <v>11200</v>
      </c>
    </row>
    <row r="72" spans="1:7">
      <c r="A72" s="344"/>
      <c r="B72" t="s">
        <v>176</v>
      </c>
      <c r="E72">
        <v>112</v>
      </c>
      <c r="G72" s="36"/>
    </row>
    <row r="73" spans="1:7">
      <c r="A73" s="344"/>
      <c r="B73" t="s">
        <v>177</v>
      </c>
      <c r="D73">
        <v>0.13615000000000002</v>
      </c>
      <c r="E73">
        <v>15.2</v>
      </c>
      <c r="G73" s="36"/>
    </row>
    <row r="74" spans="1:7">
      <c r="A74" s="344"/>
      <c r="B74" t="s">
        <v>178</v>
      </c>
      <c r="E74">
        <v>127.2</v>
      </c>
      <c r="G74" s="36"/>
    </row>
    <row r="75" spans="1:7">
      <c r="A75" s="344"/>
      <c r="G75" s="36"/>
    </row>
    <row r="76" spans="1:7">
      <c r="A76" s="344"/>
      <c r="B76" t="s">
        <v>179</v>
      </c>
      <c r="G76" s="36"/>
    </row>
    <row r="77" spans="1:7">
      <c r="A77" s="344"/>
      <c r="B77" t="s">
        <v>180</v>
      </c>
      <c r="F77" t="s">
        <v>169</v>
      </c>
      <c r="G77" s="36">
        <v>46000</v>
      </c>
    </row>
    <row r="78" spans="1:7">
      <c r="A78" s="344"/>
      <c r="B78" t="s">
        <v>181</v>
      </c>
      <c r="F78" t="s">
        <v>169</v>
      </c>
      <c r="G78" s="36">
        <v>0</v>
      </c>
    </row>
    <row r="79" spans="1:7">
      <c r="A79" s="344"/>
      <c r="B79" t="s">
        <v>182</v>
      </c>
      <c r="F79" t="s">
        <v>169</v>
      </c>
      <c r="G79" s="36">
        <v>11200</v>
      </c>
    </row>
    <row r="80" spans="1:7">
      <c r="A80" s="344"/>
      <c r="F80" t="s">
        <v>183</v>
      </c>
      <c r="G80" s="36">
        <v>57200</v>
      </c>
    </row>
    <row r="81" spans="1:7">
      <c r="A81" s="344"/>
      <c r="B81" t="s">
        <v>184</v>
      </c>
      <c r="E81">
        <v>0.13615000000000002</v>
      </c>
      <c r="F81" t="s">
        <v>169</v>
      </c>
      <c r="G81" s="36">
        <v>7787.78</v>
      </c>
    </row>
    <row r="82" spans="1:7">
      <c r="A82" s="344"/>
      <c r="B82" t="s">
        <v>185</v>
      </c>
      <c r="D82">
        <v>100</v>
      </c>
      <c r="E82" t="s">
        <v>163</v>
      </c>
      <c r="F82" t="s">
        <v>169</v>
      </c>
      <c r="G82" s="36">
        <v>64987.78</v>
      </c>
    </row>
    <row r="83" spans="1:7">
      <c r="A83" s="344"/>
      <c r="B83" t="s">
        <v>186</v>
      </c>
      <c r="C83" t="s">
        <v>163</v>
      </c>
      <c r="D83" t="s">
        <v>430</v>
      </c>
      <c r="F83" t="s">
        <v>187</v>
      </c>
      <c r="G83" s="346">
        <v>649.9</v>
      </c>
    </row>
    <row r="84" spans="1:7">
      <c r="A84" s="344"/>
      <c r="G84" s="36"/>
    </row>
    <row r="85" spans="1:7">
      <c r="A85" s="338" t="s">
        <v>633</v>
      </c>
      <c r="B85" s="37"/>
      <c r="C85" s="37"/>
      <c r="D85" s="37"/>
      <c r="E85" s="37" t="s">
        <v>5</v>
      </c>
      <c r="F85" s="37">
        <f>+F52</f>
        <v>100</v>
      </c>
      <c r="G85" s="350" t="s">
        <v>4</v>
      </c>
    </row>
    <row r="86" spans="1:7" ht="17.45" customHeight="1">
      <c r="A86" s="12" t="s">
        <v>165</v>
      </c>
      <c r="B86" s="6" t="s">
        <v>507</v>
      </c>
      <c r="C86" s="6"/>
      <c r="D86" s="6" t="s">
        <v>5</v>
      </c>
      <c r="E86" s="6" t="s">
        <v>166</v>
      </c>
      <c r="F86" s="6" t="s">
        <v>6</v>
      </c>
      <c r="G86" s="6" t="s">
        <v>7</v>
      </c>
    </row>
    <row r="87" spans="1:7">
      <c r="A87" s="7">
        <v>1</v>
      </c>
      <c r="B87" s="6" t="s">
        <v>636</v>
      </c>
      <c r="C87" s="6"/>
      <c r="D87" s="6" t="s">
        <v>163</v>
      </c>
      <c r="E87" s="6">
        <f>+E56</f>
        <v>100</v>
      </c>
      <c r="F87" s="351">
        <f>+'Lead '!N7</f>
        <v>776.33230500000013</v>
      </c>
      <c r="G87" s="351">
        <f>+F87*E87</f>
        <v>77633.23050000002</v>
      </c>
    </row>
    <row r="88" spans="1:7">
      <c r="A88" s="7"/>
      <c r="B88" s="420"/>
      <c r="C88" s="421"/>
      <c r="D88" s="6"/>
      <c r="E88" s="6"/>
      <c r="F88" s="6" t="s">
        <v>187</v>
      </c>
      <c r="G88" s="352">
        <f>+G87</f>
        <v>77633.23050000002</v>
      </c>
    </row>
    <row r="89" spans="1:7">
      <c r="A89" s="7"/>
      <c r="B89" s="6" t="s">
        <v>634</v>
      </c>
      <c r="C89" s="6"/>
      <c r="D89" s="6"/>
      <c r="E89" s="6"/>
      <c r="F89" s="6" t="s">
        <v>187</v>
      </c>
      <c r="G89" s="352">
        <f>+G88/F52</f>
        <v>776.33230500000025</v>
      </c>
    </row>
    <row r="90" spans="1:7" ht="15" customHeight="1">
      <c r="A90" s="7"/>
      <c r="B90" s="6" t="s">
        <v>635</v>
      </c>
      <c r="C90" s="6"/>
      <c r="D90" s="6"/>
      <c r="E90" s="6"/>
      <c r="F90" s="6"/>
      <c r="G90" s="353">
        <f>+ROUND((G89+G83),1)</f>
        <v>1426.2</v>
      </c>
    </row>
    <row r="93" spans="1:7">
      <c r="A93" s="343" t="s">
        <v>19</v>
      </c>
      <c r="B93" s="411" t="s">
        <v>626</v>
      </c>
      <c r="C93" s="412"/>
      <c r="D93" s="412"/>
      <c r="E93" s="412"/>
      <c r="F93" s="412"/>
      <c r="G93" s="413"/>
    </row>
    <row r="94" spans="1:7">
      <c r="A94" s="344"/>
      <c r="B94" s="414"/>
      <c r="C94" s="415"/>
      <c r="D94" s="415"/>
      <c r="E94" s="415"/>
      <c r="F94" s="415"/>
      <c r="G94" s="416"/>
    </row>
    <row r="95" spans="1:7">
      <c r="A95" s="344"/>
      <c r="B95" s="414"/>
      <c r="C95" s="415"/>
      <c r="D95" s="415"/>
      <c r="E95" s="415"/>
      <c r="F95" s="415"/>
      <c r="G95" s="416"/>
    </row>
    <row r="96" spans="1:7" ht="53.45" customHeight="1">
      <c r="A96" s="345"/>
      <c r="B96" s="417"/>
      <c r="C96" s="418"/>
      <c r="D96" s="418"/>
      <c r="E96" s="418"/>
      <c r="F96" s="418"/>
      <c r="G96" s="419"/>
    </row>
    <row r="97" spans="1:7" hidden="1">
      <c r="A97" s="339"/>
      <c r="B97" t="s">
        <v>431</v>
      </c>
      <c r="G97" s="36" t="s">
        <v>432</v>
      </c>
    </row>
    <row r="98" spans="1:7" hidden="1">
      <c r="A98" s="339"/>
      <c r="B98" t="s">
        <v>433</v>
      </c>
      <c r="G98" s="36"/>
    </row>
    <row r="99" spans="1:7" hidden="1">
      <c r="A99" s="339"/>
      <c r="B99" t="s">
        <v>434</v>
      </c>
      <c r="E99" t="s">
        <v>435</v>
      </c>
      <c r="F99">
        <v>1.2</v>
      </c>
      <c r="G99" s="36" t="s">
        <v>436</v>
      </c>
    </row>
    <row r="100" spans="1:7" hidden="1">
      <c r="A100" s="339"/>
      <c r="B100" t="s">
        <v>437</v>
      </c>
      <c r="E100" t="s">
        <v>3</v>
      </c>
      <c r="F100">
        <v>33.909999999999997</v>
      </c>
      <c r="G100" s="36" t="s">
        <v>119</v>
      </c>
    </row>
    <row r="101" spans="1:7" hidden="1">
      <c r="A101" s="339"/>
      <c r="B101" t="s">
        <v>438</v>
      </c>
      <c r="E101" t="s">
        <v>3</v>
      </c>
      <c r="F101">
        <v>25.08</v>
      </c>
      <c r="G101" s="36" t="s">
        <v>119</v>
      </c>
    </row>
    <row r="102" spans="1:7" hidden="1">
      <c r="A102" s="339"/>
      <c r="B102" t="s">
        <v>439</v>
      </c>
      <c r="E102" t="s">
        <v>3</v>
      </c>
      <c r="F102">
        <v>4.2300000000000004</v>
      </c>
      <c r="G102" s="36" t="s">
        <v>119</v>
      </c>
    </row>
    <row r="103" spans="1:7" hidden="1">
      <c r="A103" s="339"/>
      <c r="B103" t="s">
        <v>440</v>
      </c>
      <c r="E103" t="s">
        <v>3</v>
      </c>
      <c r="F103">
        <v>18.170000000000002</v>
      </c>
      <c r="G103" s="36" t="s">
        <v>119</v>
      </c>
    </row>
    <row r="104" spans="1:7" hidden="1">
      <c r="A104" s="339"/>
      <c r="B104" t="s">
        <v>441</v>
      </c>
      <c r="E104" t="s">
        <v>3</v>
      </c>
      <c r="F104">
        <v>1.41</v>
      </c>
      <c r="G104" s="36" t="s">
        <v>119</v>
      </c>
    </row>
    <row r="105" spans="1:7" hidden="1">
      <c r="A105" s="339"/>
      <c r="G105" s="36"/>
    </row>
    <row r="106" spans="1:7" hidden="1">
      <c r="A106" s="339"/>
      <c r="B106" t="s">
        <v>442</v>
      </c>
      <c r="D106">
        <v>67</v>
      </c>
      <c r="E106" t="s">
        <v>443</v>
      </c>
      <c r="F106" t="s">
        <v>169</v>
      </c>
      <c r="G106" s="36">
        <v>2271.9699999999998</v>
      </c>
    </row>
    <row r="107" spans="1:7" hidden="1">
      <c r="A107" s="339"/>
      <c r="B107" t="s">
        <v>444</v>
      </c>
      <c r="D107">
        <v>61.5</v>
      </c>
      <c r="E107" t="s">
        <v>443</v>
      </c>
      <c r="F107" t="s">
        <v>169</v>
      </c>
      <c r="G107" s="36">
        <v>1542.4199999999998</v>
      </c>
    </row>
    <row r="108" spans="1:7" hidden="1">
      <c r="A108" s="339"/>
      <c r="B108" t="s">
        <v>445</v>
      </c>
      <c r="D108">
        <v>61.5</v>
      </c>
      <c r="E108" t="s">
        <v>443</v>
      </c>
      <c r="F108" t="s">
        <v>169</v>
      </c>
      <c r="G108" s="36">
        <v>260.14500000000004</v>
      </c>
    </row>
    <row r="109" spans="1:7" hidden="1">
      <c r="A109" s="339"/>
      <c r="B109" t="s">
        <v>446</v>
      </c>
      <c r="D109">
        <v>61.5</v>
      </c>
      <c r="E109" t="s">
        <v>443</v>
      </c>
      <c r="F109" t="s">
        <v>169</v>
      </c>
      <c r="G109" s="36">
        <v>1117.4550000000002</v>
      </c>
    </row>
    <row r="110" spans="1:7" hidden="1">
      <c r="A110" s="339"/>
      <c r="B110" t="s">
        <v>447</v>
      </c>
      <c r="D110">
        <v>67</v>
      </c>
      <c r="E110" t="s">
        <v>443</v>
      </c>
      <c r="F110" t="s">
        <v>169</v>
      </c>
      <c r="G110" s="36">
        <v>94.470000000000013</v>
      </c>
    </row>
    <row r="111" spans="1:7" hidden="1">
      <c r="A111" s="339"/>
      <c r="E111" t="s">
        <v>2</v>
      </c>
      <c r="F111" t="s">
        <v>169</v>
      </c>
      <c r="G111" s="36">
        <v>5286.46</v>
      </c>
    </row>
    <row r="112" spans="1:7" hidden="1">
      <c r="A112" s="339"/>
      <c r="B112" t="s">
        <v>448</v>
      </c>
      <c r="D112">
        <v>2.5000000000000001E-2</v>
      </c>
      <c r="F112" t="s">
        <v>169</v>
      </c>
      <c r="G112" s="36">
        <v>132.16150000000002</v>
      </c>
    </row>
    <row r="113" spans="1:7" hidden="1">
      <c r="A113" s="339"/>
      <c r="B113" t="s">
        <v>449</v>
      </c>
      <c r="D113">
        <v>99</v>
      </c>
      <c r="E113" t="s">
        <v>443</v>
      </c>
      <c r="F113" t="s">
        <v>169</v>
      </c>
      <c r="G113" s="36">
        <v>49.5</v>
      </c>
    </row>
    <row r="114" spans="1:7" hidden="1">
      <c r="A114" s="339"/>
      <c r="B114" t="s">
        <v>450</v>
      </c>
      <c r="D114">
        <v>37</v>
      </c>
      <c r="E114" t="s">
        <v>443</v>
      </c>
      <c r="F114" t="s">
        <v>169</v>
      </c>
      <c r="G114" s="36">
        <v>3063.6</v>
      </c>
    </row>
    <row r="115" spans="1:7" hidden="1">
      <c r="A115" s="339"/>
      <c r="E115" t="s">
        <v>2</v>
      </c>
      <c r="F115" t="s">
        <v>169</v>
      </c>
      <c r="G115" s="36">
        <v>8531.7214999999997</v>
      </c>
    </row>
    <row r="116" spans="1:7" hidden="1">
      <c r="A116" s="339"/>
      <c r="B116" t="s">
        <v>451</v>
      </c>
      <c r="D116">
        <v>0.1</v>
      </c>
      <c r="F116" t="s">
        <v>169</v>
      </c>
      <c r="G116" s="36">
        <v>853.17214999999999</v>
      </c>
    </row>
    <row r="117" spans="1:7" hidden="1">
      <c r="A117" s="339"/>
      <c r="E117" t="s">
        <v>2</v>
      </c>
      <c r="F117" t="s">
        <v>169</v>
      </c>
      <c r="G117" s="36">
        <v>7678.5493499999993</v>
      </c>
    </row>
    <row r="118" spans="1:7" hidden="1">
      <c r="A118" s="339"/>
      <c r="B118" t="s">
        <v>452</v>
      </c>
      <c r="G118" s="36"/>
    </row>
    <row r="119" spans="1:7" hidden="1">
      <c r="A119" s="339"/>
      <c r="B119" t="s">
        <v>453</v>
      </c>
      <c r="D119">
        <v>40</v>
      </c>
      <c r="E119" t="s">
        <v>454</v>
      </c>
      <c r="F119" t="s">
        <v>169</v>
      </c>
      <c r="G119" s="36">
        <v>191.96373374999999</v>
      </c>
    </row>
    <row r="120" spans="1:7" hidden="1">
      <c r="A120" s="339"/>
      <c r="B120" t="s">
        <v>455</v>
      </c>
      <c r="D120">
        <v>0.15</v>
      </c>
      <c r="F120" t="s">
        <v>169</v>
      </c>
      <c r="G120" s="36">
        <v>28.794560062499997</v>
      </c>
    </row>
    <row r="121" spans="1:7" hidden="1">
      <c r="A121" s="339"/>
      <c r="B121" t="s">
        <v>456</v>
      </c>
      <c r="D121">
        <v>0.05</v>
      </c>
      <c r="F121" t="s">
        <v>169</v>
      </c>
      <c r="G121" s="36">
        <v>9.5981866875000001</v>
      </c>
    </row>
    <row r="122" spans="1:7" hidden="1">
      <c r="A122" s="339"/>
      <c r="B122" t="s">
        <v>457</v>
      </c>
      <c r="D122">
        <v>48</v>
      </c>
      <c r="F122" t="s">
        <v>169</v>
      </c>
      <c r="G122" s="36">
        <v>96</v>
      </c>
    </row>
    <row r="123" spans="1:7" hidden="1">
      <c r="A123" s="339"/>
      <c r="B123" t="s">
        <v>458</v>
      </c>
      <c r="D123">
        <v>60</v>
      </c>
      <c r="F123" t="s">
        <v>169</v>
      </c>
      <c r="G123" s="36">
        <v>12</v>
      </c>
    </row>
    <row r="124" spans="1:7" hidden="1">
      <c r="A124" s="339"/>
      <c r="E124" t="s">
        <v>2</v>
      </c>
      <c r="F124" t="s">
        <v>169</v>
      </c>
      <c r="G124" s="36">
        <v>338.35648049999998</v>
      </c>
    </row>
    <row r="125" spans="1:7" hidden="1">
      <c r="A125" s="339"/>
      <c r="B125" t="s">
        <v>459</v>
      </c>
      <c r="E125" t="s">
        <v>3</v>
      </c>
      <c r="F125">
        <v>1</v>
      </c>
      <c r="G125" s="36" t="s">
        <v>436</v>
      </c>
    </row>
    <row r="126" spans="1:7" hidden="1">
      <c r="A126" s="339"/>
      <c r="B126" t="s">
        <v>460</v>
      </c>
      <c r="F126" t="s">
        <v>169</v>
      </c>
      <c r="G126" s="36">
        <v>338.35648049999998</v>
      </c>
    </row>
    <row r="127" spans="1:7" hidden="1">
      <c r="A127" s="339"/>
      <c r="B127" t="s">
        <v>461</v>
      </c>
      <c r="G127" s="36"/>
    </row>
    <row r="128" spans="1:7" hidden="1">
      <c r="A128" s="339"/>
      <c r="G128" s="36"/>
    </row>
    <row r="129" spans="1:7" hidden="1">
      <c r="A129" s="339"/>
      <c r="B129" t="s">
        <v>453</v>
      </c>
      <c r="D129">
        <v>30</v>
      </c>
      <c r="E129" t="s">
        <v>454</v>
      </c>
      <c r="F129" t="s">
        <v>169</v>
      </c>
      <c r="G129" s="36">
        <v>255.95164499999998</v>
      </c>
    </row>
    <row r="130" spans="1:7" hidden="1">
      <c r="A130" s="339"/>
      <c r="B130" t="s">
        <v>455</v>
      </c>
      <c r="D130">
        <v>0.15</v>
      </c>
      <c r="F130" t="s">
        <v>169</v>
      </c>
      <c r="G130" s="36">
        <v>38.392746749999993</v>
      </c>
    </row>
    <row r="131" spans="1:7" hidden="1">
      <c r="A131" s="339"/>
      <c r="B131" t="s">
        <v>456</v>
      </c>
      <c r="D131">
        <v>0.05</v>
      </c>
      <c r="F131" t="s">
        <v>169</v>
      </c>
      <c r="G131" s="36">
        <v>12.79758225</v>
      </c>
    </row>
    <row r="132" spans="1:7" hidden="1">
      <c r="A132" s="339"/>
      <c r="B132" t="s">
        <v>457</v>
      </c>
      <c r="D132">
        <v>48</v>
      </c>
      <c r="F132" t="s">
        <v>169</v>
      </c>
      <c r="G132" s="36">
        <v>96</v>
      </c>
    </row>
    <row r="133" spans="1:7" hidden="1">
      <c r="A133" s="339"/>
      <c r="B133" t="s">
        <v>462</v>
      </c>
      <c r="D133">
        <v>60</v>
      </c>
      <c r="F133" t="s">
        <v>169</v>
      </c>
      <c r="G133" s="36">
        <v>12</v>
      </c>
    </row>
    <row r="134" spans="1:7" hidden="1">
      <c r="A134" s="339"/>
      <c r="E134" t="s">
        <v>2</v>
      </c>
      <c r="F134" t="s">
        <v>169</v>
      </c>
      <c r="G134" s="36">
        <v>415.141974</v>
      </c>
    </row>
    <row r="135" spans="1:7" hidden="1">
      <c r="A135" s="339"/>
      <c r="B135" t="s">
        <v>459</v>
      </c>
      <c r="E135" t="s">
        <v>3</v>
      </c>
      <c r="F135">
        <v>1</v>
      </c>
      <c r="G135" s="36" t="s">
        <v>436</v>
      </c>
    </row>
    <row r="136" spans="1:7" hidden="1">
      <c r="A136" s="339"/>
      <c r="B136" t="s">
        <v>460</v>
      </c>
      <c r="F136" t="s">
        <v>169</v>
      </c>
      <c r="G136" s="36">
        <v>415.141974</v>
      </c>
    </row>
    <row r="137" spans="1:7" hidden="1">
      <c r="A137" s="339"/>
      <c r="B137" t="s">
        <v>461</v>
      </c>
      <c r="G137" s="36"/>
    </row>
    <row r="138" spans="1:7" hidden="1">
      <c r="A138" s="339"/>
      <c r="G138" s="36"/>
    </row>
    <row r="139" spans="1:7" hidden="1">
      <c r="A139" s="339"/>
      <c r="B139" t="s">
        <v>463</v>
      </c>
      <c r="G139" s="36"/>
    </row>
    <row r="140" spans="1:7" hidden="1">
      <c r="A140" s="339"/>
      <c r="B140" t="s">
        <v>464</v>
      </c>
      <c r="G140" s="36"/>
    </row>
    <row r="141" spans="1:7" hidden="1">
      <c r="A141" s="339"/>
      <c r="B141" t="s">
        <v>465</v>
      </c>
      <c r="G141" s="36"/>
    </row>
    <row r="142" spans="1:7" hidden="1">
      <c r="A142" s="339"/>
      <c r="B142" t="s">
        <v>466</v>
      </c>
      <c r="E142" t="s">
        <v>3</v>
      </c>
      <c r="F142">
        <v>100</v>
      </c>
      <c r="G142" s="36" t="s">
        <v>436</v>
      </c>
    </row>
    <row r="143" spans="1:7" hidden="1">
      <c r="A143" s="339"/>
      <c r="B143" t="s">
        <v>467</v>
      </c>
      <c r="G143" s="36"/>
    </row>
    <row r="144" spans="1:7" hidden="1">
      <c r="A144" s="339"/>
      <c r="B144" t="s">
        <v>468</v>
      </c>
      <c r="D144">
        <v>605</v>
      </c>
      <c r="E144" t="s">
        <v>469</v>
      </c>
      <c r="F144" t="s">
        <v>169</v>
      </c>
      <c r="G144" s="36">
        <v>2420</v>
      </c>
    </row>
    <row r="145" spans="1:7" hidden="1">
      <c r="A145" s="339"/>
      <c r="B145" t="s">
        <v>470</v>
      </c>
      <c r="D145">
        <v>605</v>
      </c>
      <c r="E145" t="s">
        <v>469</v>
      </c>
      <c r="F145" t="s">
        <v>169</v>
      </c>
      <c r="G145" s="36">
        <v>1210</v>
      </c>
    </row>
    <row r="146" spans="1:7" hidden="1">
      <c r="A146" s="339"/>
      <c r="B146" t="s">
        <v>471</v>
      </c>
      <c r="D146">
        <v>560</v>
      </c>
      <c r="E146" t="s">
        <v>469</v>
      </c>
      <c r="F146" t="s">
        <v>169</v>
      </c>
      <c r="G146" s="36">
        <v>5600</v>
      </c>
    </row>
    <row r="147" spans="1:7" hidden="1">
      <c r="A147" s="339"/>
      <c r="B147" t="s">
        <v>472</v>
      </c>
      <c r="G147" s="36"/>
    </row>
    <row r="148" spans="1:7" hidden="1">
      <c r="A148" s="339"/>
      <c r="B148" t="s">
        <v>473</v>
      </c>
      <c r="D148">
        <v>605</v>
      </c>
      <c r="E148" t="s">
        <v>469</v>
      </c>
      <c r="F148" t="s">
        <v>169</v>
      </c>
      <c r="G148" s="36">
        <v>1210</v>
      </c>
    </row>
    <row r="149" spans="1:7" hidden="1">
      <c r="A149" s="339"/>
      <c r="B149" t="s">
        <v>474</v>
      </c>
      <c r="D149">
        <v>605</v>
      </c>
      <c r="E149" t="s">
        <v>469</v>
      </c>
      <c r="F149" t="s">
        <v>169</v>
      </c>
      <c r="G149" s="36">
        <v>605</v>
      </c>
    </row>
    <row r="150" spans="1:7" hidden="1">
      <c r="A150" s="339"/>
      <c r="B150" t="s">
        <v>475</v>
      </c>
      <c r="D150">
        <v>560</v>
      </c>
      <c r="E150" t="s">
        <v>469</v>
      </c>
      <c r="F150" t="s">
        <v>169</v>
      </c>
      <c r="G150" s="36">
        <v>2800</v>
      </c>
    </row>
    <row r="151" spans="1:7" hidden="1">
      <c r="A151" s="339"/>
      <c r="E151" t="s">
        <v>2</v>
      </c>
      <c r="F151" t="s">
        <v>169</v>
      </c>
      <c r="G151" s="36">
        <v>13845</v>
      </c>
    </row>
    <row r="152" spans="1:7" hidden="1">
      <c r="A152" s="339"/>
      <c r="B152" t="s">
        <v>476</v>
      </c>
      <c r="F152" t="s">
        <v>169</v>
      </c>
      <c r="G152" s="36">
        <v>138.44999999999999</v>
      </c>
    </row>
    <row r="153" spans="1:7" hidden="1">
      <c r="A153" s="339"/>
      <c r="B153" t="s">
        <v>477</v>
      </c>
      <c r="G153" s="36"/>
    </row>
    <row r="154" spans="1:7" hidden="1">
      <c r="A154" s="339"/>
      <c r="G154" s="36"/>
    </row>
    <row r="155" spans="1:7" hidden="1">
      <c r="A155" s="343" t="s">
        <v>195</v>
      </c>
      <c r="B155" t="s">
        <v>478</v>
      </c>
      <c r="G155" s="36"/>
    </row>
    <row r="156" spans="1:7" hidden="1">
      <c r="A156" s="344"/>
      <c r="B156" t="s">
        <v>479</v>
      </c>
      <c r="G156" s="36"/>
    </row>
    <row r="157" spans="1:7" hidden="1">
      <c r="A157" s="344"/>
      <c r="B157" t="s">
        <v>480</v>
      </c>
      <c r="G157" s="36"/>
    </row>
    <row r="158" spans="1:7" hidden="1">
      <c r="A158" s="344"/>
      <c r="B158" t="s">
        <v>481</v>
      </c>
      <c r="D158">
        <v>15.38</v>
      </c>
      <c r="E158" t="s">
        <v>482</v>
      </c>
      <c r="G158" s="36"/>
    </row>
    <row r="159" spans="1:7" hidden="1">
      <c r="A159" s="344"/>
      <c r="B159" t="s">
        <v>483</v>
      </c>
      <c r="G159" s="36"/>
    </row>
    <row r="160" spans="1:7" hidden="1">
      <c r="A160" s="344"/>
      <c r="B160" t="s">
        <v>484</v>
      </c>
      <c r="G160" s="36"/>
    </row>
    <row r="161" spans="1:7" hidden="1">
      <c r="A161" s="344"/>
      <c r="B161" t="s">
        <v>485</v>
      </c>
      <c r="E161" t="s">
        <v>169</v>
      </c>
      <c r="F161">
        <v>338.35648049999998</v>
      </c>
      <c r="G161" s="36" t="s">
        <v>486</v>
      </c>
    </row>
    <row r="162" spans="1:7" hidden="1">
      <c r="A162" s="344"/>
      <c r="B162" t="s">
        <v>487</v>
      </c>
      <c r="F162" t="s">
        <v>488</v>
      </c>
      <c r="G162" s="36"/>
    </row>
    <row r="163" spans="1:7" hidden="1">
      <c r="A163" s="344"/>
      <c r="B163" t="s">
        <v>489</v>
      </c>
      <c r="E163" t="s">
        <v>169</v>
      </c>
      <c r="F163">
        <v>138.44999999999999</v>
      </c>
      <c r="G163" s="36" t="s">
        <v>486</v>
      </c>
    </row>
    <row r="164" spans="1:7" hidden="1">
      <c r="A164" s="344"/>
      <c r="B164" t="s">
        <v>490</v>
      </c>
      <c r="E164" t="s">
        <v>491</v>
      </c>
      <c r="G164" s="36"/>
    </row>
    <row r="165" spans="1:7" hidden="1">
      <c r="A165" s="344"/>
      <c r="B165" t="s">
        <v>492</v>
      </c>
      <c r="G165" s="36"/>
    </row>
    <row r="166" spans="1:7" hidden="1">
      <c r="A166" s="344"/>
      <c r="B166" t="s">
        <v>493</v>
      </c>
      <c r="E166" t="s">
        <v>3</v>
      </c>
      <c r="F166">
        <v>1</v>
      </c>
      <c r="G166" s="36" t="s">
        <v>12</v>
      </c>
    </row>
    <row r="167" spans="1:7" hidden="1">
      <c r="A167" s="344"/>
      <c r="B167" t="s">
        <v>494</v>
      </c>
      <c r="G167" s="36"/>
    </row>
    <row r="168" spans="1:7" hidden="1">
      <c r="A168" s="344"/>
      <c r="B168" t="s">
        <v>495</v>
      </c>
      <c r="E168" t="s">
        <v>3</v>
      </c>
      <c r="F168">
        <v>2</v>
      </c>
      <c r="G168" s="36" t="s">
        <v>12</v>
      </c>
    </row>
    <row r="169" spans="1:7" hidden="1">
      <c r="A169" s="344"/>
      <c r="B169" t="s">
        <v>496</v>
      </c>
      <c r="E169" t="s">
        <v>3</v>
      </c>
      <c r="F169">
        <v>3</v>
      </c>
      <c r="G169" s="36" t="s">
        <v>12</v>
      </c>
    </row>
    <row r="170" spans="1:7" hidden="1">
      <c r="A170" s="344"/>
      <c r="B170" t="s">
        <v>497</v>
      </c>
      <c r="E170" t="s">
        <v>3</v>
      </c>
      <c r="F170">
        <v>3</v>
      </c>
      <c r="G170" s="36" t="s">
        <v>12</v>
      </c>
    </row>
    <row r="171" spans="1:7" hidden="1">
      <c r="A171" s="344"/>
      <c r="B171" t="s">
        <v>498</v>
      </c>
      <c r="E171" t="s">
        <v>3</v>
      </c>
      <c r="F171">
        <v>3</v>
      </c>
      <c r="G171" s="36" t="s">
        <v>12</v>
      </c>
    </row>
    <row r="172" spans="1:7" hidden="1">
      <c r="A172" s="344"/>
      <c r="B172" t="s">
        <v>499</v>
      </c>
      <c r="E172" t="s">
        <v>3</v>
      </c>
      <c r="F172">
        <v>2</v>
      </c>
      <c r="G172" s="36" t="s">
        <v>12</v>
      </c>
    </row>
    <row r="173" spans="1:7" hidden="1">
      <c r="A173" s="344"/>
      <c r="B173" t="s">
        <v>500</v>
      </c>
      <c r="E173" t="s">
        <v>3</v>
      </c>
      <c r="F173">
        <v>2</v>
      </c>
      <c r="G173" s="36" t="s">
        <v>12</v>
      </c>
    </row>
    <row r="174" spans="1:7" hidden="1">
      <c r="A174" s="344"/>
      <c r="B174" t="s">
        <v>501</v>
      </c>
      <c r="E174" t="s">
        <v>3</v>
      </c>
      <c r="F174">
        <v>2</v>
      </c>
      <c r="G174" s="36" t="s">
        <v>12</v>
      </c>
    </row>
    <row r="175" spans="1:7" hidden="1">
      <c r="A175" s="344"/>
      <c r="B175" t="s">
        <v>502</v>
      </c>
      <c r="E175" t="s">
        <v>3</v>
      </c>
      <c r="F175">
        <v>1</v>
      </c>
      <c r="G175" s="36" t="s">
        <v>503</v>
      </c>
    </row>
    <row r="176" spans="1:7" hidden="1">
      <c r="A176" s="344"/>
      <c r="B176" t="s">
        <v>504</v>
      </c>
      <c r="E176" t="s">
        <v>3</v>
      </c>
      <c r="F176">
        <v>15.38</v>
      </c>
      <c r="G176" s="36" t="s">
        <v>12</v>
      </c>
    </row>
    <row r="177" spans="1:7" hidden="1">
      <c r="A177" s="344"/>
      <c r="B177" t="s">
        <v>505</v>
      </c>
      <c r="E177" t="s">
        <v>3</v>
      </c>
      <c r="F177">
        <v>1</v>
      </c>
      <c r="G177" s="36" t="s">
        <v>503</v>
      </c>
    </row>
    <row r="178" spans="1:7" hidden="1">
      <c r="A178" s="344"/>
      <c r="G178" s="36"/>
    </row>
    <row r="179" spans="1:7">
      <c r="A179" s="343" t="s">
        <v>506</v>
      </c>
      <c r="C179" t="s">
        <v>161</v>
      </c>
      <c r="E179" t="s">
        <v>162</v>
      </c>
      <c r="F179">
        <v>15.38</v>
      </c>
      <c r="G179" s="36" t="s">
        <v>163</v>
      </c>
    </row>
    <row r="180" spans="1:7">
      <c r="A180" s="344"/>
      <c r="B180" t="s">
        <v>164</v>
      </c>
      <c r="G180" s="36"/>
    </row>
    <row r="181" spans="1:7">
      <c r="A181" s="344"/>
      <c r="B181" t="s">
        <v>165</v>
      </c>
      <c r="C181" t="s">
        <v>507</v>
      </c>
      <c r="D181" t="s">
        <v>5</v>
      </c>
      <c r="E181" t="s">
        <v>166</v>
      </c>
      <c r="F181" t="s">
        <v>6</v>
      </c>
      <c r="G181" s="36" t="s">
        <v>7</v>
      </c>
    </row>
    <row r="182" spans="1:7">
      <c r="A182" s="344"/>
      <c r="F182" t="s">
        <v>167</v>
      </c>
      <c r="G182" s="36" t="s">
        <v>167</v>
      </c>
    </row>
    <row r="183" spans="1:7">
      <c r="A183" s="344"/>
      <c r="B183">
        <v>1</v>
      </c>
      <c r="C183" t="s">
        <v>508</v>
      </c>
      <c r="D183" t="s">
        <v>119</v>
      </c>
      <c r="E183">
        <v>3998.8</v>
      </c>
      <c r="F183">
        <v>4.22</v>
      </c>
      <c r="G183" s="36">
        <v>16874.936000000002</v>
      </c>
    </row>
    <row r="184" spans="1:7">
      <c r="A184" s="344"/>
      <c r="C184" t="s">
        <v>509</v>
      </c>
      <c r="D184" t="s">
        <v>119</v>
      </c>
      <c r="E184">
        <v>46.14</v>
      </c>
      <c r="F184">
        <v>4.22</v>
      </c>
      <c r="G184" s="36">
        <v>194.71079999999998</v>
      </c>
    </row>
    <row r="185" spans="1:7">
      <c r="A185" s="344"/>
      <c r="B185">
        <v>2</v>
      </c>
      <c r="C185" t="s">
        <v>510</v>
      </c>
      <c r="D185" t="s">
        <v>163</v>
      </c>
      <c r="E185">
        <v>6.9210000000000003</v>
      </c>
      <c r="F185">
        <v>1380</v>
      </c>
      <c r="G185" s="36">
        <v>9550.98</v>
      </c>
    </row>
    <row r="186" spans="1:7">
      <c r="A186" s="344"/>
      <c r="C186" t="s">
        <v>511</v>
      </c>
      <c r="D186" t="s">
        <v>163</v>
      </c>
      <c r="E186">
        <v>4.1526000000000005</v>
      </c>
      <c r="F186">
        <v>1445</v>
      </c>
      <c r="G186" s="36">
        <v>6000.5070000000005</v>
      </c>
    </row>
    <row r="187" spans="1:7">
      <c r="A187" s="344"/>
      <c r="C187" t="s">
        <v>512</v>
      </c>
      <c r="D187" t="s">
        <v>163</v>
      </c>
      <c r="E187">
        <v>2.7684000000000002</v>
      </c>
      <c r="F187">
        <v>1052</v>
      </c>
      <c r="G187" s="36">
        <v>2912.3568</v>
      </c>
    </row>
    <row r="188" spans="1:7">
      <c r="A188" s="344"/>
      <c r="B188">
        <v>3</v>
      </c>
      <c r="C188" t="s">
        <v>513</v>
      </c>
      <c r="D188" t="s">
        <v>163</v>
      </c>
      <c r="E188">
        <v>6.152000000000001</v>
      </c>
      <c r="F188">
        <v>605</v>
      </c>
      <c r="G188" s="36">
        <v>3721.9600000000005</v>
      </c>
    </row>
    <row r="189" spans="1:7">
      <c r="A189" s="344"/>
      <c r="B189">
        <v>4</v>
      </c>
      <c r="C189" t="s">
        <v>514</v>
      </c>
      <c r="D189" t="s">
        <v>119</v>
      </c>
      <c r="E189">
        <v>15.995200000000001</v>
      </c>
      <c r="F189">
        <v>63</v>
      </c>
      <c r="G189" s="36">
        <v>1007.6976000000001</v>
      </c>
    </row>
    <row r="190" spans="1:7">
      <c r="A190" s="344"/>
      <c r="B190">
        <v>5</v>
      </c>
      <c r="C190" t="s">
        <v>515</v>
      </c>
      <c r="D190" t="s">
        <v>436</v>
      </c>
      <c r="E190">
        <v>15.38</v>
      </c>
      <c r="F190">
        <v>338.35648049999998</v>
      </c>
      <c r="G190" s="36">
        <v>5203.9226700899999</v>
      </c>
    </row>
    <row r="191" spans="1:7">
      <c r="A191" s="344"/>
      <c r="C191" t="s">
        <v>516</v>
      </c>
      <c r="D191">
        <v>0.1</v>
      </c>
      <c r="G191" s="36">
        <v>520.39226700899997</v>
      </c>
    </row>
    <row r="192" spans="1:7">
      <c r="A192" s="344"/>
      <c r="B192">
        <v>6</v>
      </c>
      <c r="C192" t="s">
        <v>517</v>
      </c>
      <c r="D192" t="s">
        <v>518</v>
      </c>
      <c r="E192">
        <v>0.5</v>
      </c>
      <c r="F192">
        <v>41</v>
      </c>
      <c r="G192" s="36">
        <v>20.5</v>
      </c>
    </row>
    <row r="193" spans="1:7">
      <c r="A193" s="344"/>
      <c r="B193" t="s">
        <v>168</v>
      </c>
      <c r="F193" t="s">
        <v>169</v>
      </c>
      <c r="G193" s="36">
        <v>46007.963137099003</v>
      </c>
    </row>
    <row r="194" spans="1:7">
      <c r="A194" s="344"/>
      <c r="G194" s="36"/>
    </row>
    <row r="195" spans="1:7">
      <c r="A195" s="344"/>
      <c r="B195" t="s">
        <v>170</v>
      </c>
      <c r="G195" s="36"/>
    </row>
    <row r="196" spans="1:7">
      <c r="A196" s="344"/>
      <c r="B196" t="s">
        <v>165</v>
      </c>
      <c r="C196" t="s">
        <v>8</v>
      </c>
      <c r="D196" t="s">
        <v>5</v>
      </c>
      <c r="E196" t="s">
        <v>166</v>
      </c>
      <c r="F196" t="s">
        <v>6</v>
      </c>
      <c r="G196" s="36" t="s">
        <v>7</v>
      </c>
    </row>
    <row r="197" spans="1:7">
      <c r="A197" s="344"/>
      <c r="F197" t="s">
        <v>167</v>
      </c>
      <c r="G197" s="36" t="s">
        <v>167</v>
      </c>
    </row>
    <row r="198" spans="1:7">
      <c r="A198" s="344"/>
      <c r="B198">
        <v>1</v>
      </c>
      <c r="C198" t="s">
        <v>519</v>
      </c>
      <c r="D198" t="s">
        <v>520</v>
      </c>
      <c r="E198">
        <v>8</v>
      </c>
      <c r="F198">
        <v>53.9</v>
      </c>
      <c r="G198" s="36">
        <v>431.2</v>
      </c>
    </row>
    <row r="199" spans="1:7">
      <c r="A199" s="344"/>
      <c r="C199" t="s">
        <v>521</v>
      </c>
      <c r="D199" t="s">
        <v>520</v>
      </c>
      <c r="E199">
        <v>8</v>
      </c>
      <c r="F199">
        <v>136.69999999999999</v>
      </c>
      <c r="G199" s="36">
        <v>1093.5999999999999</v>
      </c>
    </row>
    <row r="200" spans="1:7">
      <c r="A200" s="344"/>
      <c r="B200">
        <v>2</v>
      </c>
      <c r="C200" t="s">
        <v>522</v>
      </c>
      <c r="D200" t="s">
        <v>520</v>
      </c>
      <c r="E200">
        <v>0.5</v>
      </c>
      <c r="F200">
        <v>10.3</v>
      </c>
      <c r="G200" s="36">
        <v>5.15</v>
      </c>
    </row>
    <row r="201" spans="1:7">
      <c r="A201" s="344"/>
      <c r="C201" t="s">
        <v>521</v>
      </c>
      <c r="D201" t="s">
        <v>520</v>
      </c>
      <c r="E201">
        <v>0.5</v>
      </c>
      <c r="F201">
        <v>136.69999999999999</v>
      </c>
      <c r="G201" s="36">
        <v>68.349999999999994</v>
      </c>
    </row>
    <row r="202" spans="1:7">
      <c r="A202" s="344"/>
      <c r="B202">
        <v>3</v>
      </c>
      <c r="C202" t="s">
        <v>523</v>
      </c>
      <c r="D202" t="s">
        <v>520</v>
      </c>
      <c r="E202">
        <v>1</v>
      </c>
      <c r="F202">
        <v>432.4</v>
      </c>
      <c r="G202" s="36">
        <v>432.4</v>
      </c>
    </row>
    <row r="203" spans="1:7">
      <c r="A203" s="344"/>
      <c r="C203" t="s">
        <v>521</v>
      </c>
      <c r="D203" t="s">
        <v>520</v>
      </c>
      <c r="E203">
        <v>1</v>
      </c>
      <c r="F203">
        <v>516.79999999999995</v>
      </c>
      <c r="G203" s="36">
        <v>516.79999999999995</v>
      </c>
    </row>
    <row r="204" spans="1:7">
      <c r="A204" s="344"/>
      <c r="B204">
        <v>4</v>
      </c>
      <c r="C204" t="s">
        <v>524</v>
      </c>
      <c r="D204" t="s">
        <v>520</v>
      </c>
      <c r="E204">
        <v>8</v>
      </c>
      <c r="F204">
        <v>7.9</v>
      </c>
      <c r="G204" s="36">
        <v>63.2</v>
      </c>
    </row>
    <row r="205" spans="1:7">
      <c r="A205" s="344"/>
      <c r="C205" t="s">
        <v>521</v>
      </c>
      <c r="D205" t="s">
        <v>520</v>
      </c>
      <c r="E205">
        <v>8</v>
      </c>
      <c r="F205">
        <v>30.7</v>
      </c>
      <c r="G205" s="36">
        <v>245.6</v>
      </c>
    </row>
    <row r="206" spans="1:7">
      <c r="A206" s="344"/>
      <c r="B206" t="s">
        <v>171</v>
      </c>
      <c r="F206" t="s">
        <v>169</v>
      </c>
      <c r="G206" s="36">
        <v>2856.2999999999997</v>
      </c>
    </row>
    <row r="207" spans="1:7">
      <c r="A207" s="344"/>
      <c r="G207" s="36"/>
    </row>
    <row r="208" spans="1:7">
      <c r="A208" s="344"/>
      <c r="B208" t="s">
        <v>172</v>
      </c>
      <c r="G208" s="36"/>
    </row>
    <row r="209" spans="1:7">
      <c r="A209" s="344"/>
      <c r="B209" t="s">
        <v>165</v>
      </c>
      <c r="C209" t="s">
        <v>8</v>
      </c>
      <c r="D209" t="s">
        <v>5</v>
      </c>
      <c r="E209" t="s">
        <v>166</v>
      </c>
      <c r="F209" t="s">
        <v>6</v>
      </c>
      <c r="G209" s="36" t="s">
        <v>7</v>
      </c>
    </row>
    <row r="210" spans="1:7">
      <c r="A210" s="344"/>
      <c r="F210" t="s">
        <v>167</v>
      </c>
      <c r="G210" s="36" t="s">
        <v>167</v>
      </c>
    </row>
    <row r="211" spans="1:7">
      <c r="A211" s="344"/>
      <c r="B211">
        <v>1</v>
      </c>
      <c r="C211" t="s">
        <v>525</v>
      </c>
      <c r="D211" t="s">
        <v>520</v>
      </c>
      <c r="E211">
        <v>8</v>
      </c>
      <c r="F211">
        <v>327.60000000000002</v>
      </c>
      <c r="G211" s="36">
        <v>2620.8000000000002</v>
      </c>
    </row>
    <row r="212" spans="1:7">
      <c r="A212" s="344"/>
      <c r="B212">
        <v>2</v>
      </c>
      <c r="C212" t="s">
        <v>526</v>
      </c>
      <c r="D212" t="s">
        <v>520</v>
      </c>
      <c r="E212">
        <v>0.5</v>
      </c>
      <c r="F212">
        <v>163.5</v>
      </c>
      <c r="G212" s="36">
        <v>81.75</v>
      </c>
    </row>
    <row r="213" spans="1:7">
      <c r="A213" s="344"/>
      <c r="B213">
        <v>3</v>
      </c>
      <c r="C213" t="s">
        <v>527</v>
      </c>
      <c r="D213" t="s">
        <v>520</v>
      </c>
      <c r="E213">
        <v>1</v>
      </c>
      <c r="F213">
        <v>258.39999999999998</v>
      </c>
      <c r="G213" s="36">
        <v>258.39999999999998</v>
      </c>
    </row>
    <row r="214" spans="1:7">
      <c r="A214" s="344"/>
      <c r="B214">
        <v>4</v>
      </c>
      <c r="C214" t="s">
        <v>528</v>
      </c>
      <c r="D214" t="s">
        <v>520</v>
      </c>
      <c r="E214">
        <v>8</v>
      </c>
      <c r="F214">
        <v>235.8</v>
      </c>
      <c r="G214" s="36">
        <v>1886.4</v>
      </c>
    </row>
    <row r="215" spans="1:7">
      <c r="A215" s="344"/>
      <c r="B215">
        <v>5</v>
      </c>
      <c r="C215" t="s">
        <v>413</v>
      </c>
      <c r="D215" t="s">
        <v>173</v>
      </c>
      <c r="E215">
        <v>1</v>
      </c>
      <c r="F215">
        <v>730</v>
      </c>
      <c r="G215" s="36">
        <v>730</v>
      </c>
    </row>
    <row r="216" spans="1:7">
      <c r="A216" s="344"/>
      <c r="B216">
        <v>6</v>
      </c>
      <c r="C216" t="s">
        <v>529</v>
      </c>
      <c r="D216" t="s">
        <v>173</v>
      </c>
      <c r="E216">
        <v>1</v>
      </c>
      <c r="F216">
        <v>670</v>
      </c>
      <c r="G216" s="36">
        <v>670</v>
      </c>
    </row>
    <row r="217" spans="1:7">
      <c r="A217" s="344"/>
      <c r="B217">
        <v>7</v>
      </c>
      <c r="C217" t="s">
        <v>174</v>
      </c>
      <c r="G217" s="36"/>
    </row>
    <row r="218" spans="1:7">
      <c r="A218" s="344"/>
      <c r="C218" t="s">
        <v>530</v>
      </c>
      <c r="D218" t="s">
        <v>173</v>
      </c>
      <c r="E218">
        <v>11</v>
      </c>
      <c r="F218">
        <v>560</v>
      </c>
      <c r="G218" s="36">
        <v>6160</v>
      </c>
    </row>
    <row r="219" spans="1:7">
      <c r="A219" s="344"/>
      <c r="C219" t="s">
        <v>531</v>
      </c>
      <c r="D219" t="s">
        <v>173</v>
      </c>
      <c r="E219">
        <v>4</v>
      </c>
      <c r="F219">
        <v>560</v>
      </c>
      <c r="G219" s="36">
        <v>2240</v>
      </c>
    </row>
    <row r="220" spans="1:7">
      <c r="A220" s="344"/>
      <c r="C220" t="s">
        <v>532</v>
      </c>
      <c r="D220" t="s">
        <v>173</v>
      </c>
      <c r="E220">
        <v>3</v>
      </c>
      <c r="F220">
        <v>560</v>
      </c>
      <c r="G220" s="36">
        <v>1680</v>
      </c>
    </row>
    <row r="221" spans="1:7">
      <c r="A221" s="344"/>
      <c r="C221" t="s">
        <v>533</v>
      </c>
      <c r="D221" t="s">
        <v>173</v>
      </c>
      <c r="E221">
        <v>15.38</v>
      </c>
      <c r="F221">
        <v>560</v>
      </c>
      <c r="G221" s="36">
        <v>8612.8000000000011</v>
      </c>
    </row>
    <row r="222" spans="1:7">
      <c r="A222" s="344"/>
      <c r="C222" t="s">
        <v>534</v>
      </c>
      <c r="D222" t="s">
        <v>173</v>
      </c>
      <c r="E222">
        <v>1</v>
      </c>
      <c r="F222">
        <v>560</v>
      </c>
      <c r="G222" s="36">
        <v>560</v>
      </c>
    </row>
    <row r="223" spans="1:7">
      <c r="A223" s="344"/>
      <c r="B223">
        <v>8</v>
      </c>
      <c r="C223" t="s">
        <v>535</v>
      </c>
      <c r="D223" t="s">
        <v>436</v>
      </c>
      <c r="E223">
        <v>15.38</v>
      </c>
      <c r="F223">
        <v>138.44999999999999</v>
      </c>
      <c r="G223" s="36">
        <v>2129.3609999999999</v>
      </c>
    </row>
    <row r="224" spans="1:7">
      <c r="A224" s="344"/>
      <c r="C224" t="s">
        <v>536</v>
      </c>
      <c r="D224">
        <v>0.1</v>
      </c>
      <c r="G224" s="36">
        <v>212.93610000000001</v>
      </c>
    </row>
    <row r="225" spans="1:7">
      <c r="A225" s="344"/>
      <c r="B225" t="s">
        <v>175</v>
      </c>
      <c r="F225" t="s">
        <v>169</v>
      </c>
      <c r="G225" s="36">
        <v>27842.447100000001</v>
      </c>
    </row>
    <row r="226" spans="1:7">
      <c r="A226" s="344"/>
      <c r="B226" t="s">
        <v>176</v>
      </c>
      <c r="E226">
        <v>1810.3</v>
      </c>
      <c r="G226" s="36"/>
    </row>
    <row r="227" spans="1:7">
      <c r="A227" s="344"/>
      <c r="B227" t="s">
        <v>177</v>
      </c>
      <c r="D227">
        <v>0.13615000000000002</v>
      </c>
      <c r="E227">
        <v>246.5</v>
      </c>
      <c r="G227" s="36"/>
    </row>
    <row r="228" spans="1:7">
      <c r="A228" s="344"/>
      <c r="B228" t="s">
        <v>178</v>
      </c>
      <c r="E228">
        <v>2056.8000000000002</v>
      </c>
      <c r="G228" s="36"/>
    </row>
    <row r="229" spans="1:7">
      <c r="A229" s="344"/>
      <c r="G229" s="36"/>
    </row>
    <row r="230" spans="1:7">
      <c r="A230" s="344"/>
      <c r="B230" t="s">
        <v>179</v>
      </c>
      <c r="G230" s="36"/>
    </row>
    <row r="231" spans="1:7">
      <c r="A231" s="344"/>
      <c r="B231" t="s">
        <v>180</v>
      </c>
      <c r="F231" t="s">
        <v>169</v>
      </c>
      <c r="G231" s="36">
        <v>46007.963137099003</v>
      </c>
    </row>
    <row r="232" spans="1:7">
      <c r="A232" s="344"/>
      <c r="B232" t="s">
        <v>181</v>
      </c>
      <c r="F232" t="s">
        <v>169</v>
      </c>
      <c r="G232" s="36">
        <v>2856.2999999999997</v>
      </c>
    </row>
    <row r="233" spans="1:7">
      <c r="A233" s="344"/>
      <c r="B233" t="s">
        <v>182</v>
      </c>
      <c r="F233" t="s">
        <v>169</v>
      </c>
      <c r="G233" s="36">
        <v>27842.447100000001</v>
      </c>
    </row>
    <row r="234" spans="1:7">
      <c r="A234" s="344"/>
      <c r="F234" t="s">
        <v>183</v>
      </c>
      <c r="G234" s="36">
        <v>76706.710237099003</v>
      </c>
    </row>
    <row r="235" spans="1:7">
      <c r="A235" s="344"/>
      <c r="B235" t="s">
        <v>184</v>
      </c>
      <c r="E235">
        <v>0.13615000000000002</v>
      </c>
      <c r="F235" t="s">
        <v>169</v>
      </c>
      <c r="G235" s="36">
        <v>10443.620000000001</v>
      </c>
    </row>
    <row r="236" spans="1:7">
      <c r="A236" s="344"/>
      <c r="B236" t="s">
        <v>185</v>
      </c>
      <c r="D236">
        <v>15.38</v>
      </c>
      <c r="E236" t="s">
        <v>163</v>
      </c>
      <c r="F236" t="s">
        <v>169</v>
      </c>
      <c r="G236" s="36">
        <v>87150.330237098999</v>
      </c>
    </row>
    <row r="237" spans="1:7">
      <c r="A237" s="345"/>
      <c r="B237" s="35" t="s">
        <v>186</v>
      </c>
      <c r="C237" s="35" t="s">
        <v>163</v>
      </c>
      <c r="D237" s="35" t="s">
        <v>537</v>
      </c>
      <c r="E237" s="35"/>
      <c r="F237" s="35" t="s">
        <v>187</v>
      </c>
      <c r="G237" s="342">
        <v>5666.5</v>
      </c>
    </row>
    <row r="238" spans="1:7">
      <c r="A238" s="338" t="s">
        <v>633</v>
      </c>
      <c r="B238" s="37"/>
      <c r="C238" s="37"/>
      <c r="D238" s="37"/>
      <c r="E238" s="37" t="s">
        <v>5</v>
      </c>
      <c r="F238" s="37">
        <f>+F179</f>
        <v>15.38</v>
      </c>
      <c r="G238" s="354" t="s">
        <v>4</v>
      </c>
    </row>
    <row r="239" spans="1:7">
      <c r="A239" s="12" t="s">
        <v>165</v>
      </c>
      <c r="B239" s="6" t="s">
        <v>507</v>
      </c>
      <c r="C239" s="6"/>
      <c r="D239" s="6" t="s">
        <v>5</v>
      </c>
      <c r="E239" s="6" t="s">
        <v>166</v>
      </c>
      <c r="F239" s="6" t="s">
        <v>6</v>
      </c>
      <c r="G239" s="6" t="s">
        <v>7</v>
      </c>
    </row>
    <row r="240" spans="1:7">
      <c r="A240" s="12">
        <v>1</v>
      </c>
      <c r="B240" s="422" t="s">
        <v>510</v>
      </c>
      <c r="C240" s="422"/>
      <c r="D240" s="6" t="s">
        <v>163</v>
      </c>
      <c r="E240" s="6">
        <v>6.9210000000000003</v>
      </c>
      <c r="F240" s="351">
        <f>+'Lead '!N6</f>
        <v>776.33230500000013</v>
      </c>
      <c r="G240" s="351">
        <f>+F240*E240</f>
        <v>5372.9958829050011</v>
      </c>
    </row>
    <row r="241" spans="1:7">
      <c r="A241" s="12">
        <v>2</v>
      </c>
      <c r="B241" s="422" t="s">
        <v>511</v>
      </c>
      <c r="C241" s="422" t="s">
        <v>163</v>
      </c>
      <c r="D241" s="6" t="s">
        <v>163</v>
      </c>
      <c r="E241" s="6">
        <v>4.1526000000000005</v>
      </c>
      <c r="F241" s="351">
        <f>+'Lead '!N6</f>
        <v>776.33230500000013</v>
      </c>
      <c r="G241" s="351">
        <f t="shared" ref="G241:G243" si="0">+F241*E241</f>
        <v>3223.7975297430012</v>
      </c>
    </row>
    <row r="242" spans="1:7">
      <c r="A242" s="12">
        <v>3</v>
      </c>
      <c r="B242" s="422" t="s">
        <v>512</v>
      </c>
      <c r="C242" s="422" t="s">
        <v>163</v>
      </c>
      <c r="D242" s="6" t="s">
        <v>163</v>
      </c>
      <c r="E242" s="6">
        <v>2.7684000000000002</v>
      </c>
      <c r="F242" s="351">
        <f>+'Lead '!N6</f>
        <v>776.33230500000013</v>
      </c>
      <c r="G242" s="351">
        <f t="shared" si="0"/>
        <v>2149.1983531620003</v>
      </c>
    </row>
    <row r="243" spans="1:7">
      <c r="A243" s="12">
        <v>4</v>
      </c>
      <c r="B243" s="422" t="s">
        <v>513</v>
      </c>
      <c r="C243" s="422" t="s">
        <v>163</v>
      </c>
      <c r="D243" s="6" t="s">
        <v>163</v>
      </c>
      <c r="E243" s="6">
        <v>6.152000000000001</v>
      </c>
      <c r="F243" s="351">
        <f>+'Lead '!N7</f>
        <v>776.33230500000013</v>
      </c>
      <c r="G243" s="351">
        <f t="shared" si="0"/>
        <v>4775.9963403600013</v>
      </c>
    </row>
    <row r="244" spans="1:7">
      <c r="A244" s="7"/>
      <c r="B244" s="355"/>
      <c r="C244" s="356"/>
      <c r="D244" s="6"/>
      <c r="E244" s="6"/>
      <c r="F244" s="6" t="s">
        <v>187</v>
      </c>
      <c r="G244" s="351">
        <f>+G243+G242+G241+G240</f>
        <v>15521.988106170003</v>
      </c>
    </row>
    <row r="245" spans="1:7">
      <c r="A245" s="7"/>
      <c r="B245" s="6" t="s">
        <v>634</v>
      </c>
      <c r="C245" s="6"/>
      <c r="D245" s="6"/>
      <c r="E245" s="6"/>
      <c r="F245" s="6" t="s">
        <v>187</v>
      </c>
      <c r="G245" s="352">
        <f>+G244/F238</f>
        <v>1009.2319965000002</v>
      </c>
    </row>
    <row r="246" spans="1:7">
      <c r="A246" s="7"/>
      <c r="B246" s="6" t="s">
        <v>635</v>
      </c>
      <c r="C246" s="6"/>
      <c r="D246" s="6"/>
      <c r="E246" s="6"/>
      <c r="F246" s="6" t="s">
        <v>187</v>
      </c>
      <c r="G246" s="353">
        <f>+ROUND((G245+G237),1)</f>
        <v>6675.7</v>
      </c>
    </row>
    <row r="249" spans="1:7">
      <c r="A249" s="343" t="s">
        <v>20</v>
      </c>
      <c r="B249" s="411" t="s">
        <v>627</v>
      </c>
      <c r="C249" s="412"/>
      <c r="D249" s="412"/>
      <c r="E249" s="412"/>
      <c r="F249" s="412"/>
      <c r="G249" s="413"/>
    </row>
    <row r="250" spans="1:7">
      <c r="A250" s="344"/>
      <c r="B250" s="414"/>
      <c r="C250" s="415"/>
      <c r="D250" s="415"/>
      <c r="E250" s="415"/>
      <c r="F250" s="415"/>
      <c r="G250" s="416"/>
    </row>
    <row r="251" spans="1:7">
      <c r="A251" s="344"/>
      <c r="B251" s="414"/>
      <c r="C251" s="415"/>
      <c r="D251" s="415"/>
      <c r="E251" s="415"/>
      <c r="F251" s="415"/>
      <c r="G251" s="416"/>
    </row>
    <row r="252" spans="1:7" ht="61.15" customHeight="1">
      <c r="A252" s="345"/>
      <c r="B252" s="417"/>
      <c r="C252" s="418"/>
      <c r="D252" s="418"/>
      <c r="E252" s="418"/>
      <c r="F252" s="418"/>
      <c r="G252" s="419"/>
    </row>
    <row r="253" spans="1:7" hidden="1">
      <c r="A253" s="339" t="s">
        <v>87</v>
      </c>
      <c r="B253" t="s">
        <v>478</v>
      </c>
      <c r="G253" s="36"/>
    </row>
    <row r="254" spans="1:7" hidden="1">
      <c r="A254" s="339"/>
      <c r="B254" t="s">
        <v>538</v>
      </c>
      <c r="G254" s="36"/>
    </row>
    <row r="255" spans="1:7" hidden="1">
      <c r="A255" s="339"/>
      <c r="B255" t="s">
        <v>539</v>
      </c>
      <c r="G255" s="36"/>
    </row>
    <row r="256" spans="1:7" hidden="1">
      <c r="A256" s="339"/>
      <c r="B256" t="s">
        <v>540</v>
      </c>
      <c r="D256">
        <v>15.71</v>
      </c>
      <c r="E256" t="s">
        <v>482</v>
      </c>
      <c r="G256" s="36"/>
    </row>
    <row r="257" spans="1:7" hidden="1">
      <c r="A257" s="339"/>
      <c r="B257" t="s">
        <v>483</v>
      </c>
      <c r="G257" s="36"/>
    </row>
    <row r="258" spans="1:7" hidden="1">
      <c r="A258" s="339"/>
      <c r="B258" t="s">
        <v>541</v>
      </c>
      <c r="G258" s="36"/>
    </row>
    <row r="259" spans="1:7" hidden="1">
      <c r="A259" s="339"/>
      <c r="B259" t="s">
        <v>542</v>
      </c>
      <c r="D259">
        <v>338.35648049999998</v>
      </c>
      <c r="E259" t="s">
        <v>486</v>
      </c>
      <c r="G259" s="36"/>
    </row>
    <row r="260" spans="1:7" hidden="1">
      <c r="A260" s="339"/>
      <c r="B260" t="s">
        <v>543</v>
      </c>
      <c r="G260" s="36"/>
    </row>
    <row r="261" spans="1:7" hidden="1">
      <c r="A261" s="339"/>
      <c r="B261" t="s">
        <v>544</v>
      </c>
      <c r="D261">
        <v>138.44999999999999</v>
      </c>
      <c r="E261" t="s">
        <v>486</v>
      </c>
      <c r="G261" s="36"/>
    </row>
    <row r="262" spans="1:7" hidden="1">
      <c r="A262" s="339"/>
      <c r="B262" t="s">
        <v>545</v>
      </c>
      <c r="G262" s="36"/>
    </row>
    <row r="263" spans="1:7" hidden="1">
      <c r="A263" s="339"/>
      <c r="B263" t="s">
        <v>546</v>
      </c>
      <c r="G263" s="36"/>
    </row>
    <row r="264" spans="1:7" hidden="1">
      <c r="A264" s="339"/>
      <c r="B264" t="s">
        <v>547</v>
      </c>
      <c r="G264" s="36"/>
    </row>
    <row r="265" spans="1:7" hidden="1">
      <c r="A265" s="339"/>
      <c r="B265" t="s">
        <v>548</v>
      </c>
      <c r="G265" s="36"/>
    </row>
    <row r="266" spans="1:7" hidden="1">
      <c r="A266" s="339"/>
      <c r="G266" s="36"/>
    </row>
    <row r="267" spans="1:7">
      <c r="A267" s="343" t="s">
        <v>87</v>
      </c>
      <c r="C267" t="s">
        <v>161</v>
      </c>
      <c r="E267" t="s">
        <v>162</v>
      </c>
      <c r="F267">
        <v>15.71</v>
      </c>
      <c r="G267" s="36" t="s">
        <v>163</v>
      </c>
    </row>
    <row r="268" spans="1:7">
      <c r="A268" s="344"/>
      <c r="B268" t="s">
        <v>164</v>
      </c>
      <c r="G268" s="36"/>
    </row>
    <row r="269" spans="1:7">
      <c r="A269" s="344"/>
      <c r="B269" t="s">
        <v>165</v>
      </c>
      <c r="C269" t="s">
        <v>507</v>
      </c>
      <c r="D269" t="s">
        <v>5</v>
      </c>
      <c r="E269" t="s">
        <v>166</v>
      </c>
      <c r="F269" t="s">
        <v>6</v>
      </c>
      <c r="G269" s="36" t="s">
        <v>7</v>
      </c>
    </row>
    <row r="270" spans="1:7">
      <c r="A270" s="344"/>
      <c r="F270" t="s">
        <v>167</v>
      </c>
      <c r="G270" s="36" t="s">
        <v>167</v>
      </c>
    </row>
    <row r="271" spans="1:7">
      <c r="A271" s="344"/>
      <c r="B271">
        <v>1</v>
      </c>
      <c r="C271" t="s">
        <v>508</v>
      </c>
      <c r="D271" t="s">
        <v>119</v>
      </c>
      <c r="E271">
        <v>4398.8</v>
      </c>
      <c r="F271">
        <v>4.22</v>
      </c>
      <c r="G271" s="36">
        <v>18562.935999999998</v>
      </c>
    </row>
    <row r="272" spans="1:7">
      <c r="A272" s="344"/>
      <c r="C272" t="s">
        <v>549</v>
      </c>
      <c r="D272" t="s">
        <v>119</v>
      </c>
      <c r="E272">
        <v>78.550000000000011</v>
      </c>
      <c r="F272">
        <v>4.22</v>
      </c>
      <c r="G272" s="36">
        <v>331.48100000000005</v>
      </c>
    </row>
    <row r="273" spans="1:7">
      <c r="A273" s="344"/>
      <c r="B273">
        <v>2</v>
      </c>
      <c r="C273" t="s">
        <v>511</v>
      </c>
      <c r="D273" t="s">
        <v>163</v>
      </c>
      <c r="E273">
        <v>8.1692000000000018</v>
      </c>
      <c r="F273">
        <v>1445</v>
      </c>
      <c r="G273" s="36">
        <v>11804.494000000002</v>
      </c>
    </row>
    <row r="274" spans="1:7">
      <c r="A274" s="344"/>
      <c r="C274" t="s">
        <v>512</v>
      </c>
      <c r="D274" t="s">
        <v>163</v>
      </c>
      <c r="E274">
        <v>4.3988000000000005</v>
      </c>
      <c r="F274">
        <v>1052</v>
      </c>
      <c r="G274" s="36">
        <v>4627.5376000000006</v>
      </c>
    </row>
    <row r="275" spans="1:7">
      <c r="A275" s="344"/>
      <c r="B275">
        <v>3</v>
      </c>
      <c r="C275" t="s">
        <v>513</v>
      </c>
      <c r="D275" t="s">
        <v>163</v>
      </c>
      <c r="E275">
        <v>7.0695000000000006</v>
      </c>
      <c r="F275">
        <v>605</v>
      </c>
      <c r="G275" s="36">
        <v>4277.0475000000006</v>
      </c>
    </row>
    <row r="276" spans="1:7">
      <c r="A276" s="344"/>
      <c r="B276">
        <v>4</v>
      </c>
      <c r="C276" t="s">
        <v>514</v>
      </c>
      <c r="D276" t="s">
        <v>119</v>
      </c>
      <c r="E276">
        <v>17.595200000000002</v>
      </c>
      <c r="F276">
        <v>63</v>
      </c>
      <c r="G276" s="36">
        <v>1108.4976000000001</v>
      </c>
    </row>
    <row r="277" spans="1:7">
      <c r="A277" s="344"/>
      <c r="B277">
        <v>5</v>
      </c>
      <c r="C277" t="s">
        <v>515</v>
      </c>
      <c r="D277" t="s">
        <v>436</v>
      </c>
      <c r="E277">
        <v>31.42</v>
      </c>
      <c r="F277">
        <v>338.35648049999998</v>
      </c>
      <c r="G277" s="36">
        <v>10631.160617309999</v>
      </c>
    </row>
    <row r="278" spans="1:7">
      <c r="A278" s="344"/>
      <c r="C278" t="s">
        <v>516</v>
      </c>
      <c r="D278">
        <v>0.25</v>
      </c>
      <c r="G278" s="36">
        <v>2657.7901543274997</v>
      </c>
    </row>
    <row r="279" spans="1:7">
      <c r="A279" s="344"/>
      <c r="B279">
        <v>6</v>
      </c>
      <c r="C279" t="s">
        <v>517</v>
      </c>
      <c r="D279" t="s">
        <v>518</v>
      </c>
      <c r="E279">
        <v>0.5</v>
      </c>
      <c r="F279">
        <v>41</v>
      </c>
      <c r="G279" s="36">
        <v>20.5</v>
      </c>
    </row>
    <row r="280" spans="1:7">
      <c r="A280" s="344"/>
      <c r="B280" t="s">
        <v>168</v>
      </c>
      <c r="F280" t="s">
        <v>169</v>
      </c>
      <c r="G280" s="36">
        <v>54021.444471637507</v>
      </c>
    </row>
    <row r="281" spans="1:7">
      <c r="A281" s="344"/>
      <c r="G281" s="36"/>
    </row>
    <row r="282" spans="1:7">
      <c r="A282" s="344"/>
      <c r="B282" t="s">
        <v>170</v>
      </c>
      <c r="G282" s="36"/>
    </row>
    <row r="283" spans="1:7">
      <c r="A283" s="344"/>
      <c r="B283" t="s">
        <v>165</v>
      </c>
      <c r="C283" t="s">
        <v>8</v>
      </c>
      <c r="D283" t="s">
        <v>5</v>
      </c>
      <c r="E283" t="s">
        <v>166</v>
      </c>
      <c r="F283" t="s">
        <v>6</v>
      </c>
      <c r="G283" s="36" t="s">
        <v>7</v>
      </c>
    </row>
    <row r="284" spans="1:7">
      <c r="A284" s="344"/>
      <c r="F284" t="s">
        <v>167</v>
      </c>
      <c r="G284" s="36" t="s">
        <v>167</v>
      </c>
    </row>
    <row r="285" spans="1:7">
      <c r="A285" s="344"/>
      <c r="B285">
        <v>1</v>
      </c>
      <c r="C285" t="s">
        <v>519</v>
      </c>
      <c r="D285" t="s">
        <v>520</v>
      </c>
      <c r="E285">
        <v>8</v>
      </c>
      <c r="F285">
        <v>53.9</v>
      </c>
      <c r="G285" s="36">
        <v>431.2</v>
      </c>
    </row>
    <row r="286" spans="1:7">
      <c r="A286" s="344"/>
      <c r="C286" t="s">
        <v>521</v>
      </c>
      <c r="D286" t="s">
        <v>520</v>
      </c>
      <c r="E286">
        <v>8</v>
      </c>
      <c r="F286">
        <v>136.69999999999999</v>
      </c>
      <c r="G286" s="36">
        <v>1093.5999999999999</v>
      </c>
    </row>
    <row r="287" spans="1:7">
      <c r="A287" s="344"/>
      <c r="B287">
        <v>2</v>
      </c>
      <c r="C287" t="s">
        <v>522</v>
      </c>
      <c r="D287" t="s">
        <v>520</v>
      </c>
      <c r="E287">
        <v>0.5</v>
      </c>
      <c r="F287">
        <v>10.3</v>
      </c>
      <c r="G287" s="36">
        <v>5.15</v>
      </c>
    </row>
    <row r="288" spans="1:7">
      <c r="A288" s="344"/>
      <c r="C288" t="s">
        <v>521</v>
      </c>
      <c r="D288" t="s">
        <v>520</v>
      </c>
      <c r="E288">
        <v>0.5</v>
      </c>
      <c r="F288">
        <v>136.69999999999999</v>
      </c>
      <c r="G288" s="36">
        <v>68.349999999999994</v>
      </c>
    </row>
    <row r="289" spans="1:7">
      <c r="A289" s="344"/>
      <c r="B289">
        <v>3</v>
      </c>
      <c r="C289" t="s">
        <v>523</v>
      </c>
      <c r="D289" t="s">
        <v>520</v>
      </c>
      <c r="E289">
        <v>1</v>
      </c>
      <c r="F289">
        <v>432.4</v>
      </c>
      <c r="G289" s="36">
        <v>432.4</v>
      </c>
    </row>
    <row r="290" spans="1:7">
      <c r="A290" s="344"/>
      <c r="C290" t="s">
        <v>521</v>
      </c>
      <c r="D290" t="s">
        <v>520</v>
      </c>
      <c r="E290">
        <v>1</v>
      </c>
      <c r="F290">
        <v>516.79999999999995</v>
      </c>
      <c r="G290" s="36">
        <v>516.79999999999995</v>
      </c>
    </row>
    <row r="291" spans="1:7">
      <c r="A291" s="344"/>
      <c r="B291">
        <v>4</v>
      </c>
      <c r="C291" t="s">
        <v>524</v>
      </c>
      <c r="D291" t="s">
        <v>520</v>
      </c>
      <c r="E291">
        <v>8</v>
      </c>
      <c r="F291">
        <v>7.9</v>
      </c>
      <c r="G291" s="36">
        <v>63.2</v>
      </c>
    </row>
    <row r="292" spans="1:7">
      <c r="A292" s="344"/>
      <c r="C292" t="s">
        <v>521</v>
      </c>
      <c r="D292" t="s">
        <v>520</v>
      </c>
      <c r="E292">
        <v>8</v>
      </c>
      <c r="F292">
        <v>30.7</v>
      </c>
      <c r="G292" s="36">
        <v>245.6</v>
      </c>
    </row>
    <row r="293" spans="1:7">
      <c r="A293" s="344"/>
      <c r="B293" t="s">
        <v>171</v>
      </c>
      <c r="F293" t="s">
        <v>169</v>
      </c>
      <c r="G293" s="36">
        <v>2856.2999999999997</v>
      </c>
    </row>
    <row r="294" spans="1:7">
      <c r="A294" s="344"/>
      <c r="G294" s="36"/>
    </row>
    <row r="295" spans="1:7">
      <c r="A295" s="344"/>
      <c r="B295" t="s">
        <v>172</v>
      </c>
      <c r="G295" s="36"/>
    </row>
    <row r="296" spans="1:7">
      <c r="A296" s="344"/>
      <c r="B296" t="s">
        <v>165</v>
      </c>
      <c r="C296" t="s">
        <v>8</v>
      </c>
      <c r="D296" t="s">
        <v>5</v>
      </c>
      <c r="E296" t="s">
        <v>166</v>
      </c>
      <c r="F296" t="s">
        <v>6</v>
      </c>
      <c r="G296" s="36" t="s">
        <v>7</v>
      </c>
    </row>
    <row r="297" spans="1:7">
      <c r="A297" s="344"/>
      <c r="F297" t="s">
        <v>167</v>
      </c>
      <c r="G297" s="36" t="s">
        <v>167</v>
      </c>
    </row>
    <row r="298" spans="1:7">
      <c r="A298" s="344"/>
      <c r="B298">
        <v>1</v>
      </c>
      <c r="C298" t="s">
        <v>525</v>
      </c>
      <c r="D298" t="s">
        <v>520</v>
      </c>
      <c r="E298">
        <v>8</v>
      </c>
      <c r="F298">
        <v>327.60000000000002</v>
      </c>
      <c r="G298" s="36">
        <v>2620.8000000000002</v>
      </c>
    </row>
    <row r="299" spans="1:7">
      <c r="A299" s="344"/>
      <c r="B299">
        <v>2</v>
      </c>
      <c r="C299" t="s">
        <v>526</v>
      </c>
      <c r="D299" t="s">
        <v>520</v>
      </c>
      <c r="E299">
        <v>0.5</v>
      </c>
      <c r="F299">
        <v>163.5</v>
      </c>
      <c r="G299" s="36">
        <v>81.75</v>
      </c>
    </row>
    <row r="300" spans="1:7">
      <c r="A300" s="344"/>
      <c r="B300">
        <v>3</v>
      </c>
      <c r="C300" t="s">
        <v>527</v>
      </c>
      <c r="D300" t="s">
        <v>520</v>
      </c>
      <c r="E300">
        <v>1</v>
      </c>
      <c r="F300">
        <v>258.39999999999998</v>
      </c>
      <c r="G300" s="36">
        <v>258.39999999999998</v>
      </c>
    </row>
    <row r="301" spans="1:7">
      <c r="A301" s="344"/>
      <c r="B301">
        <v>4</v>
      </c>
      <c r="C301" t="s">
        <v>550</v>
      </c>
      <c r="D301" t="s">
        <v>520</v>
      </c>
      <c r="E301">
        <v>8</v>
      </c>
      <c r="F301">
        <v>235.8</v>
      </c>
      <c r="G301" s="36">
        <v>1886.4</v>
      </c>
    </row>
    <row r="302" spans="1:7">
      <c r="A302" s="344"/>
      <c r="B302">
        <v>5</v>
      </c>
      <c r="C302" t="s">
        <v>529</v>
      </c>
      <c r="D302" t="s">
        <v>173</v>
      </c>
      <c r="E302">
        <v>1</v>
      </c>
      <c r="F302">
        <v>670</v>
      </c>
      <c r="G302" s="36">
        <v>670</v>
      </c>
    </row>
    <row r="303" spans="1:7">
      <c r="A303" s="344"/>
      <c r="B303">
        <v>6</v>
      </c>
      <c r="C303" t="s">
        <v>413</v>
      </c>
      <c r="D303" t="s">
        <v>173</v>
      </c>
      <c r="E303">
        <v>1</v>
      </c>
      <c r="F303">
        <v>730</v>
      </c>
      <c r="G303" s="36">
        <v>730</v>
      </c>
    </row>
    <row r="304" spans="1:7">
      <c r="A304" s="344"/>
      <c r="B304">
        <v>7</v>
      </c>
      <c r="C304" t="s">
        <v>174</v>
      </c>
      <c r="G304" s="36"/>
    </row>
    <row r="305" spans="1:7">
      <c r="A305" s="344"/>
      <c r="C305" t="s">
        <v>530</v>
      </c>
      <c r="D305" t="s">
        <v>173</v>
      </c>
      <c r="E305">
        <v>11</v>
      </c>
      <c r="F305">
        <v>560</v>
      </c>
      <c r="G305" s="36">
        <v>6160</v>
      </c>
    </row>
    <row r="306" spans="1:7">
      <c r="A306" s="344"/>
      <c r="C306" t="s">
        <v>531</v>
      </c>
      <c r="D306" t="s">
        <v>173</v>
      </c>
      <c r="E306">
        <v>4</v>
      </c>
      <c r="F306">
        <v>560</v>
      </c>
      <c r="G306" s="36">
        <v>2240</v>
      </c>
    </row>
    <row r="307" spans="1:7">
      <c r="A307" s="344"/>
      <c r="C307" t="s">
        <v>532</v>
      </c>
      <c r="D307" t="s">
        <v>173</v>
      </c>
      <c r="E307">
        <v>4</v>
      </c>
      <c r="F307">
        <v>560</v>
      </c>
      <c r="G307" s="36">
        <v>2240</v>
      </c>
    </row>
    <row r="308" spans="1:7">
      <c r="A308" s="344"/>
      <c r="C308" t="s">
        <v>533</v>
      </c>
      <c r="D308" t="s">
        <v>173</v>
      </c>
      <c r="E308">
        <v>15.71</v>
      </c>
      <c r="F308">
        <v>560</v>
      </c>
      <c r="G308" s="36">
        <v>8797.6</v>
      </c>
    </row>
    <row r="309" spans="1:7">
      <c r="A309" s="344"/>
      <c r="C309" t="s">
        <v>534</v>
      </c>
      <c r="D309" t="s">
        <v>173</v>
      </c>
      <c r="E309">
        <v>1</v>
      </c>
      <c r="F309">
        <v>560</v>
      </c>
      <c r="G309" s="36">
        <v>560</v>
      </c>
    </row>
    <row r="310" spans="1:7">
      <c r="A310" s="344"/>
      <c r="B310">
        <v>8</v>
      </c>
      <c r="C310" t="s">
        <v>535</v>
      </c>
      <c r="D310" t="s">
        <v>436</v>
      </c>
      <c r="E310">
        <v>31.42</v>
      </c>
      <c r="F310">
        <v>138.44999999999999</v>
      </c>
      <c r="G310" s="36">
        <v>4350.0990000000002</v>
      </c>
    </row>
    <row r="311" spans="1:7">
      <c r="A311" s="344"/>
      <c r="C311" t="s">
        <v>536</v>
      </c>
      <c r="D311">
        <v>0.25</v>
      </c>
      <c r="G311" s="36">
        <v>1087.52475</v>
      </c>
    </row>
    <row r="312" spans="1:7">
      <c r="A312" s="344"/>
      <c r="B312" t="s">
        <v>175</v>
      </c>
      <c r="F312" t="s">
        <v>169</v>
      </c>
      <c r="G312" s="36">
        <v>31682.57375</v>
      </c>
    </row>
    <row r="313" spans="1:7">
      <c r="A313" s="344"/>
      <c r="B313" t="s">
        <v>176</v>
      </c>
      <c r="E313">
        <v>2016.7</v>
      </c>
      <c r="G313" s="36"/>
    </row>
    <row r="314" spans="1:7">
      <c r="A314" s="344"/>
      <c r="B314" t="s">
        <v>177</v>
      </c>
      <c r="D314">
        <v>0.13615000000000002</v>
      </c>
      <c r="E314">
        <v>274.60000000000002</v>
      </c>
      <c r="G314" s="36"/>
    </row>
    <row r="315" spans="1:7">
      <c r="A315" s="344"/>
      <c r="B315" t="s">
        <v>178</v>
      </c>
      <c r="E315">
        <v>2291.3000000000002</v>
      </c>
      <c r="G315" s="36"/>
    </row>
    <row r="316" spans="1:7">
      <c r="A316" s="344"/>
      <c r="G316" s="36"/>
    </row>
    <row r="317" spans="1:7">
      <c r="A317" s="344"/>
      <c r="B317" t="s">
        <v>179</v>
      </c>
      <c r="G317" s="36"/>
    </row>
    <row r="318" spans="1:7">
      <c r="A318" s="344"/>
      <c r="B318" t="s">
        <v>180</v>
      </c>
      <c r="F318" t="s">
        <v>169</v>
      </c>
      <c r="G318" s="36">
        <v>54021.444471637507</v>
      </c>
    </row>
    <row r="319" spans="1:7">
      <c r="A319" s="344"/>
      <c r="B319" t="s">
        <v>181</v>
      </c>
      <c r="F319" t="s">
        <v>169</v>
      </c>
      <c r="G319" s="36">
        <v>2856.2999999999997</v>
      </c>
    </row>
    <row r="320" spans="1:7">
      <c r="A320" s="344"/>
      <c r="B320" t="s">
        <v>182</v>
      </c>
      <c r="F320" t="s">
        <v>169</v>
      </c>
      <c r="G320" s="36">
        <v>31682.57375</v>
      </c>
    </row>
    <row r="321" spans="1:7">
      <c r="A321" s="344"/>
      <c r="F321" t="s">
        <v>183</v>
      </c>
      <c r="G321" s="36">
        <v>88560.318221637513</v>
      </c>
    </row>
    <row r="322" spans="1:7">
      <c r="A322" s="344"/>
      <c r="B322" t="s">
        <v>184</v>
      </c>
      <c r="E322">
        <v>0.13615000000000002</v>
      </c>
      <c r="F322" t="s">
        <v>169</v>
      </c>
      <c r="G322" s="36">
        <v>12057.49</v>
      </c>
    </row>
    <row r="323" spans="1:7">
      <c r="A323" s="344"/>
      <c r="B323" t="s">
        <v>185</v>
      </c>
      <c r="D323">
        <v>15.71</v>
      </c>
      <c r="E323" t="s">
        <v>163</v>
      </c>
      <c r="F323" t="s">
        <v>169</v>
      </c>
      <c r="G323" s="36">
        <v>100617.80822163752</v>
      </c>
    </row>
    <row r="324" spans="1:7">
      <c r="A324" s="345"/>
      <c r="B324" s="35" t="s">
        <v>186</v>
      </c>
      <c r="C324" s="35" t="s">
        <v>163</v>
      </c>
      <c r="D324" s="35" t="s">
        <v>551</v>
      </c>
      <c r="E324" s="35"/>
      <c r="F324" s="35" t="s">
        <v>187</v>
      </c>
      <c r="G324" s="342">
        <v>6404.7</v>
      </c>
    </row>
    <row r="325" spans="1:7">
      <c r="A325" s="338" t="s">
        <v>633</v>
      </c>
      <c r="B325" s="37"/>
      <c r="C325" s="37"/>
      <c r="D325" s="37"/>
      <c r="E325" s="37" t="s">
        <v>5</v>
      </c>
      <c r="F325" s="37">
        <f>+F267</f>
        <v>15.71</v>
      </c>
      <c r="G325" s="354" t="s">
        <v>4</v>
      </c>
    </row>
    <row r="326" spans="1:7">
      <c r="A326" s="12" t="s">
        <v>165</v>
      </c>
      <c r="B326" s="6" t="s">
        <v>507</v>
      </c>
      <c r="C326" s="6"/>
      <c r="D326" s="6" t="s">
        <v>5</v>
      </c>
      <c r="E326" s="6" t="s">
        <v>166</v>
      </c>
      <c r="F326" s="6" t="s">
        <v>6</v>
      </c>
      <c r="G326" s="6" t="s">
        <v>7</v>
      </c>
    </row>
    <row r="327" spans="1:7">
      <c r="A327" s="12">
        <v>1</v>
      </c>
      <c r="B327" s="6" t="s">
        <v>511</v>
      </c>
      <c r="C327" s="6"/>
      <c r="D327" s="6" t="s">
        <v>163</v>
      </c>
      <c r="E327">
        <v>8.1692000000000018</v>
      </c>
      <c r="F327" s="351">
        <f>+'Lead '!N6</f>
        <v>776.33230500000013</v>
      </c>
      <c r="G327" s="351">
        <f>+F327*E327</f>
        <v>6342.0138660060029</v>
      </c>
    </row>
    <row r="328" spans="1:7">
      <c r="A328" s="12">
        <v>2</v>
      </c>
      <c r="B328" s="6" t="s">
        <v>512</v>
      </c>
      <c r="C328" s="6"/>
      <c r="D328" s="6" t="s">
        <v>163</v>
      </c>
      <c r="E328">
        <v>4.3988000000000005</v>
      </c>
      <c r="F328" s="351">
        <f>+'Lead '!N6</f>
        <v>776.33230500000013</v>
      </c>
      <c r="G328" s="351">
        <f t="shared" ref="G328:G329" si="1">+F328*E328</f>
        <v>3414.9305432340011</v>
      </c>
    </row>
    <row r="329" spans="1:7">
      <c r="A329" s="12">
        <v>3</v>
      </c>
      <c r="B329" s="6" t="s">
        <v>513</v>
      </c>
      <c r="C329" s="6"/>
      <c r="D329" s="6" t="s">
        <v>163</v>
      </c>
      <c r="E329">
        <v>7.0695000000000006</v>
      </c>
      <c r="F329" s="351">
        <f>+'Lead '!N7</f>
        <v>776.33230500000013</v>
      </c>
      <c r="G329" s="351">
        <f t="shared" si="1"/>
        <v>5488.2812301975018</v>
      </c>
    </row>
    <row r="330" spans="1:7">
      <c r="A330" s="7"/>
      <c r="B330" s="355"/>
      <c r="C330" s="356"/>
      <c r="D330" s="6"/>
      <c r="E330" s="6"/>
      <c r="F330" s="6" t="s">
        <v>187</v>
      </c>
      <c r="G330" s="351">
        <f>SUM(G327:G329)</f>
        <v>15245.225639437507</v>
      </c>
    </row>
    <row r="331" spans="1:7">
      <c r="A331" s="7"/>
      <c r="B331" s="6" t="s">
        <v>634</v>
      </c>
      <c r="C331" s="6"/>
      <c r="D331" s="6"/>
      <c r="E331" s="6"/>
      <c r="F331" s="6" t="s">
        <v>187</v>
      </c>
      <c r="G331" s="352">
        <f>+G330/F325</f>
        <v>970.41538125000045</v>
      </c>
    </row>
    <row r="332" spans="1:7">
      <c r="A332" s="7"/>
      <c r="B332" s="6" t="s">
        <v>635</v>
      </c>
      <c r="C332" s="6"/>
      <c r="D332" s="6"/>
      <c r="E332" s="6"/>
      <c r="F332" s="6" t="s">
        <v>187</v>
      </c>
      <c r="G332" s="353">
        <f>+ROUND((G331+G324),1)</f>
        <v>7375.1</v>
      </c>
    </row>
    <row r="333" spans="1:7">
      <c r="A333" s="338"/>
      <c r="B333" s="39"/>
      <c r="C333" s="37"/>
      <c r="D333" s="37"/>
      <c r="E333" s="37"/>
      <c r="F333" s="37"/>
      <c r="G333" s="357"/>
    </row>
    <row r="334" spans="1:7">
      <c r="A334" s="338" t="s">
        <v>18</v>
      </c>
      <c r="B334" s="411" t="s">
        <v>631</v>
      </c>
      <c r="C334" s="412"/>
      <c r="D334" s="412"/>
      <c r="E334" s="412"/>
      <c r="F334" s="412"/>
      <c r="G334" s="413"/>
    </row>
    <row r="335" spans="1:7" ht="47.45" customHeight="1">
      <c r="B335" s="417"/>
      <c r="C335" s="418"/>
      <c r="D335" s="418"/>
      <c r="E335" s="418"/>
      <c r="F335" s="418"/>
      <c r="G335" s="419"/>
    </row>
    <row r="336" spans="1:7" hidden="1">
      <c r="A336" s="339" t="s">
        <v>87</v>
      </c>
      <c r="B336" t="s">
        <v>552</v>
      </c>
      <c r="G336" s="36"/>
    </row>
    <row r="337" spans="1:7" hidden="1">
      <c r="A337" s="339"/>
      <c r="B337" t="s">
        <v>553</v>
      </c>
      <c r="E337" t="s">
        <v>3</v>
      </c>
      <c r="F337">
        <v>8</v>
      </c>
      <c r="G337" s="36" t="s">
        <v>119</v>
      </c>
    </row>
    <row r="338" spans="1:7" hidden="1">
      <c r="A338" s="339"/>
      <c r="B338" t="s">
        <v>554</v>
      </c>
      <c r="E338" t="s">
        <v>3</v>
      </c>
      <c r="F338">
        <v>5</v>
      </c>
      <c r="G338" s="36" t="s">
        <v>555</v>
      </c>
    </row>
    <row r="339" spans="1:7" hidden="1">
      <c r="A339" s="339"/>
      <c r="B339" t="s">
        <v>556</v>
      </c>
      <c r="D339" t="s">
        <v>3</v>
      </c>
      <c r="E339" t="s">
        <v>557</v>
      </c>
      <c r="G339" s="36"/>
    </row>
    <row r="340" spans="1:7" hidden="1">
      <c r="A340" s="339"/>
      <c r="B340" t="s">
        <v>558</v>
      </c>
      <c r="D340" t="s">
        <v>3</v>
      </c>
      <c r="E340" t="s">
        <v>559</v>
      </c>
      <c r="G340" s="36"/>
    </row>
    <row r="341" spans="1:7" hidden="1">
      <c r="A341" s="339"/>
      <c r="B341" t="s">
        <v>560</v>
      </c>
      <c r="D341" t="s">
        <v>3</v>
      </c>
      <c r="E341" t="s">
        <v>559</v>
      </c>
      <c r="G341" s="36"/>
    </row>
    <row r="342" spans="1:7" ht="10.9" hidden="1" customHeight="1">
      <c r="A342" s="339"/>
      <c r="B342" t="s">
        <v>561</v>
      </c>
      <c r="D342" t="s">
        <v>3</v>
      </c>
      <c r="E342" t="s">
        <v>562</v>
      </c>
      <c r="G342" s="36"/>
    </row>
    <row r="343" spans="1:7">
      <c r="A343" s="343" t="s">
        <v>87</v>
      </c>
      <c r="C343" t="s">
        <v>161</v>
      </c>
      <c r="E343" t="s">
        <v>162</v>
      </c>
      <c r="F343">
        <v>1000</v>
      </c>
      <c r="G343" s="36" t="s">
        <v>119</v>
      </c>
    </row>
    <row r="344" spans="1:7">
      <c r="A344" s="344"/>
      <c r="B344" t="s">
        <v>164</v>
      </c>
      <c r="G344" s="36"/>
    </row>
    <row r="345" spans="1:7">
      <c r="A345" s="344"/>
      <c r="B345" t="s">
        <v>165</v>
      </c>
      <c r="C345" t="s">
        <v>507</v>
      </c>
      <c r="D345" t="s">
        <v>5</v>
      </c>
      <c r="E345" t="s">
        <v>166</v>
      </c>
      <c r="F345" t="s">
        <v>6</v>
      </c>
      <c r="G345" s="36" t="s">
        <v>7</v>
      </c>
    </row>
    <row r="346" spans="1:7">
      <c r="A346" s="344"/>
      <c r="F346" t="s">
        <v>167</v>
      </c>
      <c r="G346" s="36" t="s">
        <v>167</v>
      </c>
    </row>
    <row r="347" spans="1:7">
      <c r="A347" s="344"/>
      <c r="B347">
        <v>1</v>
      </c>
      <c r="C347" t="s">
        <v>563</v>
      </c>
      <c r="D347" t="s">
        <v>119</v>
      </c>
      <c r="E347">
        <v>1050</v>
      </c>
      <c r="F347">
        <v>61</v>
      </c>
      <c r="G347" s="36">
        <v>64050</v>
      </c>
    </row>
    <row r="348" spans="1:7">
      <c r="A348" s="344"/>
      <c r="B348">
        <v>2</v>
      </c>
      <c r="C348" t="s">
        <v>564</v>
      </c>
      <c r="D348" t="s">
        <v>119</v>
      </c>
      <c r="E348">
        <v>8</v>
      </c>
      <c r="F348">
        <v>70</v>
      </c>
      <c r="G348" s="36">
        <v>560</v>
      </c>
    </row>
    <row r="349" spans="1:7">
      <c r="A349" s="344"/>
      <c r="B349">
        <v>3</v>
      </c>
      <c r="C349" t="s">
        <v>565</v>
      </c>
      <c r="D349" t="s">
        <v>518</v>
      </c>
      <c r="E349">
        <v>3</v>
      </c>
      <c r="F349">
        <v>41</v>
      </c>
      <c r="G349" s="36">
        <v>123</v>
      </c>
    </row>
    <row r="350" spans="1:7">
      <c r="A350" s="344"/>
      <c r="B350" t="s">
        <v>168</v>
      </c>
      <c r="F350" t="s">
        <v>169</v>
      </c>
      <c r="G350" s="36">
        <v>64733</v>
      </c>
    </row>
    <row r="351" spans="1:7">
      <c r="A351" s="344"/>
      <c r="G351" s="36"/>
    </row>
    <row r="352" spans="1:7">
      <c r="A352" s="344"/>
      <c r="B352" t="s">
        <v>170</v>
      </c>
      <c r="G352" s="36"/>
    </row>
    <row r="353" spans="1:7">
      <c r="A353" s="344"/>
      <c r="B353" t="s">
        <v>165</v>
      </c>
      <c r="C353" t="s">
        <v>8</v>
      </c>
      <c r="D353" t="s">
        <v>5</v>
      </c>
      <c r="E353" t="s">
        <v>166</v>
      </c>
      <c r="F353" t="s">
        <v>6</v>
      </c>
      <c r="G353" s="36" t="s">
        <v>7</v>
      </c>
    </row>
    <row r="354" spans="1:7">
      <c r="A354" s="344"/>
      <c r="F354" t="s">
        <v>167</v>
      </c>
      <c r="G354" s="36" t="s">
        <v>167</v>
      </c>
    </row>
    <row r="355" spans="1:7">
      <c r="A355" s="344"/>
      <c r="B355">
        <v>1</v>
      </c>
      <c r="C355" t="s">
        <v>198</v>
      </c>
      <c r="E355">
        <v>0</v>
      </c>
      <c r="F355">
        <v>0</v>
      </c>
      <c r="G355" s="36">
        <v>0</v>
      </c>
    </row>
    <row r="356" spans="1:7">
      <c r="A356" s="344"/>
      <c r="E356">
        <v>0</v>
      </c>
      <c r="F356">
        <v>0</v>
      </c>
      <c r="G356" s="36">
        <v>0</v>
      </c>
    </row>
    <row r="357" spans="1:7">
      <c r="A357" s="344"/>
      <c r="B357" t="s">
        <v>171</v>
      </c>
      <c r="F357" t="s">
        <v>169</v>
      </c>
      <c r="G357" s="36">
        <v>0</v>
      </c>
    </row>
    <row r="358" spans="1:7">
      <c r="A358" s="344"/>
      <c r="G358" s="36"/>
    </row>
    <row r="359" spans="1:7">
      <c r="A359" s="344"/>
      <c r="B359" t="s">
        <v>172</v>
      </c>
      <c r="G359" s="36"/>
    </row>
    <row r="360" spans="1:7">
      <c r="A360" s="344"/>
      <c r="B360" t="s">
        <v>165</v>
      </c>
      <c r="C360" t="s">
        <v>8</v>
      </c>
      <c r="D360" t="s">
        <v>5</v>
      </c>
      <c r="E360" t="s">
        <v>166</v>
      </c>
      <c r="F360" t="s">
        <v>6</v>
      </c>
      <c r="G360" s="36" t="s">
        <v>7</v>
      </c>
    </row>
    <row r="361" spans="1:7">
      <c r="A361" s="344"/>
      <c r="F361" t="s">
        <v>167</v>
      </c>
      <c r="G361" s="36" t="s">
        <v>167</v>
      </c>
    </row>
    <row r="362" spans="1:7">
      <c r="A362" s="344"/>
      <c r="B362">
        <v>1</v>
      </c>
      <c r="C362" t="s">
        <v>413</v>
      </c>
      <c r="D362" t="s">
        <v>173</v>
      </c>
      <c r="E362">
        <v>1</v>
      </c>
      <c r="F362">
        <v>730</v>
      </c>
      <c r="G362" s="36">
        <v>730</v>
      </c>
    </row>
    <row r="363" spans="1:7">
      <c r="A363" s="344"/>
      <c r="B363">
        <v>2</v>
      </c>
      <c r="C363" t="s">
        <v>566</v>
      </c>
      <c r="D363" t="s">
        <v>173</v>
      </c>
      <c r="E363">
        <v>6</v>
      </c>
      <c r="F363">
        <v>800</v>
      </c>
      <c r="G363" s="36">
        <v>4800</v>
      </c>
    </row>
    <row r="364" spans="1:7">
      <c r="A364" s="344"/>
      <c r="B364">
        <v>3</v>
      </c>
      <c r="C364" t="s">
        <v>174</v>
      </c>
      <c r="D364" t="s">
        <v>173</v>
      </c>
      <c r="E364">
        <v>11</v>
      </c>
      <c r="F364">
        <v>560</v>
      </c>
      <c r="G364" s="36">
        <v>6160</v>
      </c>
    </row>
    <row r="365" spans="1:7">
      <c r="A365" s="344"/>
      <c r="B365" t="s">
        <v>175</v>
      </c>
      <c r="F365" t="s">
        <v>169</v>
      </c>
      <c r="G365" s="36">
        <v>11690</v>
      </c>
    </row>
    <row r="366" spans="1:7">
      <c r="A366" s="344"/>
      <c r="B366" t="s">
        <v>176</v>
      </c>
      <c r="E366">
        <v>11.7</v>
      </c>
      <c r="G366" s="36"/>
    </row>
    <row r="367" spans="1:7">
      <c r="A367" s="344"/>
      <c r="B367" t="s">
        <v>177</v>
      </c>
      <c r="D367">
        <v>0.13615000000000002</v>
      </c>
      <c r="E367">
        <v>1.6</v>
      </c>
      <c r="G367" s="36"/>
    </row>
    <row r="368" spans="1:7">
      <c r="A368" s="344"/>
      <c r="B368" t="s">
        <v>178</v>
      </c>
      <c r="E368">
        <v>13.3</v>
      </c>
      <c r="G368" s="36"/>
    </row>
    <row r="369" spans="1:7">
      <c r="A369" s="344"/>
      <c r="G369" s="36"/>
    </row>
    <row r="370" spans="1:7">
      <c r="A370" s="344"/>
      <c r="B370" t="s">
        <v>179</v>
      </c>
      <c r="G370" s="36"/>
    </row>
    <row r="371" spans="1:7">
      <c r="A371" s="344"/>
      <c r="B371" t="s">
        <v>180</v>
      </c>
      <c r="F371" t="s">
        <v>169</v>
      </c>
      <c r="G371" s="36">
        <v>64733</v>
      </c>
    </row>
    <row r="372" spans="1:7">
      <c r="A372" s="344"/>
      <c r="B372" t="s">
        <v>181</v>
      </c>
      <c r="F372" t="s">
        <v>169</v>
      </c>
      <c r="G372" s="36">
        <v>0</v>
      </c>
    </row>
    <row r="373" spans="1:7">
      <c r="A373" s="344"/>
      <c r="B373" t="s">
        <v>182</v>
      </c>
      <c r="F373" t="s">
        <v>169</v>
      </c>
      <c r="G373" s="36">
        <v>11690</v>
      </c>
    </row>
    <row r="374" spans="1:7">
      <c r="A374" s="344"/>
      <c r="F374" t="s">
        <v>183</v>
      </c>
      <c r="G374" s="36">
        <v>76423</v>
      </c>
    </row>
    <row r="375" spans="1:7">
      <c r="A375" s="344"/>
      <c r="B375" t="s">
        <v>184</v>
      </c>
      <c r="E375">
        <v>0.13615000000000002</v>
      </c>
      <c r="F375" t="s">
        <v>169</v>
      </c>
      <c r="G375" s="36">
        <v>10404.99</v>
      </c>
    </row>
    <row r="376" spans="1:7">
      <c r="A376" s="344"/>
      <c r="B376" t="s">
        <v>185</v>
      </c>
      <c r="D376">
        <v>1000</v>
      </c>
      <c r="E376" t="s">
        <v>119</v>
      </c>
      <c r="F376" t="s">
        <v>169</v>
      </c>
      <c r="G376" s="36">
        <v>86827.99</v>
      </c>
    </row>
    <row r="377" spans="1:7">
      <c r="A377" s="345"/>
      <c r="B377" s="35" t="s">
        <v>186</v>
      </c>
      <c r="C377" s="35" t="s">
        <v>119</v>
      </c>
      <c r="D377" s="35" t="s">
        <v>567</v>
      </c>
      <c r="E377" s="35"/>
      <c r="F377" s="35" t="s">
        <v>187</v>
      </c>
      <c r="G377" s="342">
        <v>86.8</v>
      </c>
    </row>
    <row r="380" spans="1:7">
      <c r="A380" s="343" t="s">
        <v>21</v>
      </c>
      <c r="B380" s="411" t="s">
        <v>628</v>
      </c>
      <c r="C380" s="412"/>
      <c r="D380" s="412"/>
      <c r="E380" s="412"/>
      <c r="F380" s="412"/>
      <c r="G380" s="413"/>
    </row>
    <row r="381" spans="1:7">
      <c r="A381" s="344"/>
      <c r="B381" s="414"/>
      <c r="C381" s="415"/>
      <c r="D381" s="415"/>
      <c r="E381" s="415"/>
      <c r="F381" s="415"/>
      <c r="G381" s="416"/>
    </row>
    <row r="382" spans="1:7" ht="66" customHeight="1">
      <c r="A382" s="344"/>
      <c r="B382" s="414"/>
      <c r="C382" s="415"/>
      <c r="D382" s="415"/>
      <c r="E382" s="415"/>
      <c r="F382" s="415"/>
      <c r="G382" s="416"/>
    </row>
    <row r="383" spans="1:7" ht="1.1499999999999999" customHeight="1">
      <c r="A383" s="339" t="s">
        <v>568</v>
      </c>
      <c r="B383" s="417"/>
      <c r="C383" s="418"/>
      <c r="D383" s="418"/>
      <c r="E383" s="418"/>
      <c r="F383" s="418"/>
      <c r="G383" s="419"/>
    </row>
    <row r="384" spans="1:7" hidden="1">
      <c r="A384" s="339"/>
      <c r="G384" s="36"/>
    </row>
    <row r="385" spans="1:7" hidden="1">
      <c r="A385" s="339" t="s">
        <v>87</v>
      </c>
      <c r="B385" t="s">
        <v>478</v>
      </c>
      <c r="G385" s="36"/>
    </row>
    <row r="386" spans="1:7" hidden="1">
      <c r="A386" s="339"/>
      <c r="B386" t="s">
        <v>569</v>
      </c>
      <c r="G386" s="36"/>
    </row>
    <row r="387" spans="1:7" hidden="1">
      <c r="A387" s="339"/>
      <c r="B387" t="s">
        <v>570</v>
      </c>
      <c r="G387" s="36"/>
    </row>
    <row r="388" spans="1:7" hidden="1">
      <c r="A388" s="339"/>
      <c r="B388" t="s">
        <v>571</v>
      </c>
      <c r="E388">
        <v>15.76</v>
      </c>
      <c r="G388" s="36" t="s">
        <v>482</v>
      </c>
    </row>
    <row r="389" spans="1:7" hidden="1">
      <c r="A389" s="339"/>
      <c r="B389" t="s">
        <v>483</v>
      </c>
      <c r="G389" s="36"/>
    </row>
    <row r="390" spans="1:7" hidden="1">
      <c r="A390" s="339"/>
      <c r="B390" t="s">
        <v>572</v>
      </c>
      <c r="G390" s="36"/>
    </row>
    <row r="391" spans="1:7" hidden="1">
      <c r="A391" s="339"/>
      <c r="B391" t="s">
        <v>573</v>
      </c>
      <c r="F391">
        <v>415.141974</v>
      </c>
      <c r="G391" s="36" t="s">
        <v>486</v>
      </c>
    </row>
    <row r="392" spans="1:7" hidden="1">
      <c r="A392" s="339"/>
      <c r="B392" t="s">
        <v>574</v>
      </c>
      <c r="G392" s="36"/>
    </row>
    <row r="393" spans="1:7" hidden="1">
      <c r="A393" s="339"/>
      <c r="B393" t="s">
        <v>575</v>
      </c>
      <c r="F393">
        <v>138.44999999999999</v>
      </c>
      <c r="G393" s="36" t="s">
        <v>486</v>
      </c>
    </row>
    <row r="394" spans="1:7" hidden="1">
      <c r="A394" s="339"/>
      <c r="B394" t="s">
        <v>576</v>
      </c>
      <c r="G394" s="36"/>
    </row>
    <row r="395" spans="1:7" hidden="1">
      <c r="A395" s="339"/>
      <c r="B395" t="s">
        <v>546</v>
      </c>
      <c r="G395" s="36"/>
    </row>
    <row r="396" spans="1:7" ht="27" hidden="1" customHeight="1">
      <c r="A396" s="339"/>
      <c r="B396" t="s">
        <v>577</v>
      </c>
      <c r="G396" s="36"/>
    </row>
    <row r="397" spans="1:7" ht="28.9" hidden="1" customHeight="1">
      <c r="A397" s="339"/>
      <c r="G397" s="36"/>
    </row>
    <row r="398" spans="1:7">
      <c r="A398" s="343" t="s">
        <v>87</v>
      </c>
      <c r="C398" t="s">
        <v>161</v>
      </c>
      <c r="E398" t="s">
        <v>162</v>
      </c>
      <c r="F398">
        <v>15.76</v>
      </c>
      <c r="G398" s="36" t="s">
        <v>163</v>
      </c>
    </row>
    <row r="399" spans="1:7">
      <c r="A399" s="344"/>
      <c r="B399" t="s">
        <v>164</v>
      </c>
      <c r="G399" s="36"/>
    </row>
    <row r="400" spans="1:7">
      <c r="A400" s="344"/>
      <c r="B400" t="s">
        <v>165</v>
      </c>
      <c r="C400" t="s">
        <v>507</v>
      </c>
      <c r="D400" t="s">
        <v>5</v>
      </c>
      <c r="E400" t="s">
        <v>166</v>
      </c>
      <c r="F400" t="s">
        <v>6</v>
      </c>
      <c r="G400" s="36" t="s">
        <v>7</v>
      </c>
    </row>
    <row r="401" spans="1:7">
      <c r="A401" s="344"/>
      <c r="F401" t="s">
        <v>167</v>
      </c>
      <c r="G401" s="36" t="s">
        <v>167</v>
      </c>
    </row>
    <row r="402" spans="1:7">
      <c r="A402" s="344"/>
      <c r="B402">
        <v>1</v>
      </c>
      <c r="C402" t="s">
        <v>508</v>
      </c>
      <c r="D402" t="s">
        <v>119</v>
      </c>
      <c r="E402">
        <v>5200.8</v>
      </c>
      <c r="F402">
        <v>4.22</v>
      </c>
      <c r="G402" s="36">
        <v>21947.376</v>
      </c>
    </row>
    <row r="403" spans="1:7">
      <c r="A403" s="344"/>
      <c r="C403" t="s">
        <v>549</v>
      </c>
      <c r="D403" t="s">
        <v>119</v>
      </c>
      <c r="E403">
        <v>78.8</v>
      </c>
      <c r="F403">
        <v>4.22</v>
      </c>
      <c r="G403" s="36">
        <v>332.53599999999994</v>
      </c>
    </row>
    <row r="404" spans="1:7">
      <c r="A404" s="344"/>
      <c r="B404">
        <v>2</v>
      </c>
      <c r="C404" t="s">
        <v>511</v>
      </c>
      <c r="D404" t="s">
        <v>163</v>
      </c>
      <c r="E404">
        <v>8.1951999999999998</v>
      </c>
      <c r="F404">
        <v>1445</v>
      </c>
      <c r="G404" s="36">
        <v>11842.064</v>
      </c>
    </row>
    <row r="405" spans="1:7">
      <c r="A405" s="344"/>
      <c r="C405" t="s">
        <v>512</v>
      </c>
      <c r="D405" t="s">
        <v>163</v>
      </c>
      <c r="E405">
        <v>4.4128000000000007</v>
      </c>
      <c r="F405">
        <v>1052</v>
      </c>
      <c r="G405" s="36">
        <v>4642.2656000000006</v>
      </c>
    </row>
    <row r="406" spans="1:7">
      <c r="A406" s="344"/>
      <c r="B406">
        <v>3</v>
      </c>
      <c r="C406" t="s">
        <v>513</v>
      </c>
      <c r="D406" t="s">
        <v>163</v>
      </c>
      <c r="E406">
        <v>7.0919999999999996</v>
      </c>
      <c r="F406">
        <v>605</v>
      </c>
      <c r="G406" s="36">
        <v>4290.66</v>
      </c>
    </row>
    <row r="407" spans="1:7">
      <c r="A407" s="344"/>
      <c r="B407">
        <v>4</v>
      </c>
      <c r="C407" t="s">
        <v>514</v>
      </c>
      <c r="D407" t="s">
        <v>119</v>
      </c>
      <c r="E407">
        <v>20.8032</v>
      </c>
      <c r="F407">
        <v>63</v>
      </c>
      <c r="G407" s="36">
        <v>1310.6016</v>
      </c>
    </row>
    <row r="408" spans="1:7">
      <c r="A408" s="344"/>
      <c r="B408">
        <v>5</v>
      </c>
      <c r="C408" t="s">
        <v>578</v>
      </c>
      <c r="D408" t="s">
        <v>436</v>
      </c>
      <c r="E408">
        <v>39.4</v>
      </c>
      <c r="F408">
        <v>415.141974</v>
      </c>
      <c r="G408" s="36">
        <v>16356.5937756</v>
      </c>
    </row>
    <row r="409" spans="1:7">
      <c r="A409" s="344"/>
      <c r="C409" t="s">
        <v>516</v>
      </c>
      <c r="D409">
        <v>2.5</v>
      </c>
      <c r="G409" s="36">
        <v>40891.484439</v>
      </c>
    </row>
    <row r="410" spans="1:7">
      <c r="A410" s="344"/>
      <c r="B410">
        <v>6</v>
      </c>
      <c r="C410" t="s">
        <v>517</v>
      </c>
      <c r="D410" t="s">
        <v>518</v>
      </c>
      <c r="E410">
        <v>1</v>
      </c>
      <c r="F410">
        <v>41</v>
      </c>
      <c r="G410" s="36">
        <v>41</v>
      </c>
    </row>
    <row r="411" spans="1:7">
      <c r="A411" s="344"/>
      <c r="B411" t="s">
        <v>168</v>
      </c>
      <c r="F411" t="s">
        <v>169</v>
      </c>
      <c r="G411" s="36">
        <v>101654.58141459999</v>
      </c>
    </row>
    <row r="412" spans="1:7">
      <c r="A412" s="344"/>
      <c r="G412" s="36"/>
    </row>
    <row r="413" spans="1:7">
      <c r="A413" s="344"/>
      <c r="B413" t="s">
        <v>170</v>
      </c>
      <c r="G413" s="36"/>
    </row>
    <row r="414" spans="1:7">
      <c r="A414" s="344"/>
      <c r="B414" t="s">
        <v>165</v>
      </c>
      <c r="C414" t="s">
        <v>8</v>
      </c>
      <c r="D414" t="s">
        <v>5</v>
      </c>
      <c r="E414" t="s">
        <v>166</v>
      </c>
      <c r="F414" t="s">
        <v>6</v>
      </c>
      <c r="G414" s="36" t="s">
        <v>7</v>
      </c>
    </row>
    <row r="415" spans="1:7">
      <c r="A415" s="344"/>
      <c r="F415" t="s">
        <v>167</v>
      </c>
      <c r="G415" s="36" t="s">
        <v>167</v>
      </c>
    </row>
    <row r="416" spans="1:7">
      <c r="A416" s="344"/>
      <c r="B416">
        <v>1</v>
      </c>
      <c r="C416" t="s">
        <v>519</v>
      </c>
      <c r="D416" t="s">
        <v>520</v>
      </c>
      <c r="E416">
        <v>8</v>
      </c>
      <c r="F416">
        <v>53.9</v>
      </c>
      <c r="G416" s="36">
        <v>431.2</v>
      </c>
    </row>
    <row r="417" spans="1:7">
      <c r="A417" s="344"/>
      <c r="C417" t="s">
        <v>521</v>
      </c>
      <c r="D417" t="s">
        <v>520</v>
      </c>
      <c r="E417">
        <v>8</v>
      </c>
      <c r="F417">
        <v>136.69999999999999</v>
      </c>
      <c r="G417" s="36">
        <v>1093.5999999999999</v>
      </c>
    </row>
    <row r="418" spans="1:7">
      <c r="A418" s="344"/>
      <c r="B418">
        <v>2</v>
      </c>
      <c r="C418" t="s">
        <v>522</v>
      </c>
      <c r="D418" t="s">
        <v>520</v>
      </c>
      <c r="E418">
        <v>0.5</v>
      </c>
      <c r="F418">
        <v>10.3</v>
      </c>
      <c r="G418" s="36">
        <v>5.15</v>
      </c>
    </row>
    <row r="419" spans="1:7">
      <c r="A419" s="344"/>
      <c r="C419" t="s">
        <v>521</v>
      </c>
      <c r="D419" t="s">
        <v>520</v>
      </c>
      <c r="E419">
        <v>0.5</v>
      </c>
      <c r="F419">
        <v>136.69999999999999</v>
      </c>
      <c r="G419" s="36">
        <v>68.349999999999994</v>
      </c>
    </row>
    <row r="420" spans="1:7">
      <c r="A420" s="344"/>
      <c r="B420">
        <v>3</v>
      </c>
      <c r="C420" t="s">
        <v>524</v>
      </c>
      <c r="D420" t="s">
        <v>520</v>
      </c>
      <c r="E420">
        <v>8</v>
      </c>
      <c r="F420">
        <v>7.9</v>
      </c>
      <c r="G420" s="36">
        <v>63.2</v>
      </c>
    </row>
    <row r="421" spans="1:7">
      <c r="A421" s="344"/>
      <c r="C421" t="s">
        <v>521</v>
      </c>
      <c r="D421" t="s">
        <v>520</v>
      </c>
      <c r="E421">
        <v>8</v>
      </c>
      <c r="F421">
        <v>30.7</v>
      </c>
      <c r="G421" s="36">
        <v>245.6</v>
      </c>
    </row>
    <row r="422" spans="1:7">
      <c r="A422" s="344"/>
      <c r="B422" t="s">
        <v>171</v>
      </c>
      <c r="F422" t="s">
        <v>169</v>
      </c>
      <c r="G422" s="36">
        <v>1907.1</v>
      </c>
    </row>
    <row r="423" spans="1:7">
      <c r="A423" s="344"/>
      <c r="G423" s="36"/>
    </row>
    <row r="424" spans="1:7">
      <c r="A424" s="344"/>
      <c r="B424" t="s">
        <v>172</v>
      </c>
      <c r="G424" s="36"/>
    </row>
    <row r="425" spans="1:7">
      <c r="A425" s="344"/>
      <c r="B425" t="s">
        <v>165</v>
      </c>
      <c r="C425" t="s">
        <v>8</v>
      </c>
      <c r="D425" t="s">
        <v>5</v>
      </c>
      <c r="E425" t="s">
        <v>166</v>
      </c>
      <c r="F425" t="s">
        <v>6</v>
      </c>
      <c r="G425" s="36" t="s">
        <v>7</v>
      </c>
    </row>
    <row r="426" spans="1:7">
      <c r="A426" s="344"/>
      <c r="F426" t="s">
        <v>167</v>
      </c>
      <c r="G426" s="36" t="s">
        <v>167</v>
      </c>
    </row>
    <row r="427" spans="1:7">
      <c r="A427" s="344"/>
      <c r="B427">
        <v>1</v>
      </c>
      <c r="C427" t="s">
        <v>525</v>
      </c>
      <c r="D427" t="s">
        <v>520</v>
      </c>
      <c r="E427">
        <v>8</v>
      </c>
      <c r="F427">
        <v>327.60000000000002</v>
      </c>
      <c r="G427" s="36">
        <v>2620.8000000000002</v>
      </c>
    </row>
    <row r="428" spans="1:7">
      <c r="A428" s="344"/>
      <c r="B428">
        <v>2</v>
      </c>
      <c r="C428" t="s">
        <v>526</v>
      </c>
      <c r="D428" t="s">
        <v>520</v>
      </c>
      <c r="E428">
        <v>0.5</v>
      </c>
      <c r="F428">
        <v>163.5</v>
      </c>
      <c r="G428" s="36">
        <v>81.75</v>
      </c>
    </row>
    <row r="429" spans="1:7">
      <c r="A429" s="344"/>
      <c r="B429">
        <v>3</v>
      </c>
      <c r="C429" t="s">
        <v>528</v>
      </c>
      <c r="D429" t="s">
        <v>520</v>
      </c>
      <c r="E429">
        <v>8</v>
      </c>
      <c r="F429">
        <v>235.8</v>
      </c>
      <c r="G429" s="36">
        <v>1886.4</v>
      </c>
    </row>
    <row r="430" spans="1:7">
      <c r="A430" s="344"/>
      <c r="B430">
        <v>4</v>
      </c>
      <c r="C430" t="s">
        <v>529</v>
      </c>
      <c r="D430" t="s">
        <v>173</v>
      </c>
      <c r="E430">
        <v>2</v>
      </c>
      <c r="F430">
        <v>670</v>
      </c>
      <c r="G430" s="36">
        <v>1340</v>
      </c>
    </row>
    <row r="431" spans="1:7">
      <c r="A431" s="344"/>
      <c r="B431">
        <v>5</v>
      </c>
      <c r="C431" t="s">
        <v>413</v>
      </c>
      <c r="D431" t="s">
        <v>173</v>
      </c>
      <c r="E431">
        <v>1</v>
      </c>
      <c r="F431">
        <v>730</v>
      </c>
      <c r="G431" s="36">
        <v>730</v>
      </c>
    </row>
    <row r="432" spans="1:7">
      <c r="A432" s="344"/>
      <c r="B432">
        <v>6</v>
      </c>
      <c r="C432" t="s">
        <v>174</v>
      </c>
      <c r="G432" s="36"/>
    </row>
    <row r="433" spans="1:7">
      <c r="A433" s="344"/>
      <c r="C433" t="s">
        <v>530</v>
      </c>
      <c r="D433" t="s">
        <v>173</v>
      </c>
      <c r="E433">
        <v>11</v>
      </c>
      <c r="F433">
        <v>560</v>
      </c>
      <c r="G433" s="36">
        <v>6160</v>
      </c>
    </row>
    <row r="434" spans="1:7">
      <c r="A434" s="344"/>
      <c r="C434" t="s">
        <v>531</v>
      </c>
      <c r="D434" t="s">
        <v>173</v>
      </c>
      <c r="E434">
        <v>4</v>
      </c>
      <c r="F434">
        <v>560</v>
      </c>
      <c r="G434" s="36">
        <v>2240</v>
      </c>
    </row>
    <row r="435" spans="1:7">
      <c r="A435" s="344"/>
      <c r="C435" t="s">
        <v>532</v>
      </c>
      <c r="D435" t="s">
        <v>173</v>
      </c>
      <c r="E435">
        <v>4</v>
      </c>
      <c r="F435">
        <v>560</v>
      </c>
      <c r="G435" s="36">
        <v>2240</v>
      </c>
    </row>
    <row r="436" spans="1:7">
      <c r="A436" s="344"/>
      <c r="C436" t="s">
        <v>533</v>
      </c>
      <c r="D436" t="s">
        <v>173</v>
      </c>
      <c r="E436">
        <v>15.76</v>
      </c>
      <c r="F436">
        <v>560</v>
      </c>
      <c r="G436" s="36">
        <v>8825.6</v>
      </c>
    </row>
    <row r="437" spans="1:7">
      <c r="A437" s="344"/>
      <c r="C437" t="s">
        <v>534</v>
      </c>
      <c r="D437" t="s">
        <v>173</v>
      </c>
      <c r="E437">
        <v>1</v>
      </c>
      <c r="F437">
        <v>560</v>
      </c>
      <c r="G437" s="36">
        <v>560</v>
      </c>
    </row>
    <row r="438" spans="1:7">
      <c r="A438" s="344"/>
      <c r="B438">
        <v>7</v>
      </c>
      <c r="C438" t="s">
        <v>535</v>
      </c>
      <c r="D438" t="s">
        <v>436</v>
      </c>
      <c r="E438">
        <v>39.4</v>
      </c>
      <c r="F438">
        <v>138.44999999999999</v>
      </c>
      <c r="G438" s="36">
        <v>5454.9299999999994</v>
      </c>
    </row>
    <row r="439" spans="1:7">
      <c r="A439" s="344"/>
      <c r="C439" t="s">
        <v>536</v>
      </c>
      <c r="D439">
        <v>2.5</v>
      </c>
      <c r="G439" s="36">
        <v>13637.324999999999</v>
      </c>
    </row>
    <row r="440" spans="1:7">
      <c r="A440" s="344"/>
      <c r="B440" t="s">
        <v>175</v>
      </c>
      <c r="F440" t="s">
        <v>169</v>
      </c>
      <c r="G440" s="36">
        <v>45776.805</v>
      </c>
    </row>
    <row r="441" spans="1:7">
      <c r="A441" s="344"/>
      <c r="B441" t="s">
        <v>176</v>
      </c>
      <c r="E441">
        <v>2904.6</v>
      </c>
      <c r="G441" s="36"/>
    </row>
    <row r="442" spans="1:7">
      <c r="A442" s="344"/>
      <c r="B442" t="s">
        <v>177</v>
      </c>
      <c r="D442">
        <v>0.13615000000000002</v>
      </c>
      <c r="E442">
        <v>395.5</v>
      </c>
      <c r="G442" s="36"/>
    </row>
    <row r="443" spans="1:7">
      <c r="A443" s="344"/>
      <c r="B443" t="s">
        <v>178</v>
      </c>
      <c r="E443">
        <v>3300.1</v>
      </c>
      <c r="G443" s="36"/>
    </row>
    <row r="444" spans="1:7">
      <c r="A444" s="344"/>
      <c r="G444" s="36"/>
    </row>
    <row r="445" spans="1:7">
      <c r="A445" s="344"/>
      <c r="B445" t="s">
        <v>179</v>
      </c>
      <c r="G445" s="36"/>
    </row>
    <row r="446" spans="1:7">
      <c r="A446" s="344"/>
      <c r="B446" t="s">
        <v>180</v>
      </c>
      <c r="F446" t="s">
        <v>169</v>
      </c>
      <c r="G446" s="36">
        <v>101654.58141459999</v>
      </c>
    </row>
    <row r="447" spans="1:7">
      <c r="A447" s="344"/>
      <c r="B447" t="s">
        <v>181</v>
      </c>
      <c r="F447" t="s">
        <v>169</v>
      </c>
      <c r="G447" s="36">
        <v>1907.1</v>
      </c>
    </row>
    <row r="448" spans="1:7">
      <c r="A448" s="344"/>
      <c r="B448" t="s">
        <v>182</v>
      </c>
      <c r="F448" t="s">
        <v>169</v>
      </c>
      <c r="G448" s="36">
        <v>45776.805</v>
      </c>
    </row>
    <row r="449" spans="1:7">
      <c r="A449" s="344"/>
      <c r="F449" t="s">
        <v>183</v>
      </c>
      <c r="G449" s="36">
        <v>149338.48641459999</v>
      </c>
    </row>
    <row r="450" spans="1:7">
      <c r="A450" s="344"/>
      <c r="B450" t="s">
        <v>184</v>
      </c>
      <c r="E450">
        <v>0.13615000000000002</v>
      </c>
      <c r="F450" t="s">
        <v>169</v>
      </c>
      <c r="G450" s="36">
        <v>20332.43</v>
      </c>
    </row>
    <row r="451" spans="1:7">
      <c r="A451" s="344"/>
      <c r="B451" t="s">
        <v>185</v>
      </c>
      <c r="D451">
        <v>15.76</v>
      </c>
      <c r="E451" t="s">
        <v>163</v>
      </c>
      <c r="F451" t="s">
        <v>169</v>
      </c>
      <c r="G451" s="36">
        <v>169670.91641459998</v>
      </c>
    </row>
    <row r="452" spans="1:7">
      <c r="A452" s="345"/>
      <c r="B452" s="35" t="s">
        <v>186</v>
      </c>
      <c r="C452" s="35" t="s">
        <v>163</v>
      </c>
      <c r="D452" s="35" t="s">
        <v>579</v>
      </c>
      <c r="E452" s="35"/>
      <c r="F452" s="35" t="s">
        <v>187</v>
      </c>
      <c r="G452" s="347">
        <v>10765.9</v>
      </c>
    </row>
    <row r="453" spans="1:7">
      <c r="A453" s="338" t="s">
        <v>633</v>
      </c>
      <c r="B453" s="37"/>
      <c r="C453" s="37"/>
      <c r="D453" s="37"/>
      <c r="E453" s="37" t="s">
        <v>5</v>
      </c>
      <c r="F453" s="37">
        <f>+F398</f>
        <v>15.76</v>
      </c>
      <c r="G453" s="354" t="s">
        <v>4</v>
      </c>
    </row>
    <row r="454" spans="1:7">
      <c r="A454" s="12" t="s">
        <v>165</v>
      </c>
      <c r="B454" s="6" t="s">
        <v>507</v>
      </c>
      <c r="C454" s="6"/>
      <c r="D454" s="6" t="s">
        <v>5</v>
      </c>
      <c r="E454" s="6" t="s">
        <v>166</v>
      </c>
      <c r="F454" s="6" t="s">
        <v>6</v>
      </c>
      <c r="G454" s="6" t="s">
        <v>7</v>
      </c>
    </row>
    <row r="455" spans="1:7">
      <c r="A455" s="12">
        <v>1</v>
      </c>
      <c r="B455" s="6" t="s">
        <v>511</v>
      </c>
      <c r="C455" s="6"/>
      <c r="D455" s="6" t="s">
        <v>163</v>
      </c>
      <c r="E455" s="6">
        <v>8.1951999999999998</v>
      </c>
      <c r="F455" s="351">
        <f>+'Lead '!N6</f>
        <v>776.33230500000013</v>
      </c>
      <c r="G455" s="351">
        <f>+F455*E455</f>
        <v>6362.1985059360013</v>
      </c>
    </row>
    <row r="456" spans="1:7">
      <c r="A456" s="12">
        <v>2</v>
      </c>
      <c r="B456" s="6" t="s">
        <v>512</v>
      </c>
      <c r="C456" s="6"/>
      <c r="D456" s="6" t="s">
        <v>163</v>
      </c>
      <c r="E456" s="6">
        <v>4.4128000000000007</v>
      </c>
      <c r="F456" s="351">
        <f>+'Lead '!N6</f>
        <v>776.33230500000013</v>
      </c>
      <c r="G456" s="351">
        <f t="shared" ref="G456:G457" si="2">+F456*E456</f>
        <v>3425.7991955040011</v>
      </c>
    </row>
    <row r="457" spans="1:7">
      <c r="A457" s="12">
        <v>3</v>
      </c>
      <c r="B457" s="6" t="s">
        <v>513</v>
      </c>
      <c r="C457" s="6"/>
      <c r="D457" s="6" t="s">
        <v>163</v>
      </c>
      <c r="E457" s="6">
        <v>7.0919999999999996</v>
      </c>
      <c r="F457" s="351">
        <f>+'Lead '!N7</f>
        <v>776.33230500000013</v>
      </c>
      <c r="G457" s="351">
        <f t="shared" si="2"/>
        <v>5505.7487070600009</v>
      </c>
    </row>
    <row r="458" spans="1:7">
      <c r="A458" s="7"/>
      <c r="B458" s="355"/>
      <c r="C458" s="356"/>
      <c r="D458" s="6"/>
      <c r="E458" s="6"/>
      <c r="F458" s="6" t="s">
        <v>187</v>
      </c>
      <c r="G458" s="351">
        <f>SUM(G455:G457)</f>
        <v>15293.746408500003</v>
      </c>
    </row>
    <row r="459" spans="1:7">
      <c r="A459" s="7"/>
      <c r="B459" s="6" t="s">
        <v>634</v>
      </c>
      <c r="C459" s="6"/>
      <c r="D459" s="6"/>
      <c r="E459" s="6"/>
      <c r="F459" s="6" t="s">
        <v>187</v>
      </c>
      <c r="G459" s="352">
        <f>+G458/F453</f>
        <v>970.41538125000022</v>
      </c>
    </row>
    <row r="460" spans="1:7">
      <c r="A460" s="7"/>
      <c r="B460" s="6" t="s">
        <v>635</v>
      </c>
      <c r="C460" s="6"/>
      <c r="D460" s="6"/>
      <c r="E460" s="6"/>
      <c r="F460" s="6" t="s">
        <v>187</v>
      </c>
      <c r="G460" s="353">
        <f>+ROUND((G459+G452),1)</f>
        <v>11736.3</v>
      </c>
    </row>
    <row r="462" spans="1:7">
      <c r="A462" s="343" t="s">
        <v>22</v>
      </c>
      <c r="B462" s="412" t="s">
        <v>629</v>
      </c>
      <c r="C462" s="412"/>
      <c r="D462" s="412"/>
      <c r="E462" s="412"/>
      <c r="F462" s="412"/>
      <c r="G462" s="413"/>
    </row>
    <row r="463" spans="1:7">
      <c r="A463" s="344"/>
      <c r="B463" s="415"/>
      <c r="C463" s="415"/>
      <c r="D463" s="415"/>
      <c r="E463" s="415"/>
      <c r="F463" s="415"/>
      <c r="G463" s="416"/>
    </row>
    <row r="464" spans="1:7">
      <c r="A464" s="344"/>
      <c r="B464" s="415"/>
      <c r="C464" s="415"/>
      <c r="D464" s="415"/>
      <c r="E464" s="415"/>
      <c r="F464" s="415"/>
      <c r="G464" s="416"/>
    </row>
    <row r="465" spans="1:7" ht="76.900000000000006" customHeight="1">
      <c r="A465" s="344"/>
      <c r="B465" s="415"/>
      <c r="C465" s="415"/>
      <c r="D465" s="415"/>
      <c r="E465" s="415"/>
      <c r="F465" s="415"/>
      <c r="G465" s="416"/>
    </row>
    <row r="466" spans="1:7" ht="1.9" customHeight="1">
      <c r="A466" s="345"/>
      <c r="B466" s="418"/>
      <c r="C466" s="418"/>
      <c r="D466" s="418"/>
      <c r="E466" s="418"/>
      <c r="F466" s="418"/>
      <c r="G466" s="419"/>
    </row>
    <row r="467" spans="1:7" hidden="1">
      <c r="A467" s="339"/>
      <c r="B467" t="s">
        <v>580</v>
      </c>
      <c r="G467" s="36"/>
    </row>
    <row r="468" spans="1:7" hidden="1">
      <c r="A468" s="339"/>
      <c r="B468" t="s">
        <v>571</v>
      </c>
      <c r="E468">
        <v>15.76</v>
      </c>
      <c r="F468" t="s">
        <v>482</v>
      </c>
      <c r="G468" s="36"/>
    </row>
    <row r="469" spans="1:7" hidden="1">
      <c r="A469" s="339"/>
      <c r="B469" t="s">
        <v>483</v>
      </c>
      <c r="G469" s="36"/>
    </row>
    <row r="470" spans="1:7" hidden="1">
      <c r="A470" s="339"/>
      <c r="B470" t="s">
        <v>581</v>
      </c>
      <c r="G470" s="36"/>
    </row>
    <row r="471" spans="1:7" hidden="1">
      <c r="A471" s="339"/>
      <c r="B471" t="s">
        <v>582</v>
      </c>
      <c r="F471">
        <v>338.35648049999998</v>
      </c>
      <c r="G471" s="36" t="s">
        <v>486</v>
      </c>
    </row>
    <row r="472" spans="1:7" hidden="1">
      <c r="A472" s="339"/>
      <c r="B472" t="s">
        <v>583</v>
      </c>
      <c r="F472">
        <v>138.44999999999999</v>
      </c>
      <c r="G472" s="36" t="s">
        <v>486</v>
      </c>
    </row>
    <row r="473" spans="1:7" hidden="1">
      <c r="A473" s="339"/>
      <c r="B473" t="s">
        <v>584</v>
      </c>
      <c r="G473" s="36"/>
    </row>
    <row r="474" spans="1:7" hidden="1">
      <c r="A474" s="339"/>
      <c r="B474" t="s">
        <v>546</v>
      </c>
      <c r="G474" s="36"/>
    </row>
    <row r="475" spans="1:7" ht="30" hidden="1" customHeight="1">
      <c r="A475" s="339"/>
      <c r="B475" t="s">
        <v>585</v>
      </c>
      <c r="G475" s="36"/>
    </row>
    <row r="476" spans="1:7" ht="15" hidden="1" customHeight="1">
      <c r="A476" s="339"/>
      <c r="B476" t="s">
        <v>586</v>
      </c>
      <c r="G476" s="36"/>
    </row>
    <row r="477" spans="1:7" ht="12.6" hidden="1" customHeight="1">
      <c r="A477" s="339"/>
      <c r="G477" s="36"/>
    </row>
    <row r="478" spans="1:7">
      <c r="A478" s="343" t="s">
        <v>87</v>
      </c>
      <c r="C478" t="s">
        <v>161</v>
      </c>
      <c r="E478" t="s">
        <v>162</v>
      </c>
      <c r="F478">
        <v>15.76</v>
      </c>
      <c r="G478" s="36" t="s">
        <v>163</v>
      </c>
    </row>
    <row r="479" spans="1:7">
      <c r="A479" s="344"/>
      <c r="B479" t="s">
        <v>164</v>
      </c>
      <c r="G479" s="36"/>
    </row>
    <row r="480" spans="1:7">
      <c r="A480" s="344"/>
      <c r="B480" t="s">
        <v>165</v>
      </c>
      <c r="C480" t="s">
        <v>507</v>
      </c>
      <c r="D480" t="s">
        <v>5</v>
      </c>
      <c r="E480" t="s">
        <v>166</v>
      </c>
      <c r="F480" t="s">
        <v>6</v>
      </c>
      <c r="G480" s="36" t="s">
        <v>7</v>
      </c>
    </row>
    <row r="481" spans="1:7">
      <c r="A481" s="344"/>
      <c r="F481" t="s">
        <v>167</v>
      </c>
      <c r="G481" s="36" t="s">
        <v>167</v>
      </c>
    </row>
    <row r="482" spans="1:7">
      <c r="A482" s="344"/>
      <c r="B482">
        <v>1</v>
      </c>
      <c r="C482" t="s">
        <v>508</v>
      </c>
      <c r="D482" t="s">
        <v>119</v>
      </c>
      <c r="E482">
        <v>5200.8</v>
      </c>
      <c r="F482">
        <v>4.22</v>
      </c>
      <c r="G482" s="36">
        <v>21947.376</v>
      </c>
    </row>
    <row r="483" spans="1:7">
      <c r="A483" s="344"/>
      <c r="C483" t="s">
        <v>549</v>
      </c>
      <c r="D483" t="s">
        <v>119</v>
      </c>
      <c r="E483">
        <v>78.8</v>
      </c>
      <c r="F483">
        <v>4.22</v>
      </c>
      <c r="G483" s="36">
        <v>332.53599999999994</v>
      </c>
    </row>
    <row r="484" spans="1:7">
      <c r="A484" s="344"/>
      <c r="B484">
        <v>2</v>
      </c>
      <c r="C484" t="s">
        <v>511</v>
      </c>
      <c r="D484" t="s">
        <v>163</v>
      </c>
      <c r="E484">
        <v>8.1951999999999998</v>
      </c>
      <c r="F484">
        <v>1445</v>
      </c>
      <c r="G484" s="36">
        <v>11842.064</v>
      </c>
    </row>
    <row r="485" spans="1:7">
      <c r="A485" s="344"/>
      <c r="C485" t="s">
        <v>512</v>
      </c>
      <c r="D485" t="s">
        <v>163</v>
      </c>
      <c r="E485">
        <v>4.4128000000000007</v>
      </c>
      <c r="F485">
        <v>1052</v>
      </c>
      <c r="G485" s="36">
        <v>4642.2656000000006</v>
      </c>
    </row>
    <row r="486" spans="1:7">
      <c r="A486" s="344"/>
      <c r="B486">
        <v>3</v>
      </c>
      <c r="C486" t="s">
        <v>513</v>
      </c>
      <c r="D486" t="s">
        <v>163</v>
      </c>
      <c r="E486">
        <v>7.0919999999999996</v>
      </c>
      <c r="F486">
        <v>605</v>
      </c>
      <c r="G486" s="36">
        <v>4290.66</v>
      </c>
    </row>
    <row r="487" spans="1:7">
      <c r="A487" s="344"/>
      <c r="B487">
        <v>4</v>
      </c>
      <c r="C487" t="s">
        <v>514</v>
      </c>
      <c r="D487" t="s">
        <v>119</v>
      </c>
      <c r="E487">
        <v>20.8032</v>
      </c>
      <c r="F487">
        <v>63</v>
      </c>
      <c r="G487" s="36">
        <v>1310.6016</v>
      </c>
    </row>
    <row r="488" spans="1:7">
      <c r="A488" s="344"/>
      <c r="B488">
        <v>5</v>
      </c>
      <c r="C488" t="s">
        <v>587</v>
      </c>
      <c r="D488" t="s">
        <v>436</v>
      </c>
      <c r="E488">
        <v>7.88</v>
      </c>
      <c r="F488">
        <v>338.35648049999998</v>
      </c>
      <c r="G488" s="36">
        <v>2666.2490663399999</v>
      </c>
    </row>
    <row r="489" spans="1:7">
      <c r="A489" s="344"/>
      <c r="B489">
        <v>6</v>
      </c>
      <c r="C489" t="s">
        <v>588</v>
      </c>
      <c r="D489" t="s">
        <v>518</v>
      </c>
      <c r="E489">
        <v>5</v>
      </c>
      <c r="F489">
        <v>41</v>
      </c>
      <c r="G489" s="36">
        <v>205</v>
      </c>
    </row>
    <row r="490" spans="1:7">
      <c r="A490" s="344"/>
      <c r="B490" t="s">
        <v>168</v>
      </c>
      <c r="F490" t="s">
        <v>169</v>
      </c>
      <c r="G490" s="36">
        <v>47236.752266340001</v>
      </c>
    </row>
    <row r="491" spans="1:7">
      <c r="A491" s="344"/>
      <c r="G491" s="36"/>
    </row>
    <row r="492" spans="1:7">
      <c r="A492" s="344"/>
      <c r="B492" t="s">
        <v>170</v>
      </c>
      <c r="G492" s="36"/>
    </row>
    <row r="493" spans="1:7">
      <c r="A493" s="344"/>
      <c r="B493" t="s">
        <v>165</v>
      </c>
      <c r="C493" t="s">
        <v>8</v>
      </c>
      <c r="D493" t="s">
        <v>5</v>
      </c>
      <c r="E493" t="s">
        <v>166</v>
      </c>
      <c r="F493" t="s">
        <v>6</v>
      </c>
      <c r="G493" s="36" t="s">
        <v>7</v>
      </c>
    </row>
    <row r="494" spans="1:7">
      <c r="A494" s="344"/>
      <c r="F494" t="s">
        <v>167</v>
      </c>
      <c r="G494" s="36" t="s">
        <v>167</v>
      </c>
    </row>
    <row r="495" spans="1:7">
      <c r="A495" s="344"/>
      <c r="B495">
        <v>1</v>
      </c>
      <c r="C495" t="s">
        <v>519</v>
      </c>
      <c r="D495" t="s">
        <v>520</v>
      </c>
      <c r="E495">
        <v>8</v>
      </c>
      <c r="F495">
        <v>53.9</v>
      </c>
      <c r="G495" s="36">
        <v>431.2</v>
      </c>
    </row>
    <row r="496" spans="1:7">
      <c r="A496" s="344"/>
      <c r="C496" t="s">
        <v>521</v>
      </c>
      <c r="D496" t="s">
        <v>520</v>
      </c>
      <c r="E496">
        <v>8</v>
      </c>
      <c r="F496">
        <v>136.69999999999999</v>
      </c>
      <c r="G496" s="36">
        <v>1093.5999999999999</v>
      </c>
    </row>
    <row r="497" spans="1:7">
      <c r="A497" s="344"/>
      <c r="B497">
        <v>2</v>
      </c>
      <c r="C497" t="s">
        <v>522</v>
      </c>
      <c r="D497" t="s">
        <v>520</v>
      </c>
      <c r="E497">
        <v>0.5</v>
      </c>
      <c r="F497">
        <v>10.3</v>
      </c>
      <c r="G497" s="36">
        <v>5.15</v>
      </c>
    </row>
    <row r="498" spans="1:7">
      <c r="A498" s="344"/>
      <c r="C498" t="s">
        <v>521</v>
      </c>
      <c r="D498" t="s">
        <v>520</v>
      </c>
      <c r="E498">
        <v>0.5</v>
      </c>
      <c r="F498">
        <v>136.69999999999999</v>
      </c>
      <c r="G498" s="36">
        <v>68.349999999999994</v>
      </c>
    </row>
    <row r="499" spans="1:7">
      <c r="A499" s="344"/>
      <c r="B499">
        <v>3</v>
      </c>
      <c r="C499" t="s">
        <v>524</v>
      </c>
      <c r="D499" t="s">
        <v>520</v>
      </c>
      <c r="E499">
        <v>8</v>
      </c>
      <c r="F499">
        <v>7.9</v>
      </c>
      <c r="G499" s="36">
        <v>63.2</v>
      </c>
    </row>
    <row r="500" spans="1:7">
      <c r="A500" s="344"/>
      <c r="C500" t="s">
        <v>521</v>
      </c>
      <c r="D500" t="s">
        <v>520</v>
      </c>
      <c r="E500">
        <v>8</v>
      </c>
      <c r="F500">
        <v>30.7</v>
      </c>
      <c r="G500" s="36">
        <v>245.6</v>
      </c>
    </row>
    <row r="501" spans="1:7">
      <c r="A501" s="344"/>
      <c r="B501" t="s">
        <v>171</v>
      </c>
      <c r="F501" t="s">
        <v>169</v>
      </c>
      <c r="G501" s="36">
        <v>1907.1</v>
      </c>
    </row>
    <row r="502" spans="1:7">
      <c r="A502" s="344"/>
      <c r="G502" s="36"/>
    </row>
    <row r="503" spans="1:7">
      <c r="A503" s="344"/>
      <c r="B503" t="s">
        <v>172</v>
      </c>
      <c r="G503" s="36"/>
    </row>
    <row r="504" spans="1:7">
      <c r="A504" s="344"/>
      <c r="B504" t="s">
        <v>165</v>
      </c>
      <c r="C504" t="s">
        <v>8</v>
      </c>
      <c r="D504" t="s">
        <v>5</v>
      </c>
      <c r="E504" t="s">
        <v>166</v>
      </c>
      <c r="F504" t="s">
        <v>6</v>
      </c>
      <c r="G504" s="36" t="s">
        <v>7</v>
      </c>
    </row>
    <row r="505" spans="1:7">
      <c r="A505" s="344"/>
      <c r="F505" t="s">
        <v>167</v>
      </c>
      <c r="G505" s="36" t="s">
        <v>167</v>
      </c>
    </row>
    <row r="506" spans="1:7">
      <c r="A506" s="344"/>
      <c r="B506">
        <v>1</v>
      </c>
      <c r="C506" t="s">
        <v>525</v>
      </c>
      <c r="D506" t="s">
        <v>520</v>
      </c>
      <c r="E506">
        <v>8</v>
      </c>
      <c r="F506">
        <v>327.60000000000002</v>
      </c>
      <c r="G506" s="36">
        <v>2620.8000000000002</v>
      </c>
    </row>
    <row r="507" spans="1:7">
      <c r="A507" s="344"/>
      <c r="B507">
        <v>2</v>
      </c>
      <c r="C507" t="s">
        <v>526</v>
      </c>
      <c r="D507" t="s">
        <v>520</v>
      </c>
      <c r="E507">
        <v>0.5</v>
      </c>
      <c r="F507">
        <v>163.5</v>
      </c>
      <c r="G507" s="36">
        <v>81.75</v>
      </c>
    </row>
    <row r="508" spans="1:7">
      <c r="A508" s="344"/>
      <c r="B508">
        <v>3</v>
      </c>
      <c r="C508" t="s">
        <v>528</v>
      </c>
      <c r="D508" t="s">
        <v>520</v>
      </c>
      <c r="E508">
        <v>8</v>
      </c>
      <c r="F508">
        <v>235.8</v>
      </c>
      <c r="G508" s="36">
        <v>1886.4</v>
      </c>
    </row>
    <row r="509" spans="1:7">
      <c r="A509" s="344"/>
      <c r="B509">
        <v>4</v>
      </c>
      <c r="C509" t="s">
        <v>529</v>
      </c>
      <c r="D509" t="s">
        <v>173</v>
      </c>
      <c r="E509">
        <v>2</v>
      </c>
      <c r="F509">
        <v>670</v>
      </c>
      <c r="G509" s="36">
        <v>1340</v>
      </c>
    </row>
    <row r="510" spans="1:7">
      <c r="A510" s="344"/>
      <c r="B510">
        <v>5</v>
      </c>
      <c r="C510" t="s">
        <v>413</v>
      </c>
      <c r="D510" t="s">
        <v>173</v>
      </c>
      <c r="E510">
        <v>1</v>
      </c>
      <c r="F510">
        <v>730</v>
      </c>
      <c r="G510" s="36">
        <v>730</v>
      </c>
    </row>
    <row r="511" spans="1:7">
      <c r="A511" s="344"/>
      <c r="B511">
        <v>6</v>
      </c>
      <c r="C511" t="s">
        <v>174</v>
      </c>
      <c r="G511" s="36"/>
    </row>
    <row r="512" spans="1:7">
      <c r="A512" s="344"/>
      <c r="C512" t="s">
        <v>530</v>
      </c>
      <c r="D512" t="s">
        <v>173</v>
      </c>
      <c r="E512">
        <v>11</v>
      </c>
      <c r="F512">
        <v>560</v>
      </c>
      <c r="G512" s="36">
        <v>6160</v>
      </c>
    </row>
    <row r="513" spans="1:7">
      <c r="A513" s="344"/>
      <c r="C513" t="s">
        <v>531</v>
      </c>
      <c r="D513" t="s">
        <v>173</v>
      </c>
      <c r="E513">
        <v>4</v>
      </c>
      <c r="F513">
        <v>560</v>
      </c>
      <c r="G513" s="36">
        <v>2240</v>
      </c>
    </row>
    <row r="514" spans="1:7">
      <c r="A514" s="344"/>
      <c r="C514" t="s">
        <v>532</v>
      </c>
      <c r="D514" t="s">
        <v>173</v>
      </c>
      <c r="E514">
        <v>4</v>
      </c>
      <c r="F514">
        <v>560</v>
      </c>
      <c r="G514" s="36">
        <v>2240</v>
      </c>
    </row>
    <row r="515" spans="1:7">
      <c r="A515" s="344"/>
      <c r="C515" t="s">
        <v>533</v>
      </c>
      <c r="D515" t="s">
        <v>173</v>
      </c>
      <c r="E515">
        <v>15.76</v>
      </c>
      <c r="F515">
        <v>560</v>
      </c>
      <c r="G515" s="36">
        <v>8825.6</v>
      </c>
    </row>
    <row r="516" spans="1:7">
      <c r="A516" s="344"/>
      <c r="C516" t="s">
        <v>534</v>
      </c>
      <c r="D516" t="s">
        <v>173</v>
      </c>
      <c r="E516">
        <v>2</v>
      </c>
      <c r="F516">
        <v>560</v>
      </c>
      <c r="G516" s="36">
        <v>1120</v>
      </c>
    </row>
    <row r="517" spans="1:7">
      <c r="A517" s="344"/>
      <c r="B517">
        <v>7</v>
      </c>
      <c r="C517" t="s">
        <v>535</v>
      </c>
      <c r="D517" t="s">
        <v>436</v>
      </c>
      <c r="E517">
        <v>7.88</v>
      </c>
      <c r="F517">
        <v>138.44999999999999</v>
      </c>
      <c r="G517" s="36">
        <v>1090.9859999999999</v>
      </c>
    </row>
    <row r="518" spans="1:7">
      <c r="A518" s="344"/>
      <c r="B518" t="s">
        <v>175</v>
      </c>
      <c r="F518" t="s">
        <v>169</v>
      </c>
      <c r="G518" s="36">
        <v>28335.536000000004</v>
      </c>
    </row>
    <row r="519" spans="1:7">
      <c r="A519" s="344"/>
      <c r="B519" t="s">
        <v>176</v>
      </c>
      <c r="E519">
        <v>1797.9</v>
      </c>
      <c r="G519" s="36"/>
    </row>
    <row r="520" spans="1:7">
      <c r="A520" s="344"/>
      <c r="B520" t="s">
        <v>177</v>
      </c>
      <c r="D520">
        <v>0.13615000000000002</v>
      </c>
      <c r="E520">
        <v>244.8</v>
      </c>
      <c r="G520" s="36"/>
    </row>
    <row r="521" spans="1:7">
      <c r="A521" s="344"/>
      <c r="B521" t="s">
        <v>178</v>
      </c>
      <c r="E521">
        <v>2042.7</v>
      </c>
      <c r="G521" s="36"/>
    </row>
    <row r="522" spans="1:7">
      <c r="A522" s="344"/>
      <c r="G522" s="36"/>
    </row>
    <row r="523" spans="1:7">
      <c r="A523" s="344"/>
      <c r="B523" t="s">
        <v>179</v>
      </c>
      <c r="G523" s="36"/>
    </row>
    <row r="524" spans="1:7">
      <c r="A524" s="344"/>
      <c r="B524" t="s">
        <v>180</v>
      </c>
      <c r="F524" t="s">
        <v>169</v>
      </c>
      <c r="G524" s="36">
        <v>47236.752266340001</v>
      </c>
    </row>
    <row r="525" spans="1:7">
      <c r="A525" s="344"/>
      <c r="B525" t="s">
        <v>181</v>
      </c>
      <c r="F525" t="s">
        <v>169</v>
      </c>
      <c r="G525" s="36">
        <v>1907.1</v>
      </c>
    </row>
    <row r="526" spans="1:7">
      <c r="A526" s="344"/>
      <c r="B526" t="s">
        <v>182</v>
      </c>
      <c r="F526" t="s">
        <v>169</v>
      </c>
      <c r="G526" s="36">
        <v>28335.536000000004</v>
      </c>
    </row>
    <row r="527" spans="1:7">
      <c r="A527" s="344"/>
      <c r="F527" t="s">
        <v>183</v>
      </c>
      <c r="G527" s="36">
        <v>77479.38826634</v>
      </c>
    </row>
    <row r="528" spans="1:7">
      <c r="A528" s="344"/>
      <c r="B528" t="s">
        <v>184</v>
      </c>
      <c r="E528">
        <v>0.13615000000000002</v>
      </c>
      <c r="F528" t="s">
        <v>169</v>
      </c>
      <c r="G528" s="36">
        <v>10548.82</v>
      </c>
    </row>
    <row r="529" spans="1:7">
      <c r="A529" s="344"/>
      <c r="B529" t="s">
        <v>185</v>
      </c>
      <c r="D529">
        <v>15.76</v>
      </c>
      <c r="E529" t="s">
        <v>163</v>
      </c>
      <c r="F529" t="s">
        <v>169</v>
      </c>
      <c r="G529" s="36">
        <v>88028.208266339992</v>
      </c>
    </row>
    <row r="530" spans="1:7">
      <c r="A530" s="345"/>
      <c r="B530" s="35" t="s">
        <v>186</v>
      </c>
      <c r="C530" s="35" t="s">
        <v>163</v>
      </c>
      <c r="D530" s="35" t="s">
        <v>579</v>
      </c>
      <c r="E530" s="35"/>
      <c r="F530" s="35" t="s">
        <v>187</v>
      </c>
      <c r="G530" s="342">
        <v>5585.5</v>
      </c>
    </row>
    <row r="531" spans="1:7">
      <c r="A531" s="338" t="s">
        <v>633</v>
      </c>
      <c r="B531" s="37"/>
      <c r="C531" s="37"/>
      <c r="D531" s="37"/>
      <c r="E531" s="37" t="s">
        <v>5</v>
      </c>
      <c r="F531" s="37">
        <f>+F478</f>
        <v>15.76</v>
      </c>
      <c r="G531" s="354" t="s">
        <v>4</v>
      </c>
    </row>
    <row r="532" spans="1:7">
      <c r="A532" s="12" t="s">
        <v>165</v>
      </c>
      <c r="B532" s="6" t="s">
        <v>507</v>
      </c>
      <c r="C532" s="6"/>
      <c r="D532" s="6" t="s">
        <v>5</v>
      </c>
      <c r="E532" s="6" t="s">
        <v>166</v>
      </c>
      <c r="F532" s="6" t="s">
        <v>6</v>
      </c>
      <c r="G532" s="6" t="s">
        <v>7</v>
      </c>
    </row>
    <row r="533" spans="1:7">
      <c r="A533" s="12">
        <v>1</v>
      </c>
      <c r="B533" s="6" t="s">
        <v>511</v>
      </c>
      <c r="C533" s="6"/>
      <c r="D533" s="6" t="s">
        <v>163</v>
      </c>
      <c r="E533" s="6">
        <v>8.1951999999999998</v>
      </c>
      <c r="F533" s="351">
        <f>+'Lead '!N6</f>
        <v>776.33230500000013</v>
      </c>
      <c r="G533" s="351">
        <f>+F533*E533</f>
        <v>6362.1985059360013</v>
      </c>
    </row>
    <row r="534" spans="1:7">
      <c r="A534" s="12">
        <v>2</v>
      </c>
      <c r="B534" s="6" t="s">
        <v>512</v>
      </c>
      <c r="C534" s="6"/>
      <c r="D534" s="6" t="s">
        <v>163</v>
      </c>
      <c r="E534" s="6">
        <v>4.4128000000000007</v>
      </c>
      <c r="F534" s="351">
        <f>+'Lead '!N6</f>
        <v>776.33230500000013</v>
      </c>
      <c r="G534" s="351">
        <f t="shared" ref="G534:G535" si="3">+F534*E534</f>
        <v>3425.7991955040011</v>
      </c>
    </row>
    <row r="535" spans="1:7">
      <c r="A535" s="12">
        <v>3</v>
      </c>
      <c r="B535" s="6" t="s">
        <v>513</v>
      </c>
      <c r="C535" s="6"/>
      <c r="D535" s="6" t="s">
        <v>163</v>
      </c>
      <c r="E535" s="6">
        <v>7.0919999999999996</v>
      </c>
      <c r="F535" s="351">
        <f>+'Lead '!N7</f>
        <v>776.33230500000013</v>
      </c>
      <c r="G535" s="351">
        <f t="shared" si="3"/>
        <v>5505.7487070600009</v>
      </c>
    </row>
    <row r="536" spans="1:7">
      <c r="A536" s="7"/>
      <c r="B536" s="355"/>
      <c r="C536" s="356"/>
      <c r="D536" s="6"/>
      <c r="E536" s="6"/>
      <c r="F536" s="6" t="s">
        <v>187</v>
      </c>
      <c r="G536" s="351">
        <f>SUM(G533:G535)</f>
        <v>15293.746408500003</v>
      </c>
    </row>
    <row r="537" spans="1:7">
      <c r="A537" s="7"/>
      <c r="B537" s="6" t="s">
        <v>634</v>
      </c>
      <c r="C537" s="6"/>
      <c r="D537" s="6"/>
      <c r="E537" s="6"/>
      <c r="F537" s="6" t="s">
        <v>187</v>
      </c>
      <c r="G537" s="352">
        <f>+G536/F531</f>
        <v>970.41538125000022</v>
      </c>
    </row>
    <row r="538" spans="1:7">
      <c r="A538" s="7"/>
      <c r="B538" s="6" t="s">
        <v>635</v>
      </c>
      <c r="C538" s="6"/>
      <c r="D538" s="6"/>
      <c r="E538" s="6"/>
      <c r="F538" s="6" t="s">
        <v>187</v>
      </c>
      <c r="G538" s="353">
        <f>+ROUND((G537+G530),1)</f>
        <v>6555.9</v>
      </c>
    </row>
    <row r="540" spans="1:7">
      <c r="A540" s="338" t="s">
        <v>15</v>
      </c>
      <c r="B540" s="423" t="s">
        <v>630</v>
      </c>
      <c r="C540" s="423"/>
      <c r="D540" s="423"/>
      <c r="E540" s="423"/>
      <c r="F540" s="423"/>
      <c r="G540" s="423"/>
    </row>
    <row r="541" spans="1:7">
      <c r="A541" s="339"/>
      <c r="B541" s="423"/>
      <c r="C541" s="423"/>
      <c r="D541" s="423"/>
      <c r="E541" s="423"/>
      <c r="F541" s="423"/>
      <c r="G541" s="423"/>
    </row>
    <row r="542" spans="1:7" ht="32.450000000000003" customHeight="1">
      <c r="A542" s="341"/>
      <c r="B542" s="423"/>
      <c r="C542" s="423"/>
      <c r="D542" s="423"/>
      <c r="E542" s="423"/>
      <c r="F542" s="423"/>
      <c r="G542" s="423"/>
    </row>
    <row r="543" spans="1:7" hidden="1">
      <c r="A543" s="23" t="s">
        <v>87</v>
      </c>
      <c r="B543" s="38" t="s">
        <v>589</v>
      </c>
      <c r="G543" s="36"/>
    </row>
    <row r="544" spans="1:7" hidden="1">
      <c r="B544" s="38" t="s">
        <v>590</v>
      </c>
      <c r="E544" t="s">
        <v>3</v>
      </c>
      <c r="F544">
        <v>12</v>
      </c>
      <c r="G544" s="36" t="s">
        <v>163</v>
      </c>
    </row>
    <row r="545" spans="1:7" hidden="1">
      <c r="B545" s="38" t="s">
        <v>591</v>
      </c>
      <c r="E545" t="s">
        <v>3</v>
      </c>
      <c r="F545">
        <v>58.6</v>
      </c>
      <c r="G545" s="36" t="s">
        <v>592</v>
      </c>
    </row>
    <row r="546" spans="1:7" hidden="1">
      <c r="B546" s="38" t="s">
        <v>593</v>
      </c>
      <c r="E546" t="s">
        <v>3</v>
      </c>
      <c r="F546">
        <v>0.5</v>
      </c>
      <c r="G546" s="36" t="s">
        <v>414</v>
      </c>
    </row>
    <row r="547" spans="1:7" hidden="1">
      <c r="B547" s="38" t="s">
        <v>594</v>
      </c>
      <c r="G547" s="36"/>
    </row>
    <row r="548" spans="1:7">
      <c r="A548" s="338" t="s">
        <v>87</v>
      </c>
      <c r="B548" s="38"/>
      <c r="C548" t="s">
        <v>161</v>
      </c>
      <c r="E548" t="s">
        <v>162</v>
      </c>
      <c r="F548">
        <v>10</v>
      </c>
      <c r="G548" s="36" t="s">
        <v>163</v>
      </c>
    </row>
    <row r="549" spans="1:7">
      <c r="A549" s="339"/>
      <c r="B549" s="38" t="s">
        <v>164</v>
      </c>
      <c r="G549" s="36"/>
    </row>
    <row r="550" spans="1:7">
      <c r="A550" s="339"/>
      <c r="B550" s="38" t="s">
        <v>165</v>
      </c>
      <c r="C550" t="s">
        <v>507</v>
      </c>
      <c r="D550" t="s">
        <v>5</v>
      </c>
      <c r="E550" t="s">
        <v>166</v>
      </c>
      <c r="F550" t="s">
        <v>6</v>
      </c>
      <c r="G550" s="36" t="s">
        <v>7</v>
      </c>
    </row>
    <row r="551" spans="1:7">
      <c r="A551" s="339"/>
      <c r="B551" s="38"/>
      <c r="F551" t="s">
        <v>167</v>
      </c>
      <c r="G551" s="36" t="s">
        <v>167</v>
      </c>
    </row>
    <row r="552" spans="1:7">
      <c r="A552" s="339"/>
      <c r="B552" s="38">
        <v>1</v>
      </c>
      <c r="C552" t="s">
        <v>197</v>
      </c>
      <c r="D552" t="s">
        <v>163</v>
      </c>
      <c r="E552">
        <v>12</v>
      </c>
      <c r="F552">
        <v>239</v>
      </c>
      <c r="G552" s="36">
        <v>2868</v>
      </c>
    </row>
    <row r="553" spans="1:7">
      <c r="A553" s="339"/>
      <c r="B553" s="38"/>
      <c r="E553">
        <v>0</v>
      </c>
      <c r="F553">
        <v>0</v>
      </c>
      <c r="G553" s="36">
        <v>0</v>
      </c>
    </row>
    <row r="554" spans="1:7">
      <c r="A554" s="339"/>
      <c r="B554" s="38" t="s">
        <v>168</v>
      </c>
      <c r="F554" t="s">
        <v>169</v>
      </c>
      <c r="G554" s="36">
        <v>2868</v>
      </c>
    </row>
    <row r="555" spans="1:7">
      <c r="A555" s="339"/>
      <c r="B555" s="38"/>
      <c r="G555" s="36"/>
    </row>
    <row r="556" spans="1:7">
      <c r="A556" s="339"/>
      <c r="B556" s="38" t="s">
        <v>170</v>
      </c>
      <c r="G556" s="36"/>
    </row>
    <row r="557" spans="1:7">
      <c r="A557" s="339"/>
      <c r="B557" s="38" t="s">
        <v>165</v>
      </c>
      <c r="C557" t="s">
        <v>8</v>
      </c>
      <c r="D557" t="s">
        <v>5</v>
      </c>
      <c r="E557" t="s">
        <v>166</v>
      </c>
      <c r="F557" t="s">
        <v>6</v>
      </c>
      <c r="G557" s="36" t="s">
        <v>7</v>
      </c>
    </row>
    <row r="558" spans="1:7">
      <c r="A558" s="339"/>
      <c r="B558" s="38"/>
      <c r="F558" t="s">
        <v>167</v>
      </c>
      <c r="G558" s="36" t="s">
        <v>167</v>
      </c>
    </row>
    <row r="559" spans="1:7">
      <c r="A559" s="339"/>
      <c r="B559" s="38">
        <v>1</v>
      </c>
      <c r="C559" t="s">
        <v>595</v>
      </c>
      <c r="D559" t="s">
        <v>520</v>
      </c>
      <c r="E559">
        <v>0.17064846416382251</v>
      </c>
      <c r="F559">
        <v>192.5</v>
      </c>
      <c r="G559" s="36">
        <v>32.849829351535831</v>
      </c>
    </row>
    <row r="560" spans="1:7">
      <c r="A560" s="339"/>
      <c r="B560" s="38"/>
      <c r="C560" t="s">
        <v>521</v>
      </c>
      <c r="D560" t="s">
        <v>520</v>
      </c>
      <c r="E560">
        <v>0.17064846416382251</v>
      </c>
      <c r="F560">
        <v>1230.4000000000001</v>
      </c>
      <c r="G560" s="36">
        <v>209.96587030716722</v>
      </c>
    </row>
    <row r="561" spans="1:7">
      <c r="A561" s="339"/>
      <c r="B561" s="38" t="s">
        <v>171</v>
      </c>
      <c r="F561" t="s">
        <v>169</v>
      </c>
      <c r="G561" s="36">
        <v>242.81569965870307</v>
      </c>
    </row>
    <row r="562" spans="1:7">
      <c r="A562" s="339"/>
      <c r="B562" s="38"/>
      <c r="G562" s="36"/>
    </row>
    <row r="563" spans="1:7">
      <c r="A563" s="339"/>
      <c r="B563" s="38" t="s">
        <v>172</v>
      </c>
      <c r="G563" s="36"/>
    </row>
    <row r="564" spans="1:7">
      <c r="A564" s="339"/>
      <c r="B564" s="38" t="s">
        <v>165</v>
      </c>
      <c r="C564" t="s">
        <v>8</v>
      </c>
      <c r="D564" t="s">
        <v>5</v>
      </c>
      <c r="E564" t="s">
        <v>166</v>
      </c>
      <c r="F564" t="s">
        <v>6</v>
      </c>
      <c r="G564" s="36" t="s">
        <v>7</v>
      </c>
    </row>
    <row r="565" spans="1:7">
      <c r="A565" s="339"/>
      <c r="B565" s="38"/>
      <c r="F565" t="s">
        <v>167</v>
      </c>
      <c r="G565" s="36" t="s">
        <v>167</v>
      </c>
    </row>
    <row r="566" spans="1:7">
      <c r="A566" s="339"/>
      <c r="B566" s="38">
        <v>1</v>
      </c>
      <c r="C566" t="s">
        <v>596</v>
      </c>
      <c r="D566" t="s">
        <v>520</v>
      </c>
      <c r="E566">
        <v>0.17064846416382251</v>
      </c>
      <c r="F566">
        <v>320.7</v>
      </c>
      <c r="G566" s="36">
        <v>54.726962457337876</v>
      </c>
    </row>
    <row r="567" spans="1:7">
      <c r="A567" s="339"/>
      <c r="B567" s="38">
        <v>2</v>
      </c>
      <c r="C567" t="s">
        <v>597</v>
      </c>
      <c r="D567" t="s">
        <v>173</v>
      </c>
      <c r="E567">
        <v>0.5</v>
      </c>
      <c r="F567">
        <v>670</v>
      </c>
      <c r="G567" s="36">
        <v>335</v>
      </c>
    </row>
    <row r="568" spans="1:7">
      <c r="A568" s="339"/>
      <c r="B568" s="38">
        <v>3</v>
      </c>
      <c r="C568" t="s">
        <v>413</v>
      </c>
      <c r="D568" t="s">
        <v>173</v>
      </c>
      <c r="E568">
        <v>0.5</v>
      </c>
      <c r="F568">
        <v>730</v>
      </c>
      <c r="G568" s="36">
        <v>365</v>
      </c>
    </row>
    <row r="569" spans="1:7">
      <c r="A569" s="339"/>
      <c r="B569" s="38">
        <v>4</v>
      </c>
      <c r="C569" t="s">
        <v>174</v>
      </c>
      <c r="D569" t="s">
        <v>173</v>
      </c>
      <c r="E569">
        <v>1.5</v>
      </c>
      <c r="F569">
        <v>560</v>
      </c>
      <c r="G569" s="36">
        <v>840</v>
      </c>
    </row>
    <row r="570" spans="1:7">
      <c r="A570" s="339"/>
      <c r="B570" s="38" t="s">
        <v>175</v>
      </c>
      <c r="F570" t="s">
        <v>169</v>
      </c>
      <c r="G570" s="36">
        <v>1594.7269624573378</v>
      </c>
    </row>
    <row r="571" spans="1:7">
      <c r="A571" s="339"/>
      <c r="B571" s="38" t="s">
        <v>176</v>
      </c>
      <c r="E571">
        <v>159.5</v>
      </c>
      <c r="G571" s="36"/>
    </row>
    <row r="572" spans="1:7">
      <c r="A572" s="339"/>
      <c r="B572" s="38" t="s">
        <v>177</v>
      </c>
      <c r="D572">
        <v>0.13615000000000002</v>
      </c>
      <c r="E572">
        <v>21.7</v>
      </c>
      <c r="G572" s="36"/>
    </row>
    <row r="573" spans="1:7">
      <c r="A573" s="339"/>
      <c r="B573" s="38" t="s">
        <v>178</v>
      </c>
      <c r="E573">
        <v>181.2</v>
      </c>
      <c r="G573" s="36"/>
    </row>
    <row r="574" spans="1:7">
      <c r="A574" s="339"/>
      <c r="B574" s="38"/>
      <c r="G574" s="36"/>
    </row>
    <row r="575" spans="1:7">
      <c r="A575" s="339"/>
      <c r="B575" s="38" t="s">
        <v>179</v>
      </c>
      <c r="G575" s="36"/>
    </row>
    <row r="576" spans="1:7">
      <c r="A576" s="339"/>
      <c r="B576" s="38" t="s">
        <v>180</v>
      </c>
      <c r="F576" t="s">
        <v>169</v>
      </c>
      <c r="G576" s="36">
        <v>2868</v>
      </c>
    </row>
    <row r="577" spans="1:7">
      <c r="A577" s="339"/>
      <c r="B577" s="38" t="s">
        <v>181</v>
      </c>
      <c r="F577" t="s">
        <v>169</v>
      </c>
      <c r="G577" s="36">
        <v>242.81569965870307</v>
      </c>
    </row>
    <row r="578" spans="1:7">
      <c r="A578" s="339"/>
      <c r="B578" s="38" t="s">
        <v>182</v>
      </c>
      <c r="F578" t="s">
        <v>169</v>
      </c>
      <c r="G578" s="36">
        <v>1594.7269624573378</v>
      </c>
    </row>
    <row r="579" spans="1:7">
      <c r="A579" s="339"/>
      <c r="B579" s="38"/>
      <c r="F579" t="s">
        <v>183</v>
      </c>
      <c r="G579" s="36">
        <v>4705.5426621160404</v>
      </c>
    </row>
    <row r="580" spans="1:7">
      <c r="A580" s="339"/>
      <c r="B580" s="38" t="s">
        <v>184</v>
      </c>
      <c r="E580">
        <v>0.13615000000000002</v>
      </c>
      <c r="F580" t="s">
        <v>169</v>
      </c>
      <c r="G580" s="36">
        <v>640.66</v>
      </c>
    </row>
    <row r="581" spans="1:7">
      <c r="A581" s="339"/>
      <c r="B581" s="38" t="s">
        <v>185</v>
      </c>
      <c r="D581">
        <v>10</v>
      </c>
      <c r="E581" t="s">
        <v>163</v>
      </c>
      <c r="F581" t="s">
        <v>169</v>
      </c>
      <c r="G581" s="36">
        <v>5346.2026621160403</v>
      </c>
    </row>
    <row r="582" spans="1:7">
      <c r="A582" s="341"/>
      <c r="B582" s="40" t="s">
        <v>186</v>
      </c>
      <c r="C582" s="35" t="s">
        <v>163</v>
      </c>
      <c r="D582" s="35" t="s">
        <v>598</v>
      </c>
      <c r="E582" s="35"/>
      <c r="F582" s="35" t="s">
        <v>187</v>
      </c>
      <c r="G582" s="342">
        <v>534.6</v>
      </c>
    </row>
    <row r="583" spans="1:7">
      <c r="A583" s="338" t="s">
        <v>633</v>
      </c>
      <c r="B583" s="37"/>
      <c r="C583" s="37"/>
      <c r="D583" s="37"/>
      <c r="E583" s="37" t="s">
        <v>5</v>
      </c>
      <c r="F583" s="37">
        <f>+F548</f>
        <v>10</v>
      </c>
      <c r="G583" s="354" t="s">
        <v>4</v>
      </c>
    </row>
    <row r="584" spans="1:7">
      <c r="A584" s="12" t="s">
        <v>165</v>
      </c>
      <c r="B584" s="6" t="s">
        <v>507</v>
      </c>
      <c r="C584" s="6"/>
      <c r="D584" s="6" t="s">
        <v>5</v>
      </c>
      <c r="E584" s="6" t="s">
        <v>166</v>
      </c>
      <c r="F584" s="6" t="s">
        <v>6</v>
      </c>
      <c r="G584" s="6" t="s">
        <v>7</v>
      </c>
    </row>
    <row r="585" spans="1:7">
      <c r="A585" s="12">
        <v>1</v>
      </c>
      <c r="B585" s="406" t="str">
        <f>+C552</f>
        <v>Murum</v>
      </c>
      <c r="C585" s="407"/>
      <c r="D585" s="6" t="s">
        <v>163</v>
      </c>
      <c r="E585" s="6">
        <f>+E552</f>
        <v>12</v>
      </c>
      <c r="F585" s="351">
        <f>+'Lead '!N8</f>
        <v>649.42636500000003</v>
      </c>
      <c r="G585" s="351">
        <f>+F585*E585</f>
        <v>7793.1163800000004</v>
      </c>
    </row>
    <row r="586" spans="1:7">
      <c r="A586" s="7"/>
      <c r="B586" s="355"/>
      <c r="C586" s="356"/>
      <c r="D586" s="6"/>
      <c r="E586" s="6"/>
      <c r="F586" s="6" t="s">
        <v>187</v>
      </c>
      <c r="G586" s="351">
        <f>SUM(G585:G585)</f>
        <v>7793.1163800000004</v>
      </c>
    </row>
    <row r="587" spans="1:7">
      <c r="A587" s="7"/>
      <c r="B587" s="6" t="s">
        <v>634</v>
      </c>
      <c r="C587" s="6"/>
      <c r="D587" s="6"/>
      <c r="E587" s="6"/>
      <c r="F587" s="6" t="s">
        <v>187</v>
      </c>
      <c r="G587" s="352">
        <f>+G586/F583</f>
        <v>779.31163800000002</v>
      </c>
    </row>
    <row r="588" spans="1:7">
      <c r="A588" s="7"/>
      <c r="B588" s="6" t="s">
        <v>635</v>
      </c>
      <c r="C588" s="6"/>
      <c r="D588" s="6"/>
      <c r="E588" s="6"/>
      <c r="F588" s="6" t="s">
        <v>187</v>
      </c>
      <c r="G588" s="353">
        <f>+ROUND((G587+G582),1)</f>
        <v>1313.9</v>
      </c>
    </row>
    <row r="590" spans="1:7" ht="29.45" customHeight="1">
      <c r="A590" s="349" t="s">
        <v>199</v>
      </c>
      <c r="B590" s="408" t="s">
        <v>200</v>
      </c>
      <c r="C590" s="409"/>
      <c r="D590" s="409"/>
      <c r="E590" s="409"/>
      <c r="F590" s="409"/>
      <c r="G590" s="410"/>
    </row>
    <row r="591" spans="1:7" hidden="1"/>
    <row r="592" spans="1:7" hidden="1"/>
    <row r="593" spans="1:7" hidden="1"/>
    <row r="594" spans="1:7" hidden="1">
      <c r="A594" s="23" t="s">
        <v>391</v>
      </c>
      <c r="C594" t="s">
        <v>599</v>
      </c>
    </row>
    <row r="595" spans="1:7" hidden="1">
      <c r="C595" t="s">
        <v>600</v>
      </c>
      <c r="D595" t="s">
        <v>3</v>
      </c>
      <c r="E595">
        <v>33</v>
      </c>
      <c r="F595" t="s">
        <v>4</v>
      </c>
    </row>
    <row r="596" spans="1:7" hidden="1">
      <c r="C596" t="s">
        <v>601</v>
      </c>
    </row>
    <row r="597" spans="1:7" hidden="1">
      <c r="C597" t="s">
        <v>602</v>
      </c>
      <c r="D597" t="s">
        <v>3</v>
      </c>
      <c r="E597">
        <v>0.2</v>
      </c>
      <c r="F597" t="s">
        <v>603</v>
      </c>
    </row>
    <row r="598" spans="1:7" hidden="1">
      <c r="C598" t="s">
        <v>174</v>
      </c>
      <c r="D598" t="s">
        <v>3</v>
      </c>
      <c r="E598">
        <v>0.9</v>
      </c>
      <c r="F598" t="s">
        <v>603</v>
      </c>
    </row>
    <row r="599" spans="1:7" hidden="1"/>
    <row r="600" spans="1:7">
      <c r="A600" s="343" t="s">
        <v>87</v>
      </c>
      <c r="B600" s="39"/>
      <c r="C600" s="37" t="s">
        <v>161</v>
      </c>
      <c r="D600" s="37"/>
      <c r="E600" s="37" t="s">
        <v>162</v>
      </c>
      <c r="F600" s="37">
        <v>100</v>
      </c>
      <c r="G600" s="42" t="s">
        <v>436</v>
      </c>
    </row>
    <row r="601" spans="1:7">
      <c r="A601" s="344"/>
      <c r="B601" s="38" t="s">
        <v>604</v>
      </c>
      <c r="G601" s="36"/>
    </row>
    <row r="602" spans="1:7">
      <c r="A602" s="344"/>
      <c r="B602" s="38" t="s">
        <v>165</v>
      </c>
      <c r="C602" t="s">
        <v>507</v>
      </c>
      <c r="D602" t="s">
        <v>5</v>
      </c>
      <c r="E602" t="s">
        <v>166</v>
      </c>
      <c r="F602" t="s">
        <v>605</v>
      </c>
      <c r="G602" s="36" t="s">
        <v>606</v>
      </c>
    </row>
    <row r="603" spans="1:7">
      <c r="A603" s="344"/>
      <c r="B603" s="38"/>
      <c r="G603" s="36"/>
    </row>
    <row r="604" spans="1:7">
      <c r="A604" s="344"/>
      <c r="B604" s="38">
        <v>1</v>
      </c>
      <c r="C604" t="s">
        <v>607</v>
      </c>
      <c r="D604" t="s">
        <v>4</v>
      </c>
      <c r="E604">
        <v>33</v>
      </c>
      <c r="F604">
        <v>387</v>
      </c>
      <c r="G604" s="36">
        <v>12771</v>
      </c>
    </row>
    <row r="605" spans="1:7">
      <c r="A605" s="344"/>
      <c r="B605" s="38"/>
      <c r="G605" s="36"/>
    </row>
    <row r="606" spans="1:7">
      <c r="A606" s="344"/>
      <c r="B606" s="38"/>
      <c r="C606" t="s">
        <v>608</v>
      </c>
      <c r="G606" s="36"/>
    </row>
    <row r="607" spans="1:7">
      <c r="A607" s="344"/>
      <c r="B607" s="38"/>
      <c r="C607" t="s">
        <v>609</v>
      </c>
      <c r="G607" s="36">
        <v>12771</v>
      </c>
    </row>
    <row r="608" spans="1:7">
      <c r="A608" s="344"/>
      <c r="B608" s="38"/>
      <c r="G608" s="36"/>
    </row>
    <row r="609" spans="1:7">
      <c r="A609" s="344"/>
      <c r="B609" s="38" t="s">
        <v>610</v>
      </c>
      <c r="G609" s="36"/>
    </row>
    <row r="610" spans="1:7">
      <c r="A610" s="344"/>
      <c r="B610" s="38" t="s">
        <v>165</v>
      </c>
      <c r="C610" t="s">
        <v>8</v>
      </c>
      <c r="D610" t="s">
        <v>5</v>
      </c>
      <c r="E610" t="s">
        <v>166</v>
      </c>
      <c r="F610" t="s">
        <v>605</v>
      </c>
      <c r="G610" s="36" t="s">
        <v>606</v>
      </c>
    </row>
    <row r="611" spans="1:7">
      <c r="A611" s="344"/>
      <c r="B611" s="38"/>
      <c r="G611" s="36"/>
    </row>
    <row r="612" spans="1:7">
      <c r="A612" s="344"/>
      <c r="B612" s="38">
        <v>1</v>
      </c>
      <c r="C612" t="s">
        <v>611</v>
      </c>
      <c r="E612">
        <v>0</v>
      </c>
      <c r="F612">
        <v>0</v>
      </c>
      <c r="G612" s="36">
        <v>0</v>
      </c>
    </row>
    <row r="613" spans="1:7">
      <c r="A613" s="344"/>
      <c r="B613" s="38"/>
      <c r="E613">
        <v>0</v>
      </c>
      <c r="F613">
        <v>0</v>
      </c>
      <c r="G613" s="36">
        <v>0</v>
      </c>
    </row>
    <row r="614" spans="1:7">
      <c r="A614" s="344"/>
      <c r="B614" s="38" t="s">
        <v>612</v>
      </c>
      <c r="F614" t="s">
        <v>613</v>
      </c>
      <c r="G614" s="36">
        <v>0</v>
      </c>
    </row>
    <row r="615" spans="1:7">
      <c r="A615" s="344"/>
      <c r="B615" s="38"/>
      <c r="G615" s="36"/>
    </row>
    <row r="616" spans="1:7">
      <c r="A616" s="344"/>
      <c r="B616" s="38" t="s">
        <v>614</v>
      </c>
      <c r="G616" s="36"/>
    </row>
    <row r="617" spans="1:7">
      <c r="A617" s="344"/>
      <c r="B617" s="38" t="s">
        <v>165</v>
      </c>
      <c r="C617" t="s">
        <v>8</v>
      </c>
      <c r="D617" t="s">
        <v>5</v>
      </c>
      <c r="E617" t="s">
        <v>166</v>
      </c>
      <c r="F617" t="s">
        <v>605</v>
      </c>
      <c r="G617" s="36" t="s">
        <v>606</v>
      </c>
    </row>
    <row r="618" spans="1:7">
      <c r="A618" s="344"/>
      <c r="B618" s="38">
        <v>1</v>
      </c>
      <c r="C618" t="s">
        <v>615</v>
      </c>
      <c r="D618" t="s">
        <v>173</v>
      </c>
      <c r="E618">
        <v>6.6000000000000005</v>
      </c>
      <c r="F618">
        <v>605</v>
      </c>
      <c r="G618" s="36">
        <v>3993.0000000000005</v>
      </c>
    </row>
    <row r="619" spans="1:7">
      <c r="A619" s="344"/>
      <c r="B619" s="38">
        <v>2</v>
      </c>
      <c r="C619" t="s">
        <v>415</v>
      </c>
      <c r="D619" t="s">
        <v>173</v>
      </c>
      <c r="E619">
        <v>29.7</v>
      </c>
      <c r="F619">
        <v>560</v>
      </c>
      <c r="G619" s="36">
        <v>16632</v>
      </c>
    </row>
    <row r="620" spans="1:7">
      <c r="A620" s="344"/>
      <c r="B620" s="38" t="s">
        <v>616</v>
      </c>
      <c r="F620" t="s">
        <v>613</v>
      </c>
      <c r="G620" s="36">
        <v>20625</v>
      </c>
    </row>
    <row r="621" spans="1:7">
      <c r="A621" s="344"/>
      <c r="B621" s="38" t="s">
        <v>176</v>
      </c>
      <c r="E621">
        <v>206.3</v>
      </c>
      <c r="G621" s="36"/>
    </row>
    <row r="622" spans="1:7">
      <c r="A622" s="344"/>
      <c r="B622" s="38" t="s">
        <v>177</v>
      </c>
      <c r="D622">
        <v>0.13615000000000002</v>
      </c>
      <c r="E622">
        <v>28.1</v>
      </c>
      <c r="G622" s="36"/>
    </row>
    <row r="623" spans="1:7">
      <c r="A623" s="344"/>
      <c r="B623" s="38" t="s">
        <v>178</v>
      </c>
      <c r="E623">
        <v>234.4</v>
      </c>
      <c r="G623" s="36"/>
    </row>
    <row r="624" spans="1:7">
      <c r="A624" s="344"/>
      <c r="B624" s="38"/>
      <c r="G624" s="36"/>
    </row>
    <row r="625" spans="1:7">
      <c r="A625" s="344"/>
      <c r="B625" s="38" t="s">
        <v>617</v>
      </c>
      <c r="G625" s="36"/>
    </row>
    <row r="626" spans="1:7">
      <c r="A626" s="344"/>
      <c r="B626" s="38" t="s">
        <v>618</v>
      </c>
      <c r="F626" t="s">
        <v>169</v>
      </c>
      <c r="G626" s="36">
        <v>12771</v>
      </c>
    </row>
    <row r="627" spans="1:7">
      <c r="A627" s="344"/>
      <c r="B627" s="38" t="s">
        <v>181</v>
      </c>
      <c r="F627" t="s">
        <v>169</v>
      </c>
      <c r="G627" s="36">
        <v>0</v>
      </c>
    </row>
    <row r="628" spans="1:7">
      <c r="A628" s="344"/>
      <c r="B628" s="38" t="s">
        <v>619</v>
      </c>
      <c r="F628" t="s">
        <v>169</v>
      </c>
      <c r="G628" s="36">
        <v>20625</v>
      </c>
    </row>
    <row r="629" spans="1:7">
      <c r="A629" s="344"/>
      <c r="B629" s="38"/>
      <c r="E629" t="s">
        <v>2</v>
      </c>
      <c r="F629" t="s">
        <v>169</v>
      </c>
      <c r="G629" s="36">
        <v>33396</v>
      </c>
    </row>
    <row r="630" spans="1:7">
      <c r="A630" s="344"/>
      <c r="B630" s="38" t="s">
        <v>184</v>
      </c>
      <c r="E630">
        <v>0.13615000000000002</v>
      </c>
      <c r="F630" t="s">
        <v>169</v>
      </c>
      <c r="G630" s="36">
        <v>4546.87</v>
      </c>
    </row>
    <row r="631" spans="1:7">
      <c r="A631" s="344"/>
      <c r="B631" s="38" t="s">
        <v>185</v>
      </c>
      <c r="D631">
        <v>100</v>
      </c>
      <c r="E631" t="s">
        <v>436</v>
      </c>
      <c r="F631" t="s">
        <v>169</v>
      </c>
      <c r="G631" s="36">
        <v>37942.870000000003</v>
      </c>
    </row>
    <row r="632" spans="1:7">
      <c r="A632" s="344"/>
      <c r="B632" s="38" t="s">
        <v>186</v>
      </c>
      <c r="C632" t="s">
        <v>436</v>
      </c>
      <c r="D632" t="s">
        <v>620</v>
      </c>
      <c r="F632" t="s">
        <v>187</v>
      </c>
      <c r="G632" s="346">
        <v>379.4</v>
      </c>
    </row>
    <row r="633" spans="1:7">
      <c r="A633" s="344"/>
      <c r="B633" s="38" t="s">
        <v>621</v>
      </c>
      <c r="C633" t="s">
        <v>622</v>
      </c>
      <c r="F633" t="s">
        <v>623</v>
      </c>
      <c r="G633" s="348">
        <v>74.3</v>
      </c>
    </row>
    <row r="634" spans="1:7">
      <c r="A634" s="345"/>
      <c r="B634" s="40"/>
      <c r="C634" s="35" t="s">
        <v>624</v>
      </c>
      <c r="D634" s="35"/>
      <c r="E634" s="35"/>
      <c r="F634" s="35"/>
      <c r="G634" s="41"/>
    </row>
    <row r="635" spans="1:7">
      <c r="A635" s="338" t="s">
        <v>633</v>
      </c>
      <c r="B635" s="37"/>
      <c r="C635" s="37"/>
      <c r="D635" s="37"/>
      <c r="E635" s="37" t="s">
        <v>5</v>
      </c>
      <c r="F635" s="37">
        <f>+F600</f>
        <v>100</v>
      </c>
      <c r="G635" s="354" t="s">
        <v>4</v>
      </c>
    </row>
    <row r="636" spans="1:7">
      <c r="A636" s="12" t="s">
        <v>165</v>
      </c>
      <c r="B636" s="6" t="s">
        <v>507</v>
      </c>
      <c r="C636" s="6"/>
      <c r="D636" s="6" t="s">
        <v>5</v>
      </c>
      <c r="E636" s="6" t="s">
        <v>166</v>
      </c>
      <c r="F636" s="6" t="s">
        <v>6</v>
      </c>
      <c r="G636" s="6" t="s">
        <v>7</v>
      </c>
    </row>
    <row r="637" spans="1:7">
      <c r="A637" s="12">
        <v>1</v>
      </c>
      <c r="B637" s="406" t="str">
        <f>+C604</f>
        <v>Uncoursed rubble stones at Quarry</v>
      </c>
      <c r="C637" s="407"/>
      <c r="D637" s="6" t="s">
        <v>163</v>
      </c>
      <c r="E637" s="6">
        <f>+E604</f>
        <v>33</v>
      </c>
      <c r="F637" s="351">
        <f>+'Lead '!N6</f>
        <v>776.33230500000013</v>
      </c>
      <c r="G637" s="351">
        <f>+F637*E637</f>
        <v>25618.966065000004</v>
      </c>
    </row>
    <row r="638" spans="1:7">
      <c r="A638" s="7"/>
      <c r="B638" s="355"/>
      <c r="C638" s="356"/>
      <c r="D638" s="6"/>
      <c r="E638" s="6"/>
      <c r="F638" s="6" t="s">
        <v>187</v>
      </c>
      <c r="G638" s="351">
        <f>SUM(G637:G637)</f>
        <v>25618.966065000004</v>
      </c>
    </row>
    <row r="639" spans="1:7">
      <c r="A639" s="7"/>
      <c r="B639" s="6" t="s">
        <v>634</v>
      </c>
      <c r="C639" s="6"/>
      <c r="D639" s="6"/>
      <c r="E639" s="6"/>
      <c r="F639" s="6" t="s">
        <v>187</v>
      </c>
      <c r="G639" s="352">
        <f>+G638/F635</f>
        <v>256.18966065000006</v>
      </c>
    </row>
    <row r="640" spans="1:7">
      <c r="A640" s="7"/>
      <c r="B640" s="6" t="s">
        <v>635</v>
      </c>
      <c r="C640" s="6"/>
      <c r="D640" s="6"/>
      <c r="E640" s="6"/>
      <c r="F640" s="6" t="s">
        <v>187</v>
      </c>
      <c r="G640" s="353">
        <f>+ROUND((G639+G632+G633),1)</f>
        <v>709.9</v>
      </c>
    </row>
  </sheetData>
  <mergeCells count="16">
    <mergeCell ref="B637:C637"/>
    <mergeCell ref="B590:G590"/>
    <mergeCell ref="B4:G8"/>
    <mergeCell ref="B44:G46"/>
    <mergeCell ref="B93:G96"/>
    <mergeCell ref="B249:G252"/>
    <mergeCell ref="B334:G335"/>
    <mergeCell ref="B380:G383"/>
    <mergeCell ref="B88:C88"/>
    <mergeCell ref="B243:C243"/>
    <mergeCell ref="B585:C585"/>
    <mergeCell ref="B240:C240"/>
    <mergeCell ref="B241:C241"/>
    <mergeCell ref="B242:C242"/>
    <mergeCell ref="B462:G466"/>
    <mergeCell ref="B540:G542"/>
  </mergeCells>
  <pageMargins left="0.7" right="0.7" top="0.75" bottom="0.75" header="0.3" footer="0.3"/>
  <pageSetup paperSize="9" scale="92" orientation="portrait" r:id="rId1"/>
  <rowBreaks count="4" manualBreakCount="4">
    <brk id="333" max="6" man="1"/>
    <brk id="405" max="6" man="1"/>
    <brk id="461" max="6" man="1"/>
    <brk id="530" max="6" man="1"/>
  </rowBreaks>
  <drawing r:id="rId2"/>
</worksheet>
</file>

<file path=xl/worksheets/sheet7.xml><?xml version="1.0" encoding="utf-8"?>
<worksheet xmlns="http://schemas.openxmlformats.org/spreadsheetml/2006/main" xmlns:r="http://schemas.openxmlformats.org/officeDocument/2006/relationships">
  <dimension ref="A1:Y130"/>
  <sheetViews>
    <sheetView view="pageBreakPreview" zoomScale="75" zoomScaleSheetLayoutView="75" workbookViewId="0">
      <selection activeCell="S5" sqref="S5"/>
    </sheetView>
  </sheetViews>
  <sheetFormatPr defaultColWidth="9.28515625" defaultRowHeight="13.5"/>
  <cols>
    <col min="1" max="1" width="3" style="104" customWidth="1"/>
    <col min="2" max="2" width="4.7109375" style="104" customWidth="1"/>
    <col min="3" max="3" width="33.7109375" style="104" customWidth="1"/>
    <col min="4" max="4" width="11.7109375" style="104" customWidth="1"/>
    <col min="5" max="5" width="6.42578125" style="104" bestFit="1" customWidth="1"/>
    <col min="6" max="6" width="6.28515625" style="104" hidden="1" customWidth="1"/>
    <col min="7" max="7" width="7.7109375" style="104" customWidth="1"/>
    <col min="8" max="8" width="7.28515625" style="104" customWidth="1"/>
    <col min="9" max="10" width="8.85546875" style="104" customWidth="1"/>
    <col min="11" max="11" width="8.7109375" style="104" customWidth="1"/>
    <col min="12" max="12" width="9.42578125" style="104" customWidth="1"/>
    <col min="13" max="13" width="10.28515625" style="104" customWidth="1"/>
    <col min="14" max="14" width="15.7109375" style="104" customWidth="1"/>
    <col min="15" max="15" width="8.7109375" style="100" hidden="1" customWidth="1"/>
    <col min="16" max="16" width="10.42578125" style="104" hidden="1" customWidth="1"/>
    <col min="17" max="18" width="9.28515625" style="104"/>
    <col min="19" max="19" width="20.5703125" style="104" customWidth="1"/>
    <col min="20" max="24" width="20.28515625" style="104" customWidth="1"/>
    <col min="25" max="257" width="9.28515625" style="104"/>
    <col min="258" max="258" width="3" style="104" customWidth="1"/>
    <col min="259" max="259" width="4.7109375" style="104" customWidth="1"/>
    <col min="260" max="260" width="33.7109375" style="104" customWidth="1"/>
    <col min="261" max="261" width="11.7109375" style="104" customWidth="1"/>
    <col min="262" max="262" width="6.42578125" style="104" bestFit="1" customWidth="1"/>
    <col min="263" max="263" width="6.28515625" style="104" customWidth="1"/>
    <col min="264" max="264" width="5.42578125" style="104" customWidth="1"/>
    <col min="265" max="265" width="7.28515625" style="104" customWidth="1"/>
    <col min="266" max="266" width="6.7109375" style="104" customWidth="1"/>
    <col min="267" max="267" width="8.42578125" style="104" customWidth="1"/>
    <col min="268" max="268" width="9.28515625" style="104"/>
    <col min="269" max="269" width="7.7109375" style="104" customWidth="1"/>
    <col min="270" max="270" width="8.42578125" style="104" customWidth="1"/>
    <col min="271" max="271" width="8.7109375" style="104" customWidth="1"/>
    <col min="272" max="272" width="10.42578125" style="104" customWidth="1"/>
    <col min="273" max="274" width="9.28515625" style="104"/>
    <col min="275" max="275" width="20.5703125" style="104" customWidth="1"/>
    <col min="276" max="280" width="20.28515625" style="104" customWidth="1"/>
    <col min="281" max="513" width="9.28515625" style="104"/>
    <col min="514" max="514" width="3" style="104" customWidth="1"/>
    <col min="515" max="515" width="4.7109375" style="104" customWidth="1"/>
    <col min="516" max="516" width="33.7109375" style="104" customWidth="1"/>
    <col min="517" max="517" width="11.7109375" style="104" customWidth="1"/>
    <col min="518" max="518" width="6.42578125" style="104" bestFit="1" customWidth="1"/>
    <col min="519" max="519" width="6.28515625" style="104" customWidth="1"/>
    <col min="520" max="520" width="5.42578125" style="104" customWidth="1"/>
    <col min="521" max="521" width="7.28515625" style="104" customWidth="1"/>
    <col min="522" max="522" width="6.7109375" style="104" customWidth="1"/>
    <col min="523" max="523" width="8.42578125" style="104" customWidth="1"/>
    <col min="524" max="524" width="9.28515625" style="104"/>
    <col min="525" max="525" width="7.7109375" style="104" customWidth="1"/>
    <col min="526" max="526" width="8.42578125" style="104" customWidth="1"/>
    <col min="527" max="527" width="8.7109375" style="104" customWidth="1"/>
    <col min="528" max="528" width="10.42578125" style="104" customWidth="1"/>
    <col min="529" max="530" width="9.28515625" style="104"/>
    <col min="531" max="531" width="20.5703125" style="104" customWidth="1"/>
    <col min="532" max="536" width="20.28515625" style="104" customWidth="1"/>
    <col min="537" max="769" width="9.28515625" style="104"/>
    <col min="770" max="770" width="3" style="104" customWidth="1"/>
    <col min="771" max="771" width="4.7109375" style="104" customWidth="1"/>
    <col min="772" max="772" width="33.7109375" style="104" customWidth="1"/>
    <col min="773" max="773" width="11.7109375" style="104" customWidth="1"/>
    <col min="774" max="774" width="6.42578125" style="104" bestFit="1" customWidth="1"/>
    <col min="775" max="775" width="6.28515625" style="104" customWidth="1"/>
    <col min="776" max="776" width="5.42578125" style="104" customWidth="1"/>
    <col min="777" max="777" width="7.28515625" style="104" customWidth="1"/>
    <col min="778" max="778" width="6.7109375" style="104" customWidth="1"/>
    <col min="779" max="779" width="8.42578125" style="104" customWidth="1"/>
    <col min="780" max="780" width="9.28515625" style="104"/>
    <col min="781" max="781" width="7.7109375" style="104" customWidth="1"/>
    <col min="782" max="782" width="8.42578125" style="104" customWidth="1"/>
    <col min="783" max="783" width="8.7109375" style="104" customWidth="1"/>
    <col min="784" max="784" width="10.42578125" style="104" customWidth="1"/>
    <col min="785" max="786" width="9.28515625" style="104"/>
    <col min="787" max="787" width="20.5703125" style="104" customWidth="1"/>
    <col min="788" max="792" width="20.28515625" style="104" customWidth="1"/>
    <col min="793" max="1025" width="9.28515625" style="104"/>
    <col min="1026" max="1026" width="3" style="104" customWidth="1"/>
    <col min="1027" max="1027" width="4.7109375" style="104" customWidth="1"/>
    <col min="1028" max="1028" width="33.7109375" style="104" customWidth="1"/>
    <col min="1029" max="1029" width="11.7109375" style="104" customWidth="1"/>
    <col min="1030" max="1030" width="6.42578125" style="104" bestFit="1" customWidth="1"/>
    <col min="1031" max="1031" width="6.28515625" style="104" customWidth="1"/>
    <col min="1032" max="1032" width="5.42578125" style="104" customWidth="1"/>
    <col min="1033" max="1033" width="7.28515625" style="104" customWidth="1"/>
    <col min="1034" max="1034" width="6.7109375" style="104" customWidth="1"/>
    <col min="1035" max="1035" width="8.42578125" style="104" customWidth="1"/>
    <col min="1036" max="1036" width="9.28515625" style="104"/>
    <col min="1037" max="1037" width="7.7109375" style="104" customWidth="1"/>
    <col min="1038" max="1038" width="8.42578125" style="104" customWidth="1"/>
    <col min="1039" max="1039" width="8.7109375" style="104" customWidth="1"/>
    <col min="1040" max="1040" width="10.42578125" style="104" customWidth="1"/>
    <col min="1041" max="1042" width="9.28515625" style="104"/>
    <col min="1043" max="1043" width="20.5703125" style="104" customWidth="1"/>
    <col min="1044" max="1048" width="20.28515625" style="104" customWidth="1"/>
    <col min="1049" max="1281" width="9.28515625" style="104"/>
    <col min="1282" max="1282" width="3" style="104" customWidth="1"/>
    <col min="1283" max="1283" width="4.7109375" style="104" customWidth="1"/>
    <col min="1284" max="1284" width="33.7109375" style="104" customWidth="1"/>
    <col min="1285" max="1285" width="11.7109375" style="104" customWidth="1"/>
    <col min="1286" max="1286" width="6.42578125" style="104" bestFit="1" customWidth="1"/>
    <col min="1287" max="1287" width="6.28515625" style="104" customWidth="1"/>
    <col min="1288" max="1288" width="5.42578125" style="104" customWidth="1"/>
    <col min="1289" max="1289" width="7.28515625" style="104" customWidth="1"/>
    <col min="1290" max="1290" width="6.7109375" style="104" customWidth="1"/>
    <col min="1291" max="1291" width="8.42578125" style="104" customWidth="1"/>
    <col min="1292" max="1292" width="9.28515625" style="104"/>
    <col min="1293" max="1293" width="7.7109375" style="104" customWidth="1"/>
    <col min="1294" max="1294" width="8.42578125" style="104" customWidth="1"/>
    <col min="1295" max="1295" width="8.7109375" style="104" customWidth="1"/>
    <col min="1296" max="1296" width="10.42578125" style="104" customWidth="1"/>
    <col min="1297" max="1298" width="9.28515625" style="104"/>
    <col min="1299" max="1299" width="20.5703125" style="104" customWidth="1"/>
    <col min="1300" max="1304" width="20.28515625" style="104" customWidth="1"/>
    <col min="1305" max="1537" width="9.28515625" style="104"/>
    <col min="1538" max="1538" width="3" style="104" customWidth="1"/>
    <col min="1539" max="1539" width="4.7109375" style="104" customWidth="1"/>
    <col min="1540" max="1540" width="33.7109375" style="104" customWidth="1"/>
    <col min="1541" max="1541" width="11.7109375" style="104" customWidth="1"/>
    <col min="1542" max="1542" width="6.42578125" style="104" bestFit="1" customWidth="1"/>
    <col min="1543" max="1543" width="6.28515625" style="104" customWidth="1"/>
    <col min="1544" max="1544" width="5.42578125" style="104" customWidth="1"/>
    <col min="1545" max="1545" width="7.28515625" style="104" customWidth="1"/>
    <col min="1546" max="1546" width="6.7109375" style="104" customWidth="1"/>
    <col min="1547" max="1547" width="8.42578125" style="104" customWidth="1"/>
    <col min="1548" max="1548" width="9.28515625" style="104"/>
    <col min="1549" max="1549" width="7.7109375" style="104" customWidth="1"/>
    <col min="1550" max="1550" width="8.42578125" style="104" customWidth="1"/>
    <col min="1551" max="1551" width="8.7109375" style="104" customWidth="1"/>
    <col min="1552" max="1552" width="10.42578125" style="104" customWidth="1"/>
    <col min="1553" max="1554" width="9.28515625" style="104"/>
    <col min="1555" max="1555" width="20.5703125" style="104" customWidth="1"/>
    <col min="1556" max="1560" width="20.28515625" style="104" customWidth="1"/>
    <col min="1561" max="1793" width="9.28515625" style="104"/>
    <col min="1794" max="1794" width="3" style="104" customWidth="1"/>
    <col min="1795" max="1795" width="4.7109375" style="104" customWidth="1"/>
    <col min="1796" max="1796" width="33.7109375" style="104" customWidth="1"/>
    <col min="1797" max="1797" width="11.7109375" style="104" customWidth="1"/>
    <col min="1798" max="1798" width="6.42578125" style="104" bestFit="1" customWidth="1"/>
    <col min="1799" max="1799" width="6.28515625" style="104" customWidth="1"/>
    <col min="1800" max="1800" width="5.42578125" style="104" customWidth="1"/>
    <col min="1801" max="1801" width="7.28515625" style="104" customWidth="1"/>
    <col min="1802" max="1802" width="6.7109375" style="104" customWidth="1"/>
    <col min="1803" max="1803" width="8.42578125" style="104" customWidth="1"/>
    <col min="1804" max="1804" width="9.28515625" style="104"/>
    <col min="1805" max="1805" width="7.7109375" style="104" customWidth="1"/>
    <col min="1806" max="1806" width="8.42578125" style="104" customWidth="1"/>
    <col min="1807" max="1807" width="8.7109375" style="104" customWidth="1"/>
    <col min="1808" max="1808" width="10.42578125" style="104" customWidth="1"/>
    <col min="1809" max="1810" width="9.28515625" style="104"/>
    <col min="1811" max="1811" width="20.5703125" style="104" customWidth="1"/>
    <col min="1812" max="1816" width="20.28515625" style="104" customWidth="1"/>
    <col min="1817" max="2049" width="9.28515625" style="104"/>
    <col min="2050" max="2050" width="3" style="104" customWidth="1"/>
    <col min="2051" max="2051" width="4.7109375" style="104" customWidth="1"/>
    <col min="2052" max="2052" width="33.7109375" style="104" customWidth="1"/>
    <col min="2053" max="2053" width="11.7109375" style="104" customWidth="1"/>
    <col min="2054" max="2054" width="6.42578125" style="104" bestFit="1" customWidth="1"/>
    <col min="2055" max="2055" width="6.28515625" style="104" customWidth="1"/>
    <col min="2056" max="2056" width="5.42578125" style="104" customWidth="1"/>
    <col min="2057" max="2057" width="7.28515625" style="104" customWidth="1"/>
    <col min="2058" max="2058" width="6.7109375" style="104" customWidth="1"/>
    <col min="2059" max="2059" width="8.42578125" style="104" customWidth="1"/>
    <col min="2060" max="2060" width="9.28515625" style="104"/>
    <col min="2061" max="2061" width="7.7109375" style="104" customWidth="1"/>
    <col min="2062" max="2062" width="8.42578125" style="104" customWidth="1"/>
    <col min="2063" max="2063" width="8.7109375" style="104" customWidth="1"/>
    <col min="2064" max="2064" width="10.42578125" style="104" customWidth="1"/>
    <col min="2065" max="2066" width="9.28515625" style="104"/>
    <col min="2067" max="2067" width="20.5703125" style="104" customWidth="1"/>
    <col min="2068" max="2072" width="20.28515625" style="104" customWidth="1"/>
    <col min="2073" max="2305" width="9.28515625" style="104"/>
    <col min="2306" max="2306" width="3" style="104" customWidth="1"/>
    <col min="2307" max="2307" width="4.7109375" style="104" customWidth="1"/>
    <col min="2308" max="2308" width="33.7109375" style="104" customWidth="1"/>
    <col min="2309" max="2309" width="11.7109375" style="104" customWidth="1"/>
    <col min="2310" max="2310" width="6.42578125" style="104" bestFit="1" customWidth="1"/>
    <col min="2311" max="2311" width="6.28515625" style="104" customWidth="1"/>
    <col min="2312" max="2312" width="5.42578125" style="104" customWidth="1"/>
    <col min="2313" max="2313" width="7.28515625" style="104" customWidth="1"/>
    <col min="2314" max="2314" width="6.7109375" style="104" customWidth="1"/>
    <col min="2315" max="2315" width="8.42578125" style="104" customWidth="1"/>
    <col min="2316" max="2316" width="9.28515625" style="104"/>
    <col min="2317" max="2317" width="7.7109375" style="104" customWidth="1"/>
    <col min="2318" max="2318" width="8.42578125" style="104" customWidth="1"/>
    <col min="2319" max="2319" width="8.7109375" style="104" customWidth="1"/>
    <col min="2320" max="2320" width="10.42578125" style="104" customWidth="1"/>
    <col min="2321" max="2322" width="9.28515625" style="104"/>
    <col min="2323" max="2323" width="20.5703125" style="104" customWidth="1"/>
    <col min="2324" max="2328" width="20.28515625" style="104" customWidth="1"/>
    <col min="2329" max="2561" width="9.28515625" style="104"/>
    <col min="2562" max="2562" width="3" style="104" customWidth="1"/>
    <col min="2563" max="2563" width="4.7109375" style="104" customWidth="1"/>
    <col min="2564" max="2564" width="33.7109375" style="104" customWidth="1"/>
    <col min="2565" max="2565" width="11.7109375" style="104" customWidth="1"/>
    <col min="2566" max="2566" width="6.42578125" style="104" bestFit="1" customWidth="1"/>
    <col min="2567" max="2567" width="6.28515625" style="104" customWidth="1"/>
    <col min="2568" max="2568" width="5.42578125" style="104" customWidth="1"/>
    <col min="2569" max="2569" width="7.28515625" style="104" customWidth="1"/>
    <col min="2570" max="2570" width="6.7109375" style="104" customWidth="1"/>
    <col min="2571" max="2571" width="8.42578125" style="104" customWidth="1"/>
    <col min="2572" max="2572" width="9.28515625" style="104"/>
    <col min="2573" max="2573" width="7.7109375" style="104" customWidth="1"/>
    <col min="2574" max="2574" width="8.42578125" style="104" customWidth="1"/>
    <col min="2575" max="2575" width="8.7109375" style="104" customWidth="1"/>
    <col min="2576" max="2576" width="10.42578125" style="104" customWidth="1"/>
    <col min="2577" max="2578" width="9.28515625" style="104"/>
    <col min="2579" max="2579" width="20.5703125" style="104" customWidth="1"/>
    <col min="2580" max="2584" width="20.28515625" style="104" customWidth="1"/>
    <col min="2585" max="2817" width="9.28515625" style="104"/>
    <col min="2818" max="2818" width="3" style="104" customWidth="1"/>
    <col min="2819" max="2819" width="4.7109375" style="104" customWidth="1"/>
    <col min="2820" max="2820" width="33.7109375" style="104" customWidth="1"/>
    <col min="2821" max="2821" width="11.7109375" style="104" customWidth="1"/>
    <col min="2822" max="2822" width="6.42578125" style="104" bestFit="1" customWidth="1"/>
    <col min="2823" max="2823" width="6.28515625" style="104" customWidth="1"/>
    <col min="2824" max="2824" width="5.42578125" style="104" customWidth="1"/>
    <col min="2825" max="2825" width="7.28515625" style="104" customWidth="1"/>
    <col min="2826" max="2826" width="6.7109375" style="104" customWidth="1"/>
    <col min="2827" max="2827" width="8.42578125" style="104" customWidth="1"/>
    <col min="2828" max="2828" width="9.28515625" style="104"/>
    <col min="2829" max="2829" width="7.7109375" style="104" customWidth="1"/>
    <col min="2830" max="2830" width="8.42578125" style="104" customWidth="1"/>
    <col min="2831" max="2831" width="8.7109375" style="104" customWidth="1"/>
    <col min="2832" max="2832" width="10.42578125" style="104" customWidth="1"/>
    <col min="2833" max="2834" width="9.28515625" style="104"/>
    <col min="2835" max="2835" width="20.5703125" style="104" customWidth="1"/>
    <col min="2836" max="2840" width="20.28515625" style="104" customWidth="1"/>
    <col min="2841" max="3073" width="9.28515625" style="104"/>
    <col min="3074" max="3074" width="3" style="104" customWidth="1"/>
    <col min="3075" max="3075" width="4.7109375" style="104" customWidth="1"/>
    <col min="3076" max="3076" width="33.7109375" style="104" customWidth="1"/>
    <col min="3077" max="3077" width="11.7109375" style="104" customWidth="1"/>
    <col min="3078" max="3078" width="6.42578125" style="104" bestFit="1" customWidth="1"/>
    <col min="3079" max="3079" width="6.28515625" style="104" customWidth="1"/>
    <col min="3080" max="3080" width="5.42578125" style="104" customWidth="1"/>
    <col min="3081" max="3081" width="7.28515625" style="104" customWidth="1"/>
    <col min="3082" max="3082" width="6.7109375" style="104" customWidth="1"/>
    <col min="3083" max="3083" width="8.42578125" style="104" customWidth="1"/>
    <col min="3084" max="3084" width="9.28515625" style="104"/>
    <col min="3085" max="3085" width="7.7109375" style="104" customWidth="1"/>
    <col min="3086" max="3086" width="8.42578125" style="104" customWidth="1"/>
    <col min="3087" max="3087" width="8.7109375" style="104" customWidth="1"/>
    <col min="3088" max="3088" width="10.42578125" style="104" customWidth="1"/>
    <col min="3089" max="3090" width="9.28515625" style="104"/>
    <col min="3091" max="3091" width="20.5703125" style="104" customWidth="1"/>
    <col min="3092" max="3096" width="20.28515625" style="104" customWidth="1"/>
    <col min="3097" max="3329" width="9.28515625" style="104"/>
    <col min="3330" max="3330" width="3" style="104" customWidth="1"/>
    <col min="3331" max="3331" width="4.7109375" style="104" customWidth="1"/>
    <col min="3332" max="3332" width="33.7109375" style="104" customWidth="1"/>
    <col min="3333" max="3333" width="11.7109375" style="104" customWidth="1"/>
    <col min="3334" max="3334" width="6.42578125" style="104" bestFit="1" customWidth="1"/>
    <col min="3335" max="3335" width="6.28515625" style="104" customWidth="1"/>
    <col min="3336" max="3336" width="5.42578125" style="104" customWidth="1"/>
    <col min="3337" max="3337" width="7.28515625" style="104" customWidth="1"/>
    <col min="3338" max="3338" width="6.7109375" style="104" customWidth="1"/>
    <col min="3339" max="3339" width="8.42578125" style="104" customWidth="1"/>
    <col min="3340" max="3340" width="9.28515625" style="104"/>
    <col min="3341" max="3341" width="7.7109375" style="104" customWidth="1"/>
    <col min="3342" max="3342" width="8.42578125" style="104" customWidth="1"/>
    <col min="3343" max="3343" width="8.7109375" style="104" customWidth="1"/>
    <col min="3344" max="3344" width="10.42578125" style="104" customWidth="1"/>
    <col min="3345" max="3346" width="9.28515625" style="104"/>
    <col min="3347" max="3347" width="20.5703125" style="104" customWidth="1"/>
    <col min="3348" max="3352" width="20.28515625" style="104" customWidth="1"/>
    <col min="3353" max="3585" width="9.28515625" style="104"/>
    <col min="3586" max="3586" width="3" style="104" customWidth="1"/>
    <col min="3587" max="3587" width="4.7109375" style="104" customWidth="1"/>
    <col min="3588" max="3588" width="33.7109375" style="104" customWidth="1"/>
    <col min="3589" max="3589" width="11.7109375" style="104" customWidth="1"/>
    <col min="3590" max="3590" width="6.42578125" style="104" bestFit="1" customWidth="1"/>
    <col min="3591" max="3591" width="6.28515625" style="104" customWidth="1"/>
    <col min="3592" max="3592" width="5.42578125" style="104" customWidth="1"/>
    <col min="3593" max="3593" width="7.28515625" style="104" customWidth="1"/>
    <col min="3594" max="3594" width="6.7109375" style="104" customWidth="1"/>
    <col min="3595" max="3595" width="8.42578125" style="104" customWidth="1"/>
    <col min="3596" max="3596" width="9.28515625" style="104"/>
    <col min="3597" max="3597" width="7.7109375" style="104" customWidth="1"/>
    <col min="3598" max="3598" width="8.42578125" style="104" customWidth="1"/>
    <col min="3599" max="3599" width="8.7109375" style="104" customWidth="1"/>
    <col min="3600" max="3600" width="10.42578125" style="104" customWidth="1"/>
    <col min="3601" max="3602" width="9.28515625" style="104"/>
    <col min="3603" max="3603" width="20.5703125" style="104" customWidth="1"/>
    <col min="3604" max="3608" width="20.28515625" style="104" customWidth="1"/>
    <col min="3609" max="3841" width="9.28515625" style="104"/>
    <col min="3842" max="3842" width="3" style="104" customWidth="1"/>
    <col min="3843" max="3843" width="4.7109375" style="104" customWidth="1"/>
    <col min="3844" max="3844" width="33.7109375" style="104" customWidth="1"/>
    <col min="3845" max="3845" width="11.7109375" style="104" customWidth="1"/>
    <col min="3846" max="3846" width="6.42578125" style="104" bestFit="1" customWidth="1"/>
    <col min="3847" max="3847" width="6.28515625" style="104" customWidth="1"/>
    <col min="3848" max="3848" width="5.42578125" style="104" customWidth="1"/>
    <col min="3849" max="3849" width="7.28515625" style="104" customWidth="1"/>
    <col min="3850" max="3850" width="6.7109375" style="104" customWidth="1"/>
    <col min="3851" max="3851" width="8.42578125" style="104" customWidth="1"/>
    <col min="3852" max="3852" width="9.28515625" style="104"/>
    <col min="3853" max="3853" width="7.7109375" style="104" customWidth="1"/>
    <col min="3854" max="3854" width="8.42578125" style="104" customWidth="1"/>
    <col min="3855" max="3855" width="8.7109375" style="104" customWidth="1"/>
    <col min="3856" max="3856" width="10.42578125" style="104" customWidth="1"/>
    <col min="3857" max="3858" width="9.28515625" style="104"/>
    <col min="3859" max="3859" width="20.5703125" style="104" customWidth="1"/>
    <col min="3860" max="3864" width="20.28515625" style="104" customWidth="1"/>
    <col min="3865" max="4097" width="9.28515625" style="104"/>
    <col min="4098" max="4098" width="3" style="104" customWidth="1"/>
    <col min="4099" max="4099" width="4.7109375" style="104" customWidth="1"/>
    <col min="4100" max="4100" width="33.7109375" style="104" customWidth="1"/>
    <col min="4101" max="4101" width="11.7109375" style="104" customWidth="1"/>
    <col min="4102" max="4102" width="6.42578125" style="104" bestFit="1" customWidth="1"/>
    <col min="4103" max="4103" width="6.28515625" style="104" customWidth="1"/>
    <col min="4104" max="4104" width="5.42578125" style="104" customWidth="1"/>
    <col min="4105" max="4105" width="7.28515625" style="104" customWidth="1"/>
    <col min="4106" max="4106" width="6.7109375" style="104" customWidth="1"/>
    <col min="4107" max="4107" width="8.42578125" style="104" customWidth="1"/>
    <col min="4108" max="4108" width="9.28515625" style="104"/>
    <col min="4109" max="4109" width="7.7109375" style="104" customWidth="1"/>
    <col min="4110" max="4110" width="8.42578125" style="104" customWidth="1"/>
    <col min="4111" max="4111" width="8.7109375" style="104" customWidth="1"/>
    <col min="4112" max="4112" width="10.42578125" style="104" customWidth="1"/>
    <col min="4113" max="4114" width="9.28515625" style="104"/>
    <col min="4115" max="4115" width="20.5703125" style="104" customWidth="1"/>
    <col min="4116" max="4120" width="20.28515625" style="104" customWidth="1"/>
    <col min="4121" max="4353" width="9.28515625" style="104"/>
    <col min="4354" max="4354" width="3" style="104" customWidth="1"/>
    <col min="4355" max="4355" width="4.7109375" style="104" customWidth="1"/>
    <col min="4356" max="4356" width="33.7109375" style="104" customWidth="1"/>
    <col min="4357" max="4357" width="11.7109375" style="104" customWidth="1"/>
    <col min="4358" max="4358" width="6.42578125" style="104" bestFit="1" customWidth="1"/>
    <col min="4359" max="4359" width="6.28515625" style="104" customWidth="1"/>
    <col min="4360" max="4360" width="5.42578125" style="104" customWidth="1"/>
    <col min="4361" max="4361" width="7.28515625" style="104" customWidth="1"/>
    <col min="4362" max="4362" width="6.7109375" style="104" customWidth="1"/>
    <col min="4363" max="4363" width="8.42578125" style="104" customWidth="1"/>
    <col min="4364" max="4364" width="9.28515625" style="104"/>
    <col min="4365" max="4365" width="7.7109375" style="104" customWidth="1"/>
    <col min="4366" max="4366" width="8.42578125" style="104" customWidth="1"/>
    <col min="4367" max="4367" width="8.7109375" style="104" customWidth="1"/>
    <col min="4368" max="4368" width="10.42578125" style="104" customWidth="1"/>
    <col min="4369" max="4370" width="9.28515625" style="104"/>
    <col min="4371" max="4371" width="20.5703125" style="104" customWidth="1"/>
    <col min="4372" max="4376" width="20.28515625" style="104" customWidth="1"/>
    <col min="4377" max="4609" width="9.28515625" style="104"/>
    <col min="4610" max="4610" width="3" style="104" customWidth="1"/>
    <col min="4611" max="4611" width="4.7109375" style="104" customWidth="1"/>
    <col min="4612" max="4612" width="33.7109375" style="104" customWidth="1"/>
    <col min="4613" max="4613" width="11.7109375" style="104" customWidth="1"/>
    <col min="4614" max="4614" width="6.42578125" style="104" bestFit="1" customWidth="1"/>
    <col min="4615" max="4615" width="6.28515625" style="104" customWidth="1"/>
    <col min="4616" max="4616" width="5.42578125" style="104" customWidth="1"/>
    <col min="4617" max="4617" width="7.28515625" style="104" customWidth="1"/>
    <col min="4618" max="4618" width="6.7109375" style="104" customWidth="1"/>
    <col min="4619" max="4619" width="8.42578125" style="104" customWidth="1"/>
    <col min="4620" max="4620" width="9.28515625" style="104"/>
    <col min="4621" max="4621" width="7.7109375" style="104" customWidth="1"/>
    <col min="4622" max="4622" width="8.42578125" style="104" customWidth="1"/>
    <col min="4623" max="4623" width="8.7109375" style="104" customWidth="1"/>
    <col min="4624" max="4624" width="10.42578125" style="104" customWidth="1"/>
    <col min="4625" max="4626" width="9.28515625" style="104"/>
    <col min="4627" max="4627" width="20.5703125" style="104" customWidth="1"/>
    <col min="4628" max="4632" width="20.28515625" style="104" customWidth="1"/>
    <col min="4633" max="4865" width="9.28515625" style="104"/>
    <col min="4866" max="4866" width="3" style="104" customWidth="1"/>
    <col min="4867" max="4867" width="4.7109375" style="104" customWidth="1"/>
    <col min="4868" max="4868" width="33.7109375" style="104" customWidth="1"/>
    <col min="4869" max="4869" width="11.7109375" style="104" customWidth="1"/>
    <col min="4870" max="4870" width="6.42578125" style="104" bestFit="1" customWidth="1"/>
    <col min="4871" max="4871" width="6.28515625" style="104" customWidth="1"/>
    <col min="4872" max="4872" width="5.42578125" style="104" customWidth="1"/>
    <col min="4873" max="4873" width="7.28515625" style="104" customWidth="1"/>
    <col min="4874" max="4874" width="6.7109375" style="104" customWidth="1"/>
    <col min="4875" max="4875" width="8.42578125" style="104" customWidth="1"/>
    <col min="4876" max="4876" width="9.28515625" style="104"/>
    <col min="4877" max="4877" width="7.7109375" style="104" customWidth="1"/>
    <col min="4878" max="4878" width="8.42578125" style="104" customWidth="1"/>
    <col min="4879" max="4879" width="8.7109375" style="104" customWidth="1"/>
    <col min="4880" max="4880" width="10.42578125" style="104" customWidth="1"/>
    <col min="4881" max="4882" width="9.28515625" style="104"/>
    <col min="4883" max="4883" width="20.5703125" style="104" customWidth="1"/>
    <col min="4884" max="4888" width="20.28515625" style="104" customWidth="1"/>
    <col min="4889" max="5121" width="9.28515625" style="104"/>
    <col min="5122" max="5122" width="3" style="104" customWidth="1"/>
    <col min="5123" max="5123" width="4.7109375" style="104" customWidth="1"/>
    <col min="5124" max="5124" width="33.7109375" style="104" customWidth="1"/>
    <col min="5125" max="5125" width="11.7109375" style="104" customWidth="1"/>
    <col min="5126" max="5126" width="6.42578125" style="104" bestFit="1" customWidth="1"/>
    <col min="5127" max="5127" width="6.28515625" style="104" customWidth="1"/>
    <col min="5128" max="5128" width="5.42578125" style="104" customWidth="1"/>
    <col min="5129" max="5129" width="7.28515625" style="104" customWidth="1"/>
    <col min="5130" max="5130" width="6.7109375" style="104" customWidth="1"/>
    <col min="5131" max="5131" width="8.42578125" style="104" customWidth="1"/>
    <col min="5132" max="5132" width="9.28515625" style="104"/>
    <col min="5133" max="5133" width="7.7109375" style="104" customWidth="1"/>
    <col min="5134" max="5134" width="8.42578125" style="104" customWidth="1"/>
    <col min="5135" max="5135" width="8.7109375" style="104" customWidth="1"/>
    <col min="5136" max="5136" width="10.42578125" style="104" customWidth="1"/>
    <col min="5137" max="5138" width="9.28515625" style="104"/>
    <col min="5139" max="5139" width="20.5703125" style="104" customWidth="1"/>
    <col min="5140" max="5144" width="20.28515625" style="104" customWidth="1"/>
    <col min="5145" max="5377" width="9.28515625" style="104"/>
    <col min="5378" max="5378" width="3" style="104" customWidth="1"/>
    <col min="5379" max="5379" width="4.7109375" style="104" customWidth="1"/>
    <col min="5380" max="5380" width="33.7109375" style="104" customWidth="1"/>
    <col min="5381" max="5381" width="11.7109375" style="104" customWidth="1"/>
    <col min="5382" max="5382" width="6.42578125" style="104" bestFit="1" customWidth="1"/>
    <col min="5383" max="5383" width="6.28515625" style="104" customWidth="1"/>
    <col min="5384" max="5384" width="5.42578125" style="104" customWidth="1"/>
    <col min="5385" max="5385" width="7.28515625" style="104" customWidth="1"/>
    <col min="5386" max="5386" width="6.7109375" style="104" customWidth="1"/>
    <col min="5387" max="5387" width="8.42578125" style="104" customWidth="1"/>
    <col min="5388" max="5388" width="9.28515625" style="104"/>
    <col min="5389" max="5389" width="7.7109375" style="104" customWidth="1"/>
    <col min="5390" max="5390" width="8.42578125" style="104" customWidth="1"/>
    <col min="5391" max="5391" width="8.7109375" style="104" customWidth="1"/>
    <col min="5392" max="5392" width="10.42578125" style="104" customWidth="1"/>
    <col min="5393" max="5394" width="9.28515625" style="104"/>
    <col min="5395" max="5395" width="20.5703125" style="104" customWidth="1"/>
    <col min="5396" max="5400" width="20.28515625" style="104" customWidth="1"/>
    <col min="5401" max="5633" width="9.28515625" style="104"/>
    <col min="5634" max="5634" width="3" style="104" customWidth="1"/>
    <col min="5635" max="5635" width="4.7109375" style="104" customWidth="1"/>
    <col min="5636" max="5636" width="33.7109375" style="104" customWidth="1"/>
    <col min="5637" max="5637" width="11.7109375" style="104" customWidth="1"/>
    <col min="5638" max="5638" width="6.42578125" style="104" bestFit="1" customWidth="1"/>
    <col min="5639" max="5639" width="6.28515625" style="104" customWidth="1"/>
    <col min="5640" max="5640" width="5.42578125" style="104" customWidth="1"/>
    <col min="5641" max="5641" width="7.28515625" style="104" customWidth="1"/>
    <col min="5642" max="5642" width="6.7109375" style="104" customWidth="1"/>
    <col min="5643" max="5643" width="8.42578125" style="104" customWidth="1"/>
    <col min="5644" max="5644" width="9.28515625" style="104"/>
    <col min="5645" max="5645" width="7.7109375" style="104" customWidth="1"/>
    <col min="5646" max="5646" width="8.42578125" style="104" customWidth="1"/>
    <col min="5647" max="5647" width="8.7109375" style="104" customWidth="1"/>
    <col min="5648" max="5648" width="10.42578125" style="104" customWidth="1"/>
    <col min="5649" max="5650" width="9.28515625" style="104"/>
    <col min="5651" max="5651" width="20.5703125" style="104" customWidth="1"/>
    <col min="5652" max="5656" width="20.28515625" style="104" customWidth="1"/>
    <col min="5657" max="5889" width="9.28515625" style="104"/>
    <col min="5890" max="5890" width="3" style="104" customWidth="1"/>
    <col min="5891" max="5891" width="4.7109375" style="104" customWidth="1"/>
    <col min="5892" max="5892" width="33.7109375" style="104" customWidth="1"/>
    <col min="5893" max="5893" width="11.7109375" style="104" customWidth="1"/>
    <col min="5894" max="5894" width="6.42578125" style="104" bestFit="1" customWidth="1"/>
    <col min="5895" max="5895" width="6.28515625" style="104" customWidth="1"/>
    <col min="5896" max="5896" width="5.42578125" style="104" customWidth="1"/>
    <col min="5897" max="5897" width="7.28515625" style="104" customWidth="1"/>
    <col min="5898" max="5898" width="6.7109375" style="104" customWidth="1"/>
    <col min="5899" max="5899" width="8.42578125" style="104" customWidth="1"/>
    <col min="5900" max="5900" width="9.28515625" style="104"/>
    <col min="5901" max="5901" width="7.7109375" style="104" customWidth="1"/>
    <col min="5902" max="5902" width="8.42578125" style="104" customWidth="1"/>
    <col min="5903" max="5903" width="8.7109375" style="104" customWidth="1"/>
    <col min="5904" max="5904" width="10.42578125" style="104" customWidth="1"/>
    <col min="5905" max="5906" width="9.28515625" style="104"/>
    <col min="5907" max="5907" width="20.5703125" style="104" customWidth="1"/>
    <col min="5908" max="5912" width="20.28515625" style="104" customWidth="1"/>
    <col min="5913" max="6145" width="9.28515625" style="104"/>
    <col min="6146" max="6146" width="3" style="104" customWidth="1"/>
    <col min="6147" max="6147" width="4.7109375" style="104" customWidth="1"/>
    <col min="6148" max="6148" width="33.7109375" style="104" customWidth="1"/>
    <col min="6149" max="6149" width="11.7109375" style="104" customWidth="1"/>
    <col min="6150" max="6150" width="6.42578125" style="104" bestFit="1" customWidth="1"/>
    <col min="6151" max="6151" width="6.28515625" style="104" customWidth="1"/>
    <col min="6152" max="6152" width="5.42578125" style="104" customWidth="1"/>
    <col min="6153" max="6153" width="7.28515625" style="104" customWidth="1"/>
    <col min="6154" max="6154" width="6.7109375" style="104" customWidth="1"/>
    <col min="6155" max="6155" width="8.42578125" style="104" customWidth="1"/>
    <col min="6156" max="6156" width="9.28515625" style="104"/>
    <col min="6157" max="6157" width="7.7109375" style="104" customWidth="1"/>
    <col min="6158" max="6158" width="8.42578125" style="104" customWidth="1"/>
    <col min="6159" max="6159" width="8.7109375" style="104" customWidth="1"/>
    <col min="6160" max="6160" width="10.42578125" style="104" customWidth="1"/>
    <col min="6161" max="6162" width="9.28515625" style="104"/>
    <col min="6163" max="6163" width="20.5703125" style="104" customWidth="1"/>
    <col min="6164" max="6168" width="20.28515625" style="104" customWidth="1"/>
    <col min="6169" max="6401" width="9.28515625" style="104"/>
    <col min="6402" max="6402" width="3" style="104" customWidth="1"/>
    <col min="6403" max="6403" width="4.7109375" style="104" customWidth="1"/>
    <col min="6404" max="6404" width="33.7109375" style="104" customWidth="1"/>
    <col min="6405" max="6405" width="11.7109375" style="104" customWidth="1"/>
    <col min="6406" max="6406" width="6.42578125" style="104" bestFit="1" customWidth="1"/>
    <col min="6407" max="6407" width="6.28515625" style="104" customWidth="1"/>
    <col min="6408" max="6408" width="5.42578125" style="104" customWidth="1"/>
    <col min="6409" max="6409" width="7.28515625" style="104" customWidth="1"/>
    <col min="6410" max="6410" width="6.7109375" style="104" customWidth="1"/>
    <col min="6411" max="6411" width="8.42578125" style="104" customWidth="1"/>
    <col min="6412" max="6412" width="9.28515625" style="104"/>
    <col min="6413" max="6413" width="7.7109375" style="104" customWidth="1"/>
    <col min="6414" max="6414" width="8.42578125" style="104" customWidth="1"/>
    <col min="6415" max="6415" width="8.7109375" style="104" customWidth="1"/>
    <col min="6416" max="6416" width="10.42578125" style="104" customWidth="1"/>
    <col min="6417" max="6418" width="9.28515625" style="104"/>
    <col min="6419" max="6419" width="20.5703125" style="104" customWidth="1"/>
    <col min="6420" max="6424" width="20.28515625" style="104" customWidth="1"/>
    <col min="6425" max="6657" width="9.28515625" style="104"/>
    <col min="6658" max="6658" width="3" style="104" customWidth="1"/>
    <col min="6659" max="6659" width="4.7109375" style="104" customWidth="1"/>
    <col min="6660" max="6660" width="33.7109375" style="104" customWidth="1"/>
    <col min="6661" max="6661" width="11.7109375" style="104" customWidth="1"/>
    <col min="6662" max="6662" width="6.42578125" style="104" bestFit="1" customWidth="1"/>
    <col min="6663" max="6663" width="6.28515625" style="104" customWidth="1"/>
    <col min="6664" max="6664" width="5.42578125" style="104" customWidth="1"/>
    <col min="6665" max="6665" width="7.28515625" style="104" customWidth="1"/>
    <col min="6666" max="6666" width="6.7109375" style="104" customWidth="1"/>
    <col min="6667" max="6667" width="8.42578125" style="104" customWidth="1"/>
    <col min="6668" max="6668" width="9.28515625" style="104"/>
    <col min="6669" max="6669" width="7.7109375" style="104" customWidth="1"/>
    <col min="6670" max="6670" width="8.42578125" style="104" customWidth="1"/>
    <col min="6671" max="6671" width="8.7109375" style="104" customWidth="1"/>
    <col min="6672" max="6672" width="10.42578125" style="104" customWidth="1"/>
    <col min="6673" max="6674" width="9.28515625" style="104"/>
    <col min="6675" max="6675" width="20.5703125" style="104" customWidth="1"/>
    <col min="6676" max="6680" width="20.28515625" style="104" customWidth="1"/>
    <col min="6681" max="6913" width="9.28515625" style="104"/>
    <col min="6914" max="6914" width="3" style="104" customWidth="1"/>
    <col min="6915" max="6915" width="4.7109375" style="104" customWidth="1"/>
    <col min="6916" max="6916" width="33.7109375" style="104" customWidth="1"/>
    <col min="6917" max="6917" width="11.7109375" style="104" customWidth="1"/>
    <col min="6918" max="6918" width="6.42578125" style="104" bestFit="1" customWidth="1"/>
    <col min="6919" max="6919" width="6.28515625" style="104" customWidth="1"/>
    <col min="6920" max="6920" width="5.42578125" style="104" customWidth="1"/>
    <col min="6921" max="6921" width="7.28515625" style="104" customWidth="1"/>
    <col min="6922" max="6922" width="6.7109375" style="104" customWidth="1"/>
    <col min="6923" max="6923" width="8.42578125" style="104" customWidth="1"/>
    <col min="6924" max="6924" width="9.28515625" style="104"/>
    <col min="6925" max="6925" width="7.7109375" style="104" customWidth="1"/>
    <col min="6926" max="6926" width="8.42578125" style="104" customWidth="1"/>
    <col min="6927" max="6927" width="8.7109375" style="104" customWidth="1"/>
    <col min="6928" max="6928" width="10.42578125" style="104" customWidth="1"/>
    <col min="6929" max="6930" width="9.28515625" style="104"/>
    <col min="6931" max="6931" width="20.5703125" style="104" customWidth="1"/>
    <col min="6932" max="6936" width="20.28515625" style="104" customWidth="1"/>
    <col min="6937" max="7169" width="9.28515625" style="104"/>
    <col min="7170" max="7170" width="3" style="104" customWidth="1"/>
    <col min="7171" max="7171" width="4.7109375" style="104" customWidth="1"/>
    <col min="7172" max="7172" width="33.7109375" style="104" customWidth="1"/>
    <col min="7173" max="7173" width="11.7109375" style="104" customWidth="1"/>
    <col min="7174" max="7174" width="6.42578125" style="104" bestFit="1" customWidth="1"/>
    <col min="7175" max="7175" width="6.28515625" style="104" customWidth="1"/>
    <col min="7176" max="7176" width="5.42578125" style="104" customWidth="1"/>
    <col min="7177" max="7177" width="7.28515625" style="104" customWidth="1"/>
    <col min="7178" max="7178" width="6.7109375" style="104" customWidth="1"/>
    <col min="7179" max="7179" width="8.42578125" style="104" customWidth="1"/>
    <col min="7180" max="7180" width="9.28515625" style="104"/>
    <col min="7181" max="7181" width="7.7109375" style="104" customWidth="1"/>
    <col min="7182" max="7182" width="8.42578125" style="104" customWidth="1"/>
    <col min="7183" max="7183" width="8.7109375" style="104" customWidth="1"/>
    <col min="7184" max="7184" width="10.42578125" style="104" customWidth="1"/>
    <col min="7185" max="7186" width="9.28515625" style="104"/>
    <col min="7187" max="7187" width="20.5703125" style="104" customWidth="1"/>
    <col min="7188" max="7192" width="20.28515625" style="104" customWidth="1"/>
    <col min="7193" max="7425" width="9.28515625" style="104"/>
    <col min="7426" max="7426" width="3" style="104" customWidth="1"/>
    <col min="7427" max="7427" width="4.7109375" style="104" customWidth="1"/>
    <col min="7428" max="7428" width="33.7109375" style="104" customWidth="1"/>
    <col min="7429" max="7429" width="11.7109375" style="104" customWidth="1"/>
    <col min="7430" max="7430" width="6.42578125" style="104" bestFit="1" customWidth="1"/>
    <col min="7431" max="7431" width="6.28515625" style="104" customWidth="1"/>
    <col min="7432" max="7432" width="5.42578125" style="104" customWidth="1"/>
    <col min="7433" max="7433" width="7.28515625" style="104" customWidth="1"/>
    <col min="7434" max="7434" width="6.7109375" style="104" customWidth="1"/>
    <col min="7435" max="7435" width="8.42578125" style="104" customWidth="1"/>
    <col min="7436" max="7436" width="9.28515625" style="104"/>
    <col min="7437" max="7437" width="7.7109375" style="104" customWidth="1"/>
    <col min="7438" max="7438" width="8.42578125" style="104" customWidth="1"/>
    <col min="7439" max="7439" width="8.7109375" style="104" customWidth="1"/>
    <col min="7440" max="7440" width="10.42578125" style="104" customWidth="1"/>
    <col min="7441" max="7442" width="9.28515625" style="104"/>
    <col min="7443" max="7443" width="20.5703125" style="104" customWidth="1"/>
    <col min="7444" max="7448" width="20.28515625" style="104" customWidth="1"/>
    <col min="7449" max="7681" width="9.28515625" style="104"/>
    <col min="7682" max="7682" width="3" style="104" customWidth="1"/>
    <col min="7683" max="7683" width="4.7109375" style="104" customWidth="1"/>
    <col min="7684" max="7684" width="33.7109375" style="104" customWidth="1"/>
    <col min="7685" max="7685" width="11.7109375" style="104" customWidth="1"/>
    <col min="7686" max="7686" width="6.42578125" style="104" bestFit="1" customWidth="1"/>
    <col min="7687" max="7687" width="6.28515625" style="104" customWidth="1"/>
    <col min="7688" max="7688" width="5.42578125" style="104" customWidth="1"/>
    <col min="7689" max="7689" width="7.28515625" style="104" customWidth="1"/>
    <col min="7690" max="7690" width="6.7109375" style="104" customWidth="1"/>
    <col min="7691" max="7691" width="8.42578125" style="104" customWidth="1"/>
    <col min="7692" max="7692" width="9.28515625" style="104"/>
    <col min="7693" max="7693" width="7.7109375" style="104" customWidth="1"/>
    <col min="7694" max="7694" width="8.42578125" style="104" customWidth="1"/>
    <col min="7695" max="7695" width="8.7109375" style="104" customWidth="1"/>
    <col min="7696" max="7696" width="10.42578125" style="104" customWidth="1"/>
    <col min="7697" max="7698" width="9.28515625" style="104"/>
    <col min="7699" max="7699" width="20.5703125" style="104" customWidth="1"/>
    <col min="7700" max="7704" width="20.28515625" style="104" customWidth="1"/>
    <col min="7705" max="7937" width="9.28515625" style="104"/>
    <col min="7938" max="7938" width="3" style="104" customWidth="1"/>
    <col min="7939" max="7939" width="4.7109375" style="104" customWidth="1"/>
    <col min="7940" max="7940" width="33.7109375" style="104" customWidth="1"/>
    <col min="7941" max="7941" width="11.7109375" style="104" customWidth="1"/>
    <col min="7942" max="7942" width="6.42578125" style="104" bestFit="1" customWidth="1"/>
    <col min="7943" max="7943" width="6.28515625" style="104" customWidth="1"/>
    <col min="7944" max="7944" width="5.42578125" style="104" customWidth="1"/>
    <col min="7945" max="7945" width="7.28515625" style="104" customWidth="1"/>
    <col min="7946" max="7946" width="6.7109375" style="104" customWidth="1"/>
    <col min="7947" max="7947" width="8.42578125" style="104" customWidth="1"/>
    <col min="7948" max="7948" width="9.28515625" style="104"/>
    <col min="7949" max="7949" width="7.7109375" style="104" customWidth="1"/>
    <col min="7950" max="7950" width="8.42578125" style="104" customWidth="1"/>
    <col min="7951" max="7951" width="8.7109375" style="104" customWidth="1"/>
    <col min="7952" max="7952" width="10.42578125" style="104" customWidth="1"/>
    <col min="7953" max="7954" width="9.28515625" style="104"/>
    <col min="7955" max="7955" width="20.5703125" style="104" customWidth="1"/>
    <col min="7956" max="7960" width="20.28515625" style="104" customWidth="1"/>
    <col min="7961" max="8193" width="9.28515625" style="104"/>
    <col min="8194" max="8194" width="3" style="104" customWidth="1"/>
    <col min="8195" max="8195" width="4.7109375" style="104" customWidth="1"/>
    <col min="8196" max="8196" width="33.7109375" style="104" customWidth="1"/>
    <col min="8197" max="8197" width="11.7109375" style="104" customWidth="1"/>
    <col min="8198" max="8198" width="6.42578125" style="104" bestFit="1" customWidth="1"/>
    <col min="8199" max="8199" width="6.28515625" style="104" customWidth="1"/>
    <col min="8200" max="8200" width="5.42578125" style="104" customWidth="1"/>
    <col min="8201" max="8201" width="7.28515625" style="104" customWidth="1"/>
    <col min="8202" max="8202" width="6.7109375" style="104" customWidth="1"/>
    <col min="8203" max="8203" width="8.42578125" style="104" customWidth="1"/>
    <col min="8204" max="8204" width="9.28515625" style="104"/>
    <col min="8205" max="8205" width="7.7109375" style="104" customWidth="1"/>
    <col min="8206" max="8206" width="8.42578125" style="104" customWidth="1"/>
    <col min="8207" max="8207" width="8.7109375" style="104" customWidth="1"/>
    <col min="8208" max="8208" width="10.42578125" style="104" customWidth="1"/>
    <col min="8209" max="8210" width="9.28515625" style="104"/>
    <col min="8211" max="8211" width="20.5703125" style="104" customWidth="1"/>
    <col min="8212" max="8216" width="20.28515625" style="104" customWidth="1"/>
    <col min="8217" max="8449" width="9.28515625" style="104"/>
    <col min="8450" max="8450" width="3" style="104" customWidth="1"/>
    <col min="8451" max="8451" width="4.7109375" style="104" customWidth="1"/>
    <col min="8452" max="8452" width="33.7109375" style="104" customWidth="1"/>
    <col min="8453" max="8453" width="11.7109375" style="104" customWidth="1"/>
    <col min="8454" max="8454" width="6.42578125" style="104" bestFit="1" customWidth="1"/>
    <col min="8455" max="8455" width="6.28515625" style="104" customWidth="1"/>
    <col min="8456" max="8456" width="5.42578125" style="104" customWidth="1"/>
    <col min="8457" max="8457" width="7.28515625" style="104" customWidth="1"/>
    <col min="8458" max="8458" width="6.7109375" style="104" customWidth="1"/>
    <col min="8459" max="8459" width="8.42578125" style="104" customWidth="1"/>
    <col min="8460" max="8460" width="9.28515625" style="104"/>
    <col min="8461" max="8461" width="7.7109375" style="104" customWidth="1"/>
    <col min="8462" max="8462" width="8.42578125" style="104" customWidth="1"/>
    <col min="8463" max="8463" width="8.7109375" style="104" customWidth="1"/>
    <col min="8464" max="8464" width="10.42578125" style="104" customWidth="1"/>
    <col min="8465" max="8466" width="9.28515625" style="104"/>
    <col min="8467" max="8467" width="20.5703125" style="104" customWidth="1"/>
    <col min="8468" max="8472" width="20.28515625" style="104" customWidth="1"/>
    <col min="8473" max="8705" width="9.28515625" style="104"/>
    <col min="8706" max="8706" width="3" style="104" customWidth="1"/>
    <col min="8707" max="8707" width="4.7109375" style="104" customWidth="1"/>
    <col min="8708" max="8708" width="33.7109375" style="104" customWidth="1"/>
    <col min="8709" max="8709" width="11.7109375" style="104" customWidth="1"/>
    <col min="8710" max="8710" width="6.42578125" style="104" bestFit="1" customWidth="1"/>
    <col min="8711" max="8711" width="6.28515625" style="104" customWidth="1"/>
    <col min="8712" max="8712" width="5.42578125" style="104" customWidth="1"/>
    <col min="8713" max="8713" width="7.28515625" style="104" customWidth="1"/>
    <col min="8714" max="8714" width="6.7109375" style="104" customWidth="1"/>
    <col min="8715" max="8715" width="8.42578125" style="104" customWidth="1"/>
    <col min="8716" max="8716" width="9.28515625" style="104"/>
    <col min="8717" max="8717" width="7.7109375" style="104" customWidth="1"/>
    <col min="8718" max="8718" width="8.42578125" style="104" customWidth="1"/>
    <col min="8719" max="8719" width="8.7109375" style="104" customWidth="1"/>
    <col min="8720" max="8720" width="10.42578125" style="104" customWidth="1"/>
    <col min="8721" max="8722" width="9.28515625" style="104"/>
    <col min="8723" max="8723" width="20.5703125" style="104" customWidth="1"/>
    <col min="8724" max="8728" width="20.28515625" style="104" customWidth="1"/>
    <col min="8729" max="8961" width="9.28515625" style="104"/>
    <col min="8962" max="8962" width="3" style="104" customWidth="1"/>
    <col min="8963" max="8963" width="4.7109375" style="104" customWidth="1"/>
    <col min="8964" max="8964" width="33.7109375" style="104" customWidth="1"/>
    <col min="8965" max="8965" width="11.7109375" style="104" customWidth="1"/>
    <col min="8966" max="8966" width="6.42578125" style="104" bestFit="1" customWidth="1"/>
    <col min="8967" max="8967" width="6.28515625" style="104" customWidth="1"/>
    <col min="8968" max="8968" width="5.42578125" style="104" customWidth="1"/>
    <col min="8969" max="8969" width="7.28515625" style="104" customWidth="1"/>
    <col min="8970" max="8970" width="6.7109375" style="104" customWidth="1"/>
    <col min="8971" max="8971" width="8.42578125" style="104" customWidth="1"/>
    <col min="8972" max="8972" width="9.28515625" style="104"/>
    <col min="8973" max="8973" width="7.7109375" style="104" customWidth="1"/>
    <col min="8974" max="8974" width="8.42578125" style="104" customWidth="1"/>
    <col min="8975" max="8975" width="8.7109375" style="104" customWidth="1"/>
    <col min="8976" max="8976" width="10.42578125" style="104" customWidth="1"/>
    <col min="8977" max="8978" width="9.28515625" style="104"/>
    <col min="8979" max="8979" width="20.5703125" style="104" customWidth="1"/>
    <col min="8980" max="8984" width="20.28515625" style="104" customWidth="1"/>
    <col min="8985" max="9217" width="9.28515625" style="104"/>
    <col min="9218" max="9218" width="3" style="104" customWidth="1"/>
    <col min="9219" max="9219" width="4.7109375" style="104" customWidth="1"/>
    <col min="9220" max="9220" width="33.7109375" style="104" customWidth="1"/>
    <col min="9221" max="9221" width="11.7109375" style="104" customWidth="1"/>
    <col min="9222" max="9222" width="6.42578125" style="104" bestFit="1" customWidth="1"/>
    <col min="9223" max="9223" width="6.28515625" style="104" customWidth="1"/>
    <col min="9224" max="9224" width="5.42578125" style="104" customWidth="1"/>
    <col min="9225" max="9225" width="7.28515625" style="104" customWidth="1"/>
    <col min="9226" max="9226" width="6.7109375" style="104" customWidth="1"/>
    <col min="9227" max="9227" width="8.42578125" style="104" customWidth="1"/>
    <col min="9228" max="9228" width="9.28515625" style="104"/>
    <col min="9229" max="9229" width="7.7109375" style="104" customWidth="1"/>
    <col min="9230" max="9230" width="8.42578125" style="104" customWidth="1"/>
    <col min="9231" max="9231" width="8.7109375" style="104" customWidth="1"/>
    <col min="9232" max="9232" width="10.42578125" style="104" customWidth="1"/>
    <col min="9233" max="9234" width="9.28515625" style="104"/>
    <col min="9235" max="9235" width="20.5703125" style="104" customWidth="1"/>
    <col min="9236" max="9240" width="20.28515625" style="104" customWidth="1"/>
    <col min="9241" max="9473" width="9.28515625" style="104"/>
    <col min="9474" max="9474" width="3" style="104" customWidth="1"/>
    <col min="9475" max="9475" width="4.7109375" style="104" customWidth="1"/>
    <col min="9476" max="9476" width="33.7109375" style="104" customWidth="1"/>
    <col min="9477" max="9477" width="11.7109375" style="104" customWidth="1"/>
    <col min="9478" max="9478" width="6.42578125" style="104" bestFit="1" customWidth="1"/>
    <col min="9479" max="9479" width="6.28515625" style="104" customWidth="1"/>
    <col min="9480" max="9480" width="5.42578125" style="104" customWidth="1"/>
    <col min="9481" max="9481" width="7.28515625" style="104" customWidth="1"/>
    <col min="9482" max="9482" width="6.7109375" style="104" customWidth="1"/>
    <col min="9483" max="9483" width="8.42578125" style="104" customWidth="1"/>
    <col min="9484" max="9484" width="9.28515625" style="104"/>
    <col min="9485" max="9485" width="7.7109375" style="104" customWidth="1"/>
    <col min="9486" max="9486" width="8.42578125" style="104" customWidth="1"/>
    <col min="9487" max="9487" width="8.7109375" style="104" customWidth="1"/>
    <col min="9488" max="9488" width="10.42578125" style="104" customWidth="1"/>
    <col min="9489" max="9490" width="9.28515625" style="104"/>
    <col min="9491" max="9491" width="20.5703125" style="104" customWidth="1"/>
    <col min="9492" max="9496" width="20.28515625" style="104" customWidth="1"/>
    <col min="9497" max="9729" width="9.28515625" style="104"/>
    <col min="9730" max="9730" width="3" style="104" customWidth="1"/>
    <col min="9731" max="9731" width="4.7109375" style="104" customWidth="1"/>
    <col min="9732" max="9732" width="33.7109375" style="104" customWidth="1"/>
    <col min="9733" max="9733" width="11.7109375" style="104" customWidth="1"/>
    <col min="9734" max="9734" width="6.42578125" style="104" bestFit="1" customWidth="1"/>
    <col min="9735" max="9735" width="6.28515625" style="104" customWidth="1"/>
    <col min="9736" max="9736" width="5.42578125" style="104" customWidth="1"/>
    <col min="9737" max="9737" width="7.28515625" style="104" customWidth="1"/>
    <col min="9738" max="9738" width="6.7109375" style="104" customWidth="1"/>
    <col min="9739" max="9739" width="8.42578125" style="104" customWidth="1"/>
    <col min="9740" max="9740" width="9.28515625" style="104"/>
    <col min="9741" max="9741" width="7.7109375" style="104" customWidth="1"/>
    <col min="9742" max="9742" width="8.42578125" style="104" customWidth="1"/>
    <col min="9743" max="9743" width="8.7109375" style="104" customWidth="1"/>
    <col min="9744" max="9744" width="10.42578125" style="104" customWidth="1"/>
    <col min="9745" max="9746" width="9.28515625" style="104"/>
    <col min="9747" max="9747" width="20.5703125" style="104" customWidth="1"/>
    <col min="9748" max="9752" width="20.28515625" style="104" customWidth="1"/>
    <col min="9753" max="9985" width="9.28515625" style="104"/>
    <col min="9986" max="9986" width="3" style="104" customWidth="1"/>
    <col min="9987" max="9987" width="4.7109375" style="104" customWidth="1"/>
    <col min="9988" max="9988" width="33.7109375" style="104" customWidth="1"/>
    <col min="9989" max="9989" width="11.7109375" style="104" customWidth="1"/>
    <col min="9990" max="9990" width="6.42578125" style="104" bestFit="1" customWidth="1"/>
    <col min="9991" max="9991" width="6.28515625" style="104" customWidth="1"/>
    <col min="9992" max="9992" width="5.42578125" style="104" customWidth="1"/>
    <col min="9993" max="9993" width="7.28515625" style="104" customWidth="1"/>
    <col min="9994" max="9994" width="6.7109375" style="104" customWidth="1"/>
    <col min="9995" max="9995" width="8.42578125" style="104" customWidth="1"/>
    <col min="9996" max="9996" width="9.28515625" style="104"/>
    <col min="9997" max="9997" width="7.7109375" style="104" customWidth="1"/>
    <col min="9998" max="9998" width="8.42578125" style="104" customWidth="1"/>
    <col min="9999" max="9999" width="8.7109375" style="104" customWidth="1"/>
    <col min="10000" max="10000" width="10.42578125" style="104" customWidth="1"/>
    <col min="10001" max="10002" width="9.28515625" style="104"/>
    <col min="10003" max="10003" width="20.5703125" style="104" customWidth="1"/>
    <col min="10004" max="10008" width="20.28515625" style="104" customWidth="1"/>
    <col min="10009" max="10241" width="9.28515625" style="104"/>
    <col min="10242" max="10242" width="3" style="104" customWidth="1"/>
    <col min="10243" max="10243" width="4.7109375" style="104" customWidth="1"/>
    <col min="10244" max="10244" width="33.7109375" style="104" customWidth="1"/>
    <col min="10245" max="10245" width="11.7109375" style="104" customWidth="1"/>
    <col min="10246" max="10246" width="6.42578125" style="104" bestFit="1" customWidth="1"/>
    <col min="10247" max="10247" width="6.28515625" style="104" customWidth="1"/>
    <col min="10248" max="10248" width="5.42578125" style="104" customWidth="1"/>
    <col min="10249" max="10249" width="7.28515625" style="104" customWidth="1"/>
    <col min="10250" max="10250" width="6.7109375" style="104" customWidth="1"/>
    <col min="10251" max="10251" width="8.42578125" style="104" customWidth="1"/>
    <col min="10252" max="10252" width="9.28515625" style="104"/>
    <col min="10253" max="10253" width="7.7109375" style="104" customWidth="1"/>
    <col min="10254" max="10254" width="8.42578125" style="104" customWidth="1"/>
    <col min="10255" max="10255" width="8.7109375" style="104" customWidth="1"/>
    <col min="10256" max="10256" width="10.42578125" style="104" customWidth="1"/>
    <col min="10257" max="10258" width="9.28515625" style="104"/>
    <col min="10259" max="10259" width="20.5703125" style="104" customWidth="1"/>
    <col min="10260" max="10264" width="20.28515625" style="104" customWidth="1"/>
    <col min="10265" max="10497" width="9.28515625" style="104"/>
    <col min="10498" max="10498" width="3" style="104" customWidth="1"/>
    <col min="10499" max="10499" width="4.7109375" style="104" customWidth="1"/>
    <col min="10500" max="10500" width="33.7109375" style="104" customWidth="1"/>
    <col min="10501" max="10501" width="11.7109375" style="104" customWidth="1"/>
    <col min="10502" max="10502" width="6.42578125" style="104" bestFit="1" customWidth="1"/>
    <col min="10503" max="10503" width="6.28515625" style="104" customWidth="1"/>
    <col min="10504" max="10504" width="5.42578125" style="104" customWidth="1"/>
    <col min="10505" max="10505" width="7.28515625" style="104" customWidth="1"/>
    <col min="10506" max="10506" width="6.7109375" style="104" customWidth="1"/>
    <col min="10507" max="10507" width="8.42578125" style="104" customWidth="1"/>
    <col min="10508" max="10508" width="9.28515625" style="104"/>
    <col min="10509" max="10509" width="7.7109375" style="104" customWidth="1"/>
    <col min="10510" max="10510" width="8.42578125" style="104" customWidth="1"/>
    <col min="10511" max="10511" width="8.7109375" style="104" customWidth="1"/>
    <col min="10512" max="10512" width="10.42578125" style="104" customWidth="1"/>
    <col min="10513" max="10514" width="9.28515625" style="104"/>
    <col min="10515" max="10515" width="20.5703125" style="104" customWidth="1"/>
    <col min="10516" max="10520" width="20.28515625" style="104" customWidth="1"/>
    <col min="10521" max="10753" width="9.28515625" style="104"/>
    <col min="10754" max="10754" width="3" style="104" customWidth="1"/>
    <col min="10755" max="10755" width="4.7109375" style="104" customWidth="1"/>
    <col min="10756" max="10756" width="33.7109375" style="104" customWidth="1"/>
    <col min="10757" max="10757" width="11.7109375" style="104" customWidth="1"/>
    <col min="10758" max="10758" width="6.42578125" style="104" bestFit="1" customWidth="1"/>
    <col min="10759" max="10759" width="6.28515625" style="104" customWidth="1"/>
    <col min="10760" max="10760" width="5.42578125" style="104" customWidth="1"/>
    <col min="10761" max="10761" width="7.28515625" style="104" customWidth="1"/>
    <col min="10762" max="10762" width="6.7109375" style="104" customWidth="1"/>
    <col min="10763" max="10763" width="8.42578125" style="104" customWidth="1"/>
    <col min="10764" max="10764" width="9.28515625" style="104"/>
    <col min="10765" max="10765" width="7.7109375" style="104" customWidth="1"/>
    <col min="10766" max="10766" width="8.42578125" style="104" customWidth="1"/>
    <col min="10767" max="10767" width="8.7109375" style="104" customWidth="1"/>
    <col min="10768" max="10768" width="10.42578125" style="104" customWidth="1"/>
    <col min="10769" max="10770" width="9.28515625" style="104"/>
    <col min="10771" max="10771" width="20.5703125" style="104" customWidth="1"/>
    <col min="10772" max="10776" width="20.28515625" style="104" customWidth="1"/>
    <col min="10777" max="11009" width="9.28515625" style="104"/>
    <col min="11010" max="11010" width="3" style="104" customWidth="1"/>
    <col min="11011" max="11011" width="4.7109375" style="104" customWidth="1"/>
    <col min="11012" max="11012" width="33.7109375" style="104" customWidth="1"/>
    <col min="11013" max="11013" width="11.7109375" style="104" customWidth="1"/>
    <col min="11014" max="11014" width="6.42578125" style="104" bestFit="1" customWidth="1"/>
    <col min="11015" max="11015" width="6.28515625" style="104" customWidth="1"/>
    <col min="11016" max="11016" width="5.42578125" style="104" customWidth="1"/>
    <col min="11017" max="11017" width="7.28515625" style="104" customWidth="1"/>
    <col min="11018" max="11018" width="6.7109375" style="104" customWidth="1"/>
    <col min="11019" max="11019" width="8.42578125" style="104" customWidth="1"/>
    <col min="11020" max="11020" width="9.28515625" style="104"/>
    <col min="11021" max="11021" width="7.7109375" style="104" customWidth="1"/>
    <col min="11022" max="11022" width="8.42578125" style="104" customWidth="1"/>
    <col min="11023" max="11023" width="8.7109375" style="104" customWidth="1"/>
    <col min="11024" max="11024" width="10.42578125" style="104" customWidth="1"/>
    <col min="11025" max="11026" width="9.28515625" style="104"/>
    <col min="11027" max="11027" width="20.5703125" style="104" customWidth="1"/>
    <col min="11028" max="11032" width="20.28515625" style="104" customWidth="1"/>
    <col min="11033" max="11265" width="9.28515625" style="104"/>
    <col min="11266" max="11266" width="3" style="104" customWidth="1"/>
    <col min="11267" max="11267" width="4.7109375" style="104" customWidth="1"/>
    <col min="11268" max="11268" width="33.7109375" style="104" customWidth="1"/>
    <col min="11269" max="11269" width="11.7109375" style="104" customWidth="1"/>
    <col min="11270" max="11270" width="6.42578125" style="104" bestFit="1" customWidth="1"/>
    <col min="11271" max="11271" width="6.28515625" style="104" customWidth="1"/>
    <col min="11272" max="11272" width="5.42578125" style="104" customWidth="1"/>
    <col min="11273" max="11273" width="7.28515625" style="104" customWidth="1"/>
    <col min="11274" max="11274" width="6.7109375" style="104" customWidth="1"/>
    <col min="11275" max="11275" width="8.42578125" style="104" customWidth="1"/>
    <col min="11276" max="11276" width="9.28515625" style="104"/>
    <col min="11277" max="11277" width="7.7109375" style="104" customWidth="1"/>
    <col min="11278" max="11278" width="8.42578125" style="104" customWidth="1"/>
    <col min="11279" max="11279" width="8.7109375" style="104" customWidth="1"/>
    <col min="11280" max="11280" width="10.42578125" style="104" customWidth="1"/>
    <col min="11281" max="11282" width="9.28515625" style="104"/>
    <col min="11283" max="11283" width="20.5703125" style="104" customWidth="1"/>
    <col min="11284" max="11288" width="20.28515625" style="104" customWidth="1"/>
    <col min="11289" max="11521" width="9.28515625" style="104"/>
    <col min="11522" max="11522" width="3" style="104" customWidth="1"/>
    <col min="11523" max="11523" width="4.7109375" style="104" customWidth="1"/>
    <col min="11524" max="11524" width="33.7109375" style="104" customWidth="1"/>
    <col min="11525" max="11525" width="11.7109375" style="104" customWidth="1"/>
    <col min="11526" max="11526" width="6.42578125" style="104" bestFit="1" customWidth="1"/>
    <col min="11527" max="11527" width="6.28515625" style="104" customWidth="1"/>
    <col min="11528" max="11528" width="5.42578125" style="104" customWidth="1"/>
    <col min="11529" max="11529" width="7.28515625" style="104" customWidth="1"/>
    <col min="11530" max="11530" width="6.7109375" style="104" customWidth="1"/>
    <col min="11531" max="11531" width="8.42578125" style="104" customWidth="1"/>
    <col min="11532" max="11532" width="9.28515625" style="104"/>
    <col min="11533" max="11533" width="7.7109375" style="104" customWidth="1"/>
    <col min="11534" max="11534" width="8.42578125" style="104" customWidth="1"/>
    <col min="11535" max="11535" width="8.7109375" style="104" customWidth="1"/>
    <col min="11536" max="11536" width="10.42578125" style="104" customWidth="1"/>
    <col min="11537" max="11538" width="9.28515625" style="104"/>
    <col min="11539" max="11539" width="20.5703125" style="104" customWidth="1"/>
    <col min="11540" max="11544" width="20.28515625" style="104" customWidth="1"/>
    <col min="11545" max="11777" width="9.28515625" style="104"/>
    <col min="11778" max="11778" width="3" style="104" customWidth="1"/>
    <col min="11779" max="11779" width="4.7109375" style="104" customWidth="1"/>
    <col min="11780" max="11780" width="33.7109375" style="104" customWidth="1"/>
    <col min="11781" max="11781" width="11.7109375" style="104" customWidth="1"/>
    <col min="11782" max="11782" width="6.42578125" style="104" bestFit="1" customWidth="1"/>
    <col min="11783" max="11783" width="6.28515625" style="104" customWidth="1"/>
    <col min="11784" max="11784" width="5.42578125" style="104" customWidth="1"/>
    <col min="11785" max="11785" width="7.28515625" style="104" customWidth="1"/>
    <col min="11786" max="11786" width="6.7109375" style="104" customWidth="1"/>
    <col min="11787" max="11787" width="8.42578125" style="104" customWidth="1"/>
    <col min="11788" max="11788" width="9.28515625" style="104"/>
    <col min="11789" max="11789" width="7.7109375" style="104" customWidth="1"/>
    <col min="11790" max="11790" width="8.42578125" style="104" customWidth="1"/>
    <col min="11791" max="11791" width="8.7109375" style="104" customWidth="1"/>
    <col min="11792" max="11792" width="10.42578125" style="104" customWidth="1"/>
    <col min="11793" max="11794" width="9.28515625" style="104"/>
    <col min="11795" max="11795" width="20.5703125" style="104" customWidth="1"/>
    <col min="11796" max="11800" width="20.28515625" style="104" customWidth="1"/>
    <col min="11801" max="12033" width="9.28515625" style="104"/>
    <col min="12034" max="12034" width="3" style="104" customWidth="1"/>
    <col min="12035" max="12035" width="4.7109375" style="104" customWidth="1"/>
    <col min="12036" max="12036" width="33.7109375" style="104" customWidth="1"/>
    <col min="12037" max="12037" width="11.7109375" style="104" customWidth="1"/>
    <col min="12038" max="12038" width="6.42578125" style="104" bestFit="1" customWidth="1"/>
    <col min="12039" max="12039" width="6.28515625" style="104" customWidth="1"/>
    <col min="12040" max="12040" width="5.42578125" style="104" customWidth="1"/>
    <col min="12041" max="12041" width="7.28515625" style="104" customWidth="1"/>
    <col min="12042" max="12042" width="6.7109375" style="104" customWidth="1"/>
    <col min="12043" max="12043" width="8.42578125" style="104" customWidth="1"/>
    <col min="12044" max="12044" width="9.28515625" style="104"/>
    <col min="12045" max="12045" width="7.7109375" style="104" customWidth="1"/>
    <col min="12046" max="12046" width="8.42578125" style="104" customWidth="1"/>
    <col min="12047" max="12047" width="8.7109375" style="104" customWidth="1"/>
    <col min="12048" max="12048" width="10.42578125" style="104" customWidth="1"/>
    <col min="12049" max="12050" width="9.28515625" style="104"/>
    <col min="12051" max="12051" width="20.5703125" style="104" customWidth="1"/>
    <col min="12052" max="12056" width="20.28515625" style="104" customWidth="1"/>
    <col min="12057" max="12289" width="9.28515625" style="104"/>
    <col min="12290" max="12290" width="3" style="104" customWidth="1"/>
    <col min="12291" max="12291" width="4.7109375" style="104" customWidth="1"/>
    <col min="12292" max="12292" width="33.7109375" style="104" customWidth="1"/>
    <col min="12293" max="12293" width="11.7109375" style="104" customWidth="1"/>
    <col min="12294" max="12294" width="6.42578125" style="104" bestFit="1" customWidth="1"/>
    <col min="12295" max="12295" width="6.28515625" style="104" customWidth="1"/>
    <col min="12296" max="12296" width="5.42578125" style="104" customWidth="1"/>
    <col min="12297" max="12297" width="7.28515625" style="104" customWidth="1"/>
    <col min="12298" max="12298" width="6.7109375" style="104" customWidth="1"/>
    <col min="12299" max="12299" width="8.42578125" style="104" customWidth="1"/>
    <col min="12300" max="12300" width="9.28515625" style="104"/>
    <col min="12301" max="12301" width="7.7109375" style="104" customWidth="1"/>
    <col min="12302" max="12302" width="8.42578125" style="104" customWidth="1"/>
    <col min="12303" max="12303" width="8.7109375" style="104" customWidth="1"/>
    <col min="12304" max="12304" width="10.42578125" style="104" customWidth="1"/>
    <col min="12305" max="12306" width="9.28515625" style="104"/>
    <col min="12307" max="12307" width="20.5703125" style="104" customWidth="1"/>
    <col min="12308" max="12312" width="20.28515625" style="104" customWidth="1"/>
    <col min="12313" max="12545" width="9.28515625" style="104"/>
    <col min="12546" max="12546" width="3" style="104" customWidth="1"/>
    <col min="12547" max="12547" width="4.7109375" style="104" customWidth="1"/>
    <col min="12548" max="12548" width="33.7109375" style="104" customWidth="1"/>
    <col min="12549" max="12549" width="11.7109375" style="104" customWidth="1"/>
    <col min="12550" max="12550" width="6.42578125" style="104" bestFit="1" customWidth="1"/>
    <col min="12551" max="12551" width="6.28515625" style="104" customWidth="1"/>
    <col min="12552" max="12552" width="5.42578125" style="104" customWidth="1"/>
    <col min="12553" max="12553" width="7.28515625" style="104" customWidth="1"/>
    <col min="12554" max="12554" width="6.7109375" style="104" customWidth="1"/>
    <col min="12555" max="12555" width="8.42578125" style="104" customWidth="1"/>
    <col min="12556" max="12556" width="9.28515625" style="104"/>
    <col min="12557" max="12557" width="7.7109375" style="104" customWidth="1"/>
    <col min="12558" max="12558" width="8.42578125" style="104" customWidth="1"/>
    <col min="12559" max="12559" width="8.7109375" style="104" customWidth="1"/>
    <col min="12560" max="12560" width="10.42578125" style="104" customWidth="1"/>
    <col min="12561" max="12562" width="9.28515625" style="104"/>
    <col min="12563" max="12563" width="20.5703125" style="104" customWidth="1"/>
    <col min="12564" max="12568" width="20.28515625" style="104" customWidth="1"/>
    <col min="12569" max="12801" width="9.28515625" style="104"/>
    <col min="12802" max="12802" width="3" style="104" customWidth="1"/>
    <col min="12803" max="12803" width="4.7109375" style="104" customWidth="1"/>
    <col min="12804" max="12804" width="33.7109375" style="104" customWidth="1"/>
    <col min="12805" max="12805" width="11.7109375" style="104" customWidth="1"/>
    <col min="12806" max="12806" width="6.42578125" style="104" bestFit="1" customWidth="1"/>
    <col min="12807" max="12807" width="6.28515625" style="104" customWidth="1"/>
    <col min="12808" max="12808" width="5.42578125" style="104" customWidth="1"/>
    <col min="12809" max="12809" width="7.28515625" style="104" customWidth="1"/>
    <col min="12810" max="12810" width="6.7109375" style="104" customWidth="1"/>
    <col min="12811" max="12811" width="8.42578125" style="104" customWidth="1"/>
    <col min="12812" max="12812" width="9.28515625" style="104"/>
    <col min="12813" max="12813" width="7.7109375" style="104" customWidth="1"/>
    <col min="12814" max="12814" width="8.42578125" style="104" customWidth="1"/>
    <col min="12815" max="12815" width="8.7109375" style="104" customWidth="1"/>
    <col min="12816" max="12816" width="10.42578125" style="104" customWidth="1"/>
    <col min="12817" max="12818" width="9.28515625" style="104"/>
    <col min="12819" max="12819" width="20.5703125" style="104" customWidth="1"/>
    <col min="12820" max="12824" width="20.28515625" style="104" customWidth="1"/>
    <col min="12825" max="13057" width="9.28515625" style="104"/>
    <col min="13058" max="13058" width="3" style="104" customWidth="1"/>
    <col min="13059" max="13059" width="4.7109375" style="104" customWidth="1"/>
    <col min="13060" max="13060" width="33.7109375" style="104" customWidth="1"/>
    <col min="13061" max="13061" width="11.7109375" style="104" customWidth="1"/>
    <col min="13062" max="13062" width="6.42578125" style="104" bestFit="1" customWidth="1"/>
    <col min="13063" max="13063" width="6.28515625" style="104" customWidth="1"/>
    <col min="13064" max="13064" width="5.42578125" style="104" customWidth="1"/>
    <col min="13065" max="13065" width="7.28515625" style="104" customWidth="1"/>
    <col min="13066" max="13066" width="6.7109375" style="104" customWidth="1"/>
    <col min="13067" max="13067" width="8.42578125" style="104" customWidth="1"/>
    <col min="13068" max="13068" width="9.28515625" style="104"/>
    <col min="13069" max="13069" width="7.7109375" style="104" customWidth="1"/>
    <col min="13070" max="13070" width="8.42578125" style="104" customWidth="1"/>
    <col min="13071" max="13071" width="8.7109375" style="104" customWidth="1"/>
    <col min="13072" max="13072" width="10.42578125" style="104" customWidth="1"/>
    <col min="13073" max="13074" width="9.28515625" style="104"/>
    <col min="13075" max="13075" width="20.5703125" style="104" customWidth="1"/>
    <col min="13076" max="13080" width="20.28515625" style="104" customWidth="1"/>
    <col min="13081" max="13313" width="9.28515625" style="104"/>
    <col min="13314" max="13314" width="3" style="104" customWidth="1"/>
    <col min="13315" max="13315" width="4.7109375" style="104" customWidth="1"/>
    <col min="13316" max="13316" width="33.7109375" style="104" customWidth="1"/>
    <col min="13317" max="13317" width="11.7109375" style="104" customWidth="1"/>
    <col min="13318" max="13318" width="6.42578125" style="104" bestFit="1" customWidth="1"/>
    <col min="13319" max="13319" width="6.28515625" style="104" customWidth="1"/>
    <col min="13320" max="13320" width="5.42578125" style="104" customWidth="1"/>
    <col min="13321" max="13321" width="7.28515625" style="104" customWidth="1"/>
    <col min="13322" max="13322" width="6.7109375" style="104" customWidth="1"/>
    <col min="13323" max="13323" width="8.42578125" style="104" customWidth="1"/>
    <col min="13324" max="13324" width="9.28515625" style="104"/>
    <col min="13325" max="13325" width="7.7109375" style="104" customWidth="1"/>
    <col min="13326" max="13326" width="8.42578125" style="104" customWidth="1"/>
    <col min="13327" max="13327" width="8.7109375" style="104" customWidth="1"/>
    <col min="13328" max="13328" width="10.42578125" style="104" customWidth="1"/>
    <col min="13329" max="13330" width="9.28515625" style="104"/>
    <col min="13331" max="13331" width="20.5703125" style="104" customWidth="1"/>
    <col min="13332" max="13336" width="20.28515625" style="104" customWidth="1"/>
    <col min="13337" max="13569" width="9.28515625" style="104"/>
    <col min="13570" max="13570" width="3" style="104" customWidth="1"/>
    <col min="13571" max="13571" width="4.7109375" style="104" customWidth="1"/>
    <col min="13572" max="13572" width="33.7109375" style="104" customWidth="1"/>
    <col min="13573" max="13573" width="11.7109375" style="104" customWidth="1"/>
    <col min="13574" max="13574" width="6.42578125" style="104" bestFit="1" customWidth="1"/>
    <col min="13575" max="13575" width="6.28515625" style="104" customWidth="1"/>
    <col min="13576" max="13576" width="5.42578125" style="104" customWidth="1"/>
    <col min="13577" max="13577" width="7.28515625" style="104" customWidth="1"/>
    <col min="13578" max="13578" width="6.7109375" style="104" customWidth="1"/>
    <col min="13579" max="13579" width="8.42578125" style="104" customWidth="1"/>
    <col min="13580" max="13580" width="9.28515625" style="104"/>
    <col min="13581" max="13581" width="7.7109375" style="104" customWidth="1"/>
    <col min="13582" max="13582" width="8.42578125" style="104" customWidth="1"/>
    <col min="13583" max="13583" width="8.7109375" style="104" customWidth="1"/>
    <col min="13584" max="13584" width="10.42578125" style="104" customWidth="1"/>
    <col min="13585" max="13586" width="9.28515625" style="104"/>
    <col min="13587" max="13587" width="20.5703125" style="104" customWidth="1"/>
    <col min="13588" max="13592" width="20.28515625" style="104" customWidth="1"/>
    <col min="13593" max="13825" width="9.28515625" style="104"/>
    <col min="13826" max="13826" width="3" style="104" customWidth="1"/>
    <col min="13827" max="13827" width="4.7109375" style="104" customWidth="1"/>
    <col min="13828" max="13828" width="33.7109375" style="104" customWidth="1"/>
    <col min="13829" max="13829" width="11.7109375" style="104" customWidth="1"/>
    <col min="13830" max="13830" width="6.42578125" style="104" bestFit="1" customWidth="1"/>
    <col min="13831" max="13831" width="6.28515625" style="104" customWidth="1"/>
    <col min="13832" max="13832" width="5.42578125" style="104" customWidth="1"/>
    <col min="13833" max="13833" width="7.28515625" style="104" customWidth="1"/>
    <col min="13834" max="13834" width="6.7109375" style="104" customWidth="1"/>
    <col min="13835" max="13835" width="8.42578125" style="104" customWidth="1"/>
    <col min="13836" max="13836" width="9.28515625" style="104"/>
    <col min="13837" max="13837" width="7.7109375" style="104" customWidth="1"/>
    <col min="13838" max="13838" width="8.42578125" style="104" customWidth="1"/>
    <col min="13839" max="13839" width="8.7109375" style="104" customWidth="1"/>
    <col min="13840" max="13840" width="10.42578125" style="104" customWidth="1"/>
    <col min="13841" max="13842" width="9.28515625" style="104"/>
    <col min="13843" max="13843" width="20.5703125" style="104" customWidth="1"/>
    <col min="13844" max="13848" width="20.28515625" style="104" customWidth="1"/>
    <col min="13849" max="14081" width="9.28515625" style="104"/>
    <col min="14082" max="14082" width="3" style="104" customWidth="1"/>
    <col min="14083" max="14083" width="4.7109375" style="104" customWidth="1"/>
    <col min="14084" max="14084" width="33.7109375" style="104" customWidth="1"/>
    <col min="14085" max="14085" width="11.7109375" style="104" customWidth="1"/>
    <col min="14086" max="14086" width="6.42578125" style="104" bestFit="1" customWidth="1"/>
    <col min="14087" max="14087" width="6.28515625" style="104" customWidth="1"/>
    <col min="14088" max="14088" width="5.42578125" style="104" customWidth="1"/>
    <col min="14089" max="14089" width="7.28515625" style="104" customWidth="1"/>
    <col min="14090" max="14090" width="6.7109375" style="104" customWidth="1"/>
    <col min="14091" max="14091" width="8.42578125" style="104" customWidth="1"/>
    <col min="14092" max="14092" width="9.28515625" style="104"/>
    <col min="14093" max="14093" width="7.7109375" style="104" customWidth="1"/>
    <col min="14094" max="14094" width="8.42578125" style="104" customWidth="1"/>
    <col min="14095" max="14095" width="8.7109375" style="104" customWidth="1"/>
    <col min="14096" max="14096" width="10.42578125" style="104" customWidth="1"/>
    <col min="14097" max="14098" width="9.28515625" style="104"/>
    <col min="14099" max="14099" width="20.5703125" style="104" customWidth="1"/>
    <col min="14100" max="14104" width="20.28515625" style="104" customWidth="1"/>
    <col min="14105" max="14337" width="9.28515625" style="104"/>
    <col min="14338" max="14338" width="3" style="104" customWidth="1"/>
    <col min="14339" max="14339" width="4.7109375" style="104" customWidth="1"/>
    <col min="14340" max="14340" width="33.7109375" style="104" customWidth="1"/>
    <col min="14341" max="14341" width="11.7109375" style="104" customWidth="1"/>
    <col min="14342" max="14342" width="6.42578125" style="104" bestFit="1" customWidth="1"/>
    <col min="14343" max="14343" width="6.28515625" style="104" customWidth="1"/>
    <col min="14344" max="14344" width="5.42578125" style="104" customWidth="1"/>
    <col min="14345" max="14345" width="7.28515625" style="104" customWidth="1"/>
    <col min="14346" max="14346" width="6.7109375" style="104" customWidth="1"/>
    <col min="14347" max="14347" width="8.42578125" style="104" customWidth="1"/>
    <col min="14348" max="14348" width="9.28515625" style="104"/>
    <col min="14349" max="14349" width="7.7109375" style="104" customWidth="1"/>
    <col min="14350" max="14350" width="8.42578125" style="104" customWidth="1"/>
    <col min="14351" max="14351" width="8.7109375" style="104" customWidth="1"/>
    <col min="14352" max="14352" width="10.42578125" style="104" customWidth="1"/>
    <col min="14353" max="14354" width="9.28515625" style="104"/>
    <col min="14355" max="14355" width="20.5703125" style="104" customWidth="1"/>
    <col min="14356" max="14360" width="20.28515625" style="104" customWidth="1"/>
    <col min="14361" max="14593" width="9.28515625" style="104"/>
    <col min="14594" max="14594" width="3" style="104" customWidth="1"/>
    <col min="14595" max="14595" width="4.7109375" style="104" customWidth="1"/>
    <col min="14596" max="14596" width="33.7109375" style="104" customWidth="1"/>
    <col min="14597" max="14597" width="11.7109375" style="104" customWidth="1"/>
    <col min="14598" max="14598" width="6.42578125" style="104" bestFit="1" customWidth="1"/>
    <col min="14599" max="14599" width="6.28515625" style="104" customWidth="1"/>
    <col min="14600" max="14600" width="5.42578125" style="104" customWidth="1"/>
    <col min="14601" max="14601" width="7.28515625" style="104" customWidth="1"/>
    <col min="14602" max="14602" width="6.7109375" style="104" customWidth="1"/>
    <col min="14603" max="14603" width="8.42578125" style="104" customWidth="1"/>
    <col min="14604" max="14604" width="9.28515625" style="104"/>
    <col min="14605" max="14605" width="7.7109375" style="104" customWidth="1"/>
    <col min="14606" max="14606" width="8.42578125" style="104" customWidth="1"/>
    <col min="14607" max="14607" width="8.7109375" style="104" customWidth="1"/>
    <col min="14608" max="14608" width="10.42578125" style="104" customWidth="1"/>
    <col min="14609" max="14610" width="9.28515625" style="104"/>
    <col min="14611" max="14611" width="20.5703125" style="104" customWidth="1"/>
    <col min="14612" max="14616" width="20.28515625" style="104" customWidth="1"/>
    <col min="14617" max="14849" width="9.28515625" style="104"/>
    <col min="14850" max="14850" width="3" style="104" customWidth="1"/>
    <col min="14851" max="14851" width="4.7109375" style="104" customWidth="1"/>
    <col min="14852" max="14852" width="33.7109375" style="104" customWidth="1"/>
    <col min="14853" max="14853" width="11.7109375" style="104" customWidth="1"/>
    <col min="14854" max="14854" width="6.42578125" style="104" bestFit="1" customWidth="1"/>
    <col min="14855" max="14855" width="6.28515625" style="104" customWidth="1"/>
    <col min="14856" max="14856" width="5.42578125" style="104" customWidth="1"/>
    <col min="14857" max="14857" width="7.28515625" style="104" customWidth="1"/>
    <col min="14858" max="14858" width="6.7109375" style="104" customWidth="1"/>
    <col min="14859" max="14859" width="8.42578125" style="104" customWidth="1"/>
    <col min="14860" max="14860" width="9.28515625" style="104"/>
    <col min="14861" max="14861" width="7.7109375" style="104" customWidth="1"/>
    <col min="14862" max="14862" width="8.42578125" style="104" customWidth="1"/>
    <col min="14863" max="14863" width="8.7109375" style="104" customWidth="1"/>
    <col min="14864" max="14864" width="10.42578125" style="104" customWidth="1"/>
    <col min="14865" max="14866" width="9.28515625" style="104"/>
    <col min="14867" max="14867" width="20.5703125" style="104" customWidth="1"/>
    <col min="14868" max="14872" width="20.28515625" style="104" customWidth="1"/>
    <col min="14873" max="15105" width="9.28515625" style="104"/>
    <col min="15106" max="15106" width="3" style="104" customWidth="1"/>
    <col min="15107" max="15107" width="4.7109375" style="104" customWidth="1"/>
    <col min="15108" max="15108" width="33.7109375" style="104" customWidth="1"/>
    <col min="15109" max="15109" width="11.7109375" style="104" customWidth="1"/>
    <col min="15110" max="15110" width="6.42578125" style="104" bestFit="1" customWidth="1"/>
    <col min="15111" max="15111" width="6.28515625" style="104" customWidth="1"/>
    <col min="15112" max="15112" width="5.42578125" style="104" customWidth="1"/>
    <col min="15113" max="15113" width="7.28515625" style="104" customWidth="1"/>
    <col min="15114" max="15114" width="6.7109375" style="104" customWidth="1"/>
    <col min="15115" max="15115" width="8.42578125" style="104" customWidth="1"/>
    <col min="15116" max="15116" width="9.28515625" style="104"/>
    <col min="15117" max="15117" width="7.7109375" style="104" customWidth="1"/>
    <col min="15118" max="15118" width="8.42578125" style="104" customWidth="1"/>
    <col min="15119" max="15119" width="8.7109375" style="104" customWidth="1"/>
    <col min="15120" max="15120" width="10.42578125" style="104" customWidth="1"/>
    <col min="15121" max="15122" width="9.28515625" style="104"/>
    <col min="15123" max="15123" width="20.5703125" style="104" customWidth="1"/>
    <col min="15124" max="15128" width="20.28515625" style="104" customWidth="1"/>
    <col min="15129" max="15361" width="9.28515625" style="104"/>
    <col min="15362" max="15362" width="3" style="104" customWidth="1"/>
    <col min="15363" max="15363" width="4.7109375" style="104" customWidth="1"/>
    <col min="15364" max="15364" width="33.7109375" style="104" customWidth="1"/>
    <col min="15365" max="15365" width="11.7109375" style="104" customWidth="1"/>
    <col min="15366" max="15366" width="6.42578125" style="104" bestFit="1" customWidth="1"/>
    <col min="15367" max="15367" width="6.28515625" style="104" customWidth="1"/>
    <col min="15368" max="15368" width="5.42578125" style="104" customWidth="1"/>
    <col min="15369" max="15369" width="7.28515625" style="104" customWidth="1"/>
    <col min="15370" max="15370" width="6.7109375" style="104" customWidth="1"/>
    <col min="15371" max="15371" width="8.42578125" style="104" customWidth="1"/>
    <col min="15372" max="15372" width="9.28515625" style="104"/>
    <col min="15373" max="15373" width="7.7109375" style="104" customWidth="1"/>
    <col min="15374" max="15374" width="8.42578125" style="104" customWidth="1"/>
    <col min="15375" max="15375" width="8.7109375" style="104" customWidth="1"/>
    <col min="15376" max="15376" width="10.42578125" style="104" customWidth="1"/>
    <col min="15377" max="15378" width="9.28515625" style="104"/>
    <col min="15379" max="15379" width="20.5703125" style="104" customWidth="1"/>
    <col min="15380" max="15384" width="20.28515625" style="104" customWidth="1"/>
    <col min="15385" max="15617" width="9.28515625" style="104"/>
    <col min="15618" max="15618" width="3" style="104" customWidth="1"/>
    <col min="15619" max="15619" width="4.7109375" style="104" customWidth="1"/>
    <col min="15620" max="15620" width="33.7109375" style="104" customWidth="1"/>
    <col min="15621" max="15621" width="11.7109375" style="104" customWidth="1"/>
    <col min="15622" max="15622" width="6.42578125" style="104" bestFit="1" customWidth="1"/>
    <col min="15623" max="15623" width="6.28515625" style="104" customWidth="1"/>
    <col min="15624" max="15624" width="5.42578125" style="104" customWidth="1"/>
    <col min="15625" max="15625" width="7.28515625" style="104" customWidth="1"/>
    <col min="15626" max="15626" width="6.7109375" style="104" customWidth="1"/>
    <col min="15627" max="15627" width="8.42578125" style="104" customWidth="1"/>
    <col min="15628" max="15628" width="9.28515625" style="104"/>
    <col min="15629" max="15629" width="7.7109375" style="104" customWidth="1"/>
    <col min="15630" max="15630" width="8.42578125" style="104" customWidth="1"/>
    <col min="15631" max="15631" width="8.7109375" style="104" customWidth="1"/>
    <col min="15632" max="15632" width="10.42578125" style="104" customWidth="1"/>
    <col min="15633" max="15634" width="9.28515625" style="104"/>
    <col min="15635" max="15635" width="20.5703125" style="104" customWidth="1"/>
    <col min="15636" max="15640" width="20.28515625" style="104" customWidth="1"/>
    <col min="15641" max="15873" width="9.28515625" style="104"/>
    <col min="15874" max="15874" width="3" style="104" customWidth="1"/>
    <col min="15875" max="15875" width="4.7109375" style="104" customWidth="1"/>
    <col min="15876" max="15876" width="33.7109375" style="104" customWidth="1"/>
    <col min="15877" max="15877" width="11.7109375" style="104" customWidth="1"/>
    <col min="15878" max="15878" width="6.42578125" style="104" bestFit="1" customWidth="1"/>
    <col min="15879" max="15879" width="6.28515625" style="104" customWidth="1"/>
    <col min="15880" max="15880" width="5.42578125" style="104" customWidth="1"/>
    <col min="15881" max="15881" width="7.28515625" style="104" customWidth="1"/>
    <col min="15882" max="15882" width="6.7109375" style="104" customWidth="1"/>
    <col min="15883" max="15883" width="8.42578125" style="104" customWidth="1"/>
    <col min="15884" max="15884" width="9.28515625" style="104"/>
    <col min="15885" max="15885" width="7.7109375" style="104" customWidth="1"/>
    <col min="15886" max="15886" width="8.42578125" style="104" customWidth="1"/>
    <col min="15887" max="15887" width="8.7109375" style="104" customWidth="1"/>
    <col min="15888" max="15888" width="10.42578125" style="104" customWidth="1"/>
    <col min="15889" max="15890" width="9.28515625" style="104"/>
    <col min="15891" max="15891" width="20.5703125" style="104" customWidth="1"/>
    <col min="15892" max="15896" width="20.28515625" style="104" customWidth="1"/>
    <col min="15897" max="16129" width="9.28515625" style="104"/>
    <col min="16130" max="16130" width="3" style="104" customWidth="1"/>
    <col min="16131" max="16131" width="4.7109375" style="104" customWidth="1"/>
    <col min="16132" max="16132" width="33.7109375" style="104" customWidth="1"/>
    <col min="16133" max="16133" width="11.7109375" style="104" customWidth="1"/>
    <col min="16134" max="16134" width="6.42578125" style="104" bestFit="1" customWidth="1"/>
    <col min="16135" max="16135" width="6.28515625" style="104" customWidth="1"/>
    <col min="16136" max="16136" width="5.42578125" style="104" customWidth="1"/>
    <col min="16137" max="16137" width="7.28515625" style="104" customWidth="1"/>
    <col min="16138" max="16138" width="6.7109375" style="104" customWidth="1"/>
    <col min="16139" max="16139" width="8.42578125" style="104" customWidth="1"/>
    <col min="16140" max="16140" width="9.28515625" style="104"/>
    <col min="16141" max="16141" width="7.7109375" style="104" customWidth="1"/>
    <col min="16142" max="16142" width="8.42578125" style="104" customWidth="1"/>
    <col min="16143" max="16143" width="8.7109375" style="104" customWidth="1"/>
    <col min="16144" max="16144" width="10.42578125" style="104" customWidth="1"/>
    <col min="16145" max="16146" width="9.28515625" style="104"/>
    <col min="16147" max="16147" width="20.5703125" style="104" customWidth="1"/>
    <col min="16148" max="16152" width="20.28515625" style="104" customWidth="1"/>
    <col min="16153" max="16384" width="9.28515625" style="104"/>
  </cols>
  <sheetData>
    <row r="1" spans="1:24" s="97" customFormat="1" ht="15" customHeight="1">
      <c r="A1" s="439" t="s">
        <v>203</v>
      </c>
      <c r="B1" s="439"/>
      <c r="C1" s="439"/>
      <c r="D1" s="439"/>
      <c r="E1" s="439"/>
      <c r="F1" s="439"/>
      <c r="G1" s="439"/>
      <c r="H1" s="439"/>
      <c r="I1" s="439"/>
      <c r="J1" s="439"/>
      <c r="K1" s="439"/>
      <c r="L1" s="439"/>
      <c r="M1" s="439"/>
      <c r="N1" s="439"/>
      <c r="O1" s="439"/>
      <c r="P1" s="439"/>
    </row>
    <row r="2" spans="1:24" s="98" customFormat="1" ht="50.65" customHeight="1">
      <c r="A2" s="440" t="str">
        <f>+Cov!B25</f>
        <v>Construction of Slab culvert with Clear Span of 3.0 m</v>
      </c>
      <c r="B2" s="441"/>
      <c r="C2" s="441"/>
      <c r="D2" s="441"/>
      <c r="E2" s="441"/>
      <c r="F2" s="441"/>
      <c r="G2" s="441"/>
      <c r="H2" s="441"/>
      <c r="I2" s="441"/>
      <c r="J2" s="441"/>
      <c r="K2" s="441"/>
      <c r="L2" s="441"/>
      <c r="M2" s="441"/>
      <c r="N2" s="441"/>
      <c r="O2" s="441"/>
      <c r="P2" s="442"/>
      <c r="R2" s="98" t="s">
        <v>640</v>
      </c>
      <c r="S2" s="98" t="s">
        <v>0</v>
      </c>
    </row>
    <row r="3" spans="1:24" s="98" customFormat="1" ht="16.5" customHeight="1">
      <c r="A3" s="443" t="s">
        <v>314</v>
      </c>
      <c r="B3" s="443"/>
      <c r="C3" s="443"/>
      <c r="D3" s="443"/>
      <c r="E3" s="443"/>
      <c r="F3" s="443"/>
      <c r="G3" s="443"/>
      <c r="H3" s="443"/>
      <c r="I3" s="443"/>
      <c r="J3" s="443"/>
      <c r="K3" s="443"/>
      <c r="L3" s="443"/>
      <c r="M3" s="443"/>
      <c r="N3" s="443"/>
      <c r="O3" s="443"/>
      <c r="P3" s="443"/>
    </row>
    <row r="4" spans="1:24" s="100" customFormat="1" ht="12.75" customHeight="1">
      <c r="A4" s="444" t="s">
        <v>204</v>
      </c>
      <c r="B4" s="444"/>
      <c r="C4" s="444" t="s">
        <v>205</v>
      </c>
      <c r="D4" s="444" t="s">
        <v>206</v>
      </c>
      <c r="E4" s="444" t="s">
        <v>5</v>
      </c>
      <c r="F4" s="444" t="s">
        <v>207</v>
      </c>
      <c r="G4" s="99"/>
      <c r="H4" s="444" t="s">
        <v>208</v>
      </c>
      <c r="I4" s="444"/>
      <c r="J4" s="444"/>
      <c r="K4" s="444"/>
      <c r="L4" s="444"/>
      <c r="M4" s="444"/>
      <c r="N4" s="128"/>
    </row>
    <row r="5" spans="1:24" ht="117" customHeight="1">
      <c r="A5" s="445"/>
      <c r="B5" s="445"/>
      <c r="C5" s="445"/>
      <c r="D5" s="445"/>
      <c r="E5" s="445"/>
      <c r="F5" s="445"/>
      <c r="G5" s="101" t="s">
        <v>209</v>
      </c>
      <c r="H5" s="101" t="s">
        <v>210</v>
      </c>
      <c r="I5" s="101" t="s">
        <v>211</v>
      </c>
      <c r="J5" s="101" t="s">
        <v>7</v>
      </c>
      <c r="K5" s="101" t="s">
        <v>212</v>
      </c>
      <c r="L5" s="101" t="s">
        <v>7</v>
      </c>
      <c r="M5" s="101" t="s">
        <v>213</v>
      </c>
      <c r="N5" s="359" t="s">
        <v>641</v>
      </c>
      <c r="O5" s="101" t="s">
        <v>214</v>
      </c>
      <c r="P5" s="102" t="s">
        <v>215</v>
      </c>
      <c r="Q5" s="103"/>
      <c r="S5" s="105"/>
    </row>
    <row r="6" spans="1:24" ht="40.9" customHeight="1">
      <c r="A6" s="106" t="s">
        <v>216</v>
      </c>
      <c r="B6" s="107">
        <v>1</v>
      </c>
      <c r="C6" s="108" t="s">
        <v>217</v>
      </c>
      <c r="D6" s="101" t="s">
        <v>36</v>
      </c>
      <c r="E6" s="107" t="s">
        <v>4</v>
      </c>
      <c r="F6" s="109"/>
      <c r="G6" s="110">
        <v>55</v>
      </c>
      <c r="H6" s="111">
        <v>95.7</v>
      </c>
      <c r="I6" s="111">
        <v>14.4</v>
      </c>
      <c r="J6" s="112">
        <f>IF(G7-5&gt;0,IF(G7-5&gt;=25,25*I7,(G7-5)*I7),0)</f>
        <v>372.5</v>
      </c>
      <c r="K6" s="111">
        <v>12</v>
      </c>
      <c r="L6" s="112">
        <f>IF(G7-30&gt;0,(G7-30)*K7,0)</f>
        <v>210.8</v>
      </c>
      <c r="M6" s="111">
        <f>H7+J7+L7</f>
        <v>682.7</v>
      </c>
      <c r="N6" s="111">
        <f>+M7*113.715%</f>
        <v>776.33230500000013</v>
      </c>
      <c r="O6" s="111">
        <f>ROUND(F7+M7,2)</f>
        <v>682.7</v>
      </c>
      <c r="P6" s="251">
        <f>O7-34.7</f>
        <v>648</v>
      </c>
    </row>
    <row r="7" spans="1:24" ht="39" customHeight="1">
      <c r="A7" s="433"/>
      <c r="B7" s="107">
        <v>2</v>
      </c>
      <c r="C7" s="108" t="s">
        <v>218</v>
      </c>
      <c r="D7" s="101" t="s">
        <v>219</v>
      </c>
      <c r="E7" s="107" t="s">
        <v>4</v>
      </c>
      <c r="F7" s="109"/>
      <c r="G7" s="110">
        <v>47</v>
      </c>
      <c r="H7" s="111">
        <v>99.4</v>
      </c>
      <c r="I7" s="111">
        <v>14.9</v>
      </c>
      <c r="J7" s="112">
        <f>IF(G7-5&gt;0,IF(G7-5&gt;=25,25*I7,(G7-5)*I7),0)</f>
        <v>372.5</v>
      </c>
      <c r="K7" s="111">
        <v>12.4</v>
      </c>
      <c r="L7" s="112">
        <f>IF(G7-30&gt;0,(G7-30)*K7,0)</f>
        <v>210.8</v>
      </c>
      <c r="M7" s="111">
        <f>H7+J7+L7</f>
        <v>682.7</v>
      </c>
      <c r="N7" s="111">
        <f>+M7*113.715%</f>
        <v>776.33230500000013</v>
      </c>
      <c r="O7" s="111">
        <f>ROUND(M7,2)</f>
        <v>682.7</v>
      </c>
      <c r="P7" s="113">
        <f>O7-37</f>
        <v>645.70000000000005</v>
      </c>
      <c r="S7" s="104">
        <f>+H8+(25*I8)+((G8-30)*K8)</f>
        <v>571.1</v>
      </c>
    </row>
    <row r="8" spans="1:24" ht="40.5">
      <c r="A8" s="433"/>
      <c r="B8" s="107">
        <v>3</v>
      </c>
      <c r="C8" s="108" t="s">
        <v>220</v>
      </c>
      <c r="D8" s="101" t="s">
        <v>221</v>
      </c>
      <c r="E8" s="107" t="s">
        <v>4</v>
      </c>
      <c r="F8" s="109"/>
      <c r="G8" s="110">
        <v>38</v>
      </c>
      <c r="H8" s="111">
        <f>+H7</f>
        <v>99.4</v>
      </c>
      <c r="I8" s="111">
        <f>+I7</f>
        <v>14.9</v>
      </c>
      <c r="J8" s="112">
        <f>IF(G8-5&gt;0,IF(G8-5&gt;=25,25*I8,(G8-5)*I8),0)</f>
        <v>372.5</v>
      </c>
      <c r="K8" s="111">
        <f>+K7</f>
        <v>12.4</v>
      </c>
      <c r="L8" s="112">
        <f>IF(G8-30&gt;0,(G8-30)*K8,0)</f>
        <v>99.2</v>
      </c>
      <c r="M8" s="111">
        <f>H8+J8+L8</f>
        <v>571.1</v>
      </c>
      <c r="N8" s="111">
        <f>+M8*113.715%</f>
        <v>649.42636500000003</v>
      </c>
      <c r="O8" s="111">
        <f>ROUND(M8,2)</f>
        <v>571.1</v>
      </c>
      <c r="P8" s="113">
        <f>O8-37</f>
        <v>534.1</v>
      </c>
      <c r="S8" s="114">
        <f>+H7+(25*11.3)+(45*9.4)</f>
        <v>804.9</v>
      </c>
    </row>
    <row r="9" spans="1:24" ht="17.25" hidden="1" customHeight="1">
      <c r="A9" s="115"/>
      <c r="B9" s="107">
        <v>4</v>
      </c>
      <c r="C9" s="108" t="s">
        <v>201</v>
      </c>
      <c r="D9" s="101" t="s">
        <v>59</v>
      </c>
      <c r="E9" s="107" t="s">
        <v>13</v>
      </c>
      <c r="F9" s="116"/>
      <c r="G9" s="117"/>
      <c r="H9" s="118"/>
      <c r="I9" s="119"/>
      <c r="J9" s="118"/>
      <c r="K9" s="119"/>
      <c r="L9" s="118"/>
      <c r="M9" s="119"/>
      <c r="N9" s="119"/>
      <c r="O9" s="119"/>
      <c r="P9" s="120"/>
      <c r="Q9" s="121"/>
      <c r="R9" s="122"/>
      <c r="S9" s="123"/>
      <c r="T9" s="123"/>
      <c r="U9" s="123"/>
      <c r="V9" s="123"/>
      <c r="W9" s="123"/>
      <c r="X9" s="123"/>
    </row>
    <row r="10" spans="1:24" ht="17.25" hidden="1" customHeight="1">
      <c r="A10" s="115"/>
      <c r="B10" s="107">
        <v>5</v>
      </c>
      <c r="C10" s="124" t="s">
        <v>222</v>
      </c>
      <c r="D10" s="101" t="s">
        <v>59</v>
      </c>
      <c r="E10" s="107" t="s">
        <v>13</v>
      </c>
      <c r="F10" s="116"/>
      <c r="G10" s="117"/>
      <c r="H10" s="118"/>
      <c r="I10" s="119"/>
      <c r="J10" s="118"/>
      <c r="K10" s="119"/>
      <c r="L10" s="118"/>
      <c r="M10" s="119"/>
      <c r="N10" s="119"/>
      <c r="O10" s="119"/>
      <c r="P10" s="120"/>
      <c r="Q10" s="121"/>
      <c r="R10" s="122"/>
      <c r="S10" s="123"/>
      <c r="T10" s="123"/>
      <c r="U10" s="123"/>
      <c r="V10" s="123"/>
      <c r="W10" s="123"/>
      <c r="X10" s="123"/>
    </row>
    <row r="11" spans="1:24" ht="14.25">
      <c r="A11" s="125"/>
      <c r="B11" s="126"/>
      <c r="C11" s="127"/>
      <c r="D11" s="128"/>
      <c r="E11" s="126"/>
      <c r="F11" s="129"/>
      <c r="G11" s="130"/>
      <c r="H11" s="131"/>
      <c r="I11" s="132"/>
      <c r="J11" s="131"/>
      <c r="K11" s="132"/>
      <c r="L11" s="131"/>
      <c r="M11" s="132"/>
      <c r="N11" s="132"/>
      <c r="O11" s="133"/>
      <c r="Q11" s="121"/>
      <c r="R11" s="122" t="s">
        <v>223</v>
      </c>
      <c r="S11" s="122" t="s">
        <v>224</v>
      </c>
      <c r="T11" s="123"/>
      <c r="U11" s="123"/>
      <c r="V11" s="123"/>
      <c r="W11" s="123"/>
      <c r="X11" s="123"/>
    </row>
    <row r="12" spans="1:24" ht="15.75">
      <c r="A12" s="125"/>
      <c r="B12" s="134">
        <v>1</v>
      </c>
      <c r="C12" s="434" t="s">
        <v>225</v>
      </c>
      <c r="D12" s="434"/>
      <c r="E12" s="434"/>
      <c r="F12" s="434"/>
      <c r="G12" s="434"/>
      <c r="H12" s="434"/>
      <c r="I12" s="434"/>
      <c r="J12" s="434"/>
      <c r="K12" s="132"/>
      <c r="L12" s="131"/>
      <c r="M12" s="132"/>
      <c r="N12" s="132"/>
      <c r="O12" s="133"/>
      <c r="Q12" s="121"/>
      <c r="R12" s="122"/>
      <c r="S12" s="122"/>
      <c r="T12" s="123"/>
      <c r="U12" s="123"/>
      <c r="V12" s="123"/>
      <c r="W12" s="123"/>
      <c r="X12" s="123"/>
    </row>
    <row r="13" spans="1:24" ht="15.75">
      <c r="A13" s="125"/>
      <c r="B13" s="134">
        <v>2</v>
      </c>
      <c r="C13" s="434" t="s">
        <v>226</v>
      </c>
      <c r="D13" s="434"/>
      <c r="E13" s="434"/>
      <c r="F13" s="434"/>
      <c r="G13" s="434"/>
      <c r="H13" s="434"/>
      <c r="I13" s="434"/>
      <c r="J13" s="136"/>
      <c r="K13" s="132"/>
      <c r="L13" s="131"/>
      <c r="M13" s="132"/>
      <c r="N13" s="132"/>
      <c r="O13" s="133"/>
      <c r="Q13" s="121"/>
      <c r="R13" s="122"/>
      <c r="S13" s="122" t="s">
        <v>227</v>
      </c>
      <c r="T13" s="123"/>
      <c r="U13" s="123"/>
      <c r="V13" s="123"/>
      <c r="W13" s="123"/>
      <c r="X13" s="123"/>
    </row>
    <row r="14" spans="1:24" ht="15.75">
      <c r="A14" s="125"/>
      <c r="B14" s="134"/>
      <c r="C14" s="135"/>
      <c r="D14" s="135"/>
      <c r="E14" s="135"/>
      <c r="F14" s="135"/>
      <c r="G14" s="135"/>
      <c r="H14" s="135"/>
      <c r="I14" s="135"/>
      <c r="J14" s="136"/>
      <c r="K14" s="132"/>
      <c r="L14" s="131"/>
      <c r="M14" s="132"/>
      <c r="N14" s="132"/>
      <c r="O14" s="133"/>
      <c r="Q14" s="121"/>
      <c r="R14" s="122"/>
      <c r="S14" s="122"/>
      <c r="T14" s="123"/>
      <c r="U14" s="123"/>
      <c r="V14" s="123"/>
      <c r="W14" s="123"/>
      <c r="X14" s="123"/>
    </row>
    <row r="15" spans="1:24" ht="15.75">
      <c r="A15" s="125"/>
      <c r="B15" s="134"/>
      <c r="C15" s="135"/>
      <c r="D15" s="135"/>
      <c r="E15" s="135"/>
      <c r="F15" s="135"/>
      <c r="G15" s="135"/>
      <c r="H15" s="135"/>
      <c r="I15" s="135"/>
      <c r="J15" s="136"/>
      <c r="K15" s="132"/>
      <c r="L15" s="131"/>
      <c r="M15" s="132"/>
      <c r="N15" s="132"/>
      <c r="O15" s="133"/>
      <c r="Q15" s="121"/>
      <c r="R15" s="122"/>
      <c r="S15" s="122"/>
      <c r="T15" s="123"/>
      <c r="U15" s="123"/>
      <c r="V15" s="123"/>
      <c r="W15" s="123"/>
      <c r="X15" s="123"/>
    </row>
    <row r="16" spans="1:24" ht="15.75">
      <c r="A16" s="125"/>
      <c r="B16" s="134"/>
      <c r="C16" s="135"/>
      <c r="D16" s="135"/>
      <c r="E16" s="135"/>
      <c r="F16" s="135"/>
      <c r="G16" s="135"/>
      <c r="H16" s="135"/>
      <c r="I16" s="135"/>
      <c r="J16" s="136"/>
      <c r="K16" s="132"/>
      <c r="L16" s="131"/>
      <c r="M16" s="132"/>
      <c r="N16" s="132"/>
      <c r="O16" s="133"/>
      <c r="Q16" s="121"/>
      <c r="R16" s="122"/>
      <c r="S16" s="122"/>
      <c r="T16" s="123"/>
      <c r="U16" s="123"/>
      <c r="V16" s="123"/>
      <c r="W16" s="123"/>
      <c r="X16" s="123"/>
    </row>
    <row r="17" spans="1:25" ht="15.75">
      <c r="A17" s="125"/>
      <c r="B17" s="134"/>
      <c r="C17" s="135"/>
      <c r="D17" s="135"/>
      <c r="E17" s="135"/>
      <c r="F17" s="135"/>
      <c r="G17" s="135"/>
      <c r="H17" s="135"/>
      <c r="I17" s="135"/>
      <c r="J17" s="136"/>
      <c r="K17" s="132"/>
      <c r="L17" s="131"/>
      <c r="M17" s="132"/>
      <c r="N17" s="132"/>
      <c r="O17" s="133"/>
      <c r="Q17" s="121"/>
      <c r="R17" s="122"/>
      <c r="S17" s="122"/>
      <c r="T17" s="123"/>
      <c r="U17" s="123"/>
      <c r="V17" s="123"/>
      <c r="W17" s="123"/>
      <c r="X17" s="123"/>
    </row>
    <row r="18" spans="1:25" ht="15.75">
      <c r="A18" s="125"/>
      <c r="B18" s="134"/>
      <c r="C18" s="434"/>
      <c r="D18" s="434"/>
      <c r="E18" s="434"/>
      <c r="F18" s="434"/>
      <c r="G18" s="434"/>
      <c r="H18" s="434"/>
      <c r="I18" s="434"/>
      <c r="J18" s="137"/>
      <c r="K18" s="132"/>
      <c r="L18" s="131"/>
      <c r="M18" s="132"/>
      <c r="N18" s="132"/>
      <c r="O18" s="133"/>
      <c r="Q18" s="121"/>
      <c r="R18" s="122"/>
      <c r="S18" s="123"/>
      <c r="T18" s="123"/>
      <c r="U18" s="123"/>
      <c r="V18" s="123"/>
      <c r="W18" s="123"/>
      <c r="X18" s="123"/>
    </row>
    <row r="19" spans="1:25" ht="22.15" customHeight="1">
      <c r="A19" s="435"/>
      <c r="B19" s="435"/>
      <c r="C19" s="435"/>
      <c r="D19" s="435"/>
      <c r="E19" s="435"/>
      <c r="F19" s="435"/>
      <c r="G19" s="435"/>
      <c r="H19" s="435"/>
      <c r="I19" s="435"/>
      <c r="J19" s="435"/>
      <c r="K19" s="435"/>
      <c r="L19" s="435"/>
      <c r="M19" s="435"/>
      <c r="N19" s="435"/>
      <c r="O19" s="435"/>
      <c r="P19" s="435"/>
      <c r="Q19" s="121"/>
      <c r="R19" s="138" t="s">
        <v>228</v>
      </c>
      <c r="S19" s="138" t="s">
        <v>229</v>
      </c>
      <c r="T19" s="139" t="s">
        <v>230</v>
      </c>
      <c r="U19" s="139" t="s">
        <v>231</v>
      </c>
      <c r="V19" s="139" t="s">
        <v>232</v>
      </c>
      <c r="W19" s="139" t="s">
        <v>233</v>
      </c>
      <c r="X19" s="139" t="s">
        <v>234</v>
      </c>
      <c r="Y19" s="139" t="s">
        <v>235</v>
      </c>
    </row>
    <row r="20" spans="1:25" ht="15.4" customHeight="1">
      <c r="A20" s="435"/>
      <c r="B20" s="435"/>
      <c r="C20" s="435"/>
      <c r="D20" s="435"/>
      <c r="E20" s="435"/>
      <c r="F20" s="435"/>
      <c r="G20" s="435"/>
      <c r="H20" s="435"/>
      <c r="I20" s="435"/>
      <c r="J20" s="435"/>
      <c r="K20" s="435"/>
      <c r="L20" s="435"/>
      <c r="M20" s="435"/>
      <c r="N20" s="435"/>
      <c r="O20" s="435"/>
      <c r="P20" s="435"/>
      <c r="Q20" s="140"/>
      <c r="R20" s="141">
        <v>1</v>
      </c>
      <c r="S20" s="141">
        <v>2</v>
      </c>
      <c r="T20" s="141">
        <v>3</v>
      </c>
      <c r="U20" s="141">
        <v>4</v>
      </c>
      <c r="V20" s="141">
        <v>5</v>
      </c>
      <c r="W20" s="141">
        <v>7</v>
      </c>
      <c r="X20" s="141">
        <v>7</v>
      </c>
      <c r="Y20" s="141"/>
    </row>
    <row r="21" spans="1:25" ht="13.9" customHeight="1">
      <c r="A21" s="435"/>
      <c r="B21" s="435"/>
      <c r="C21" s="435"/>
      <c r="D21" s="435"/>
      <c r="E21" s="435"/>
      <c r="F21" s="435"/>
      <c r="G21" s="435"/>
      <c r="H21" s="435"/>
      <c r="I21" s="435"/>
      <c r="J21" s="435"/>
      <c r="K21" s="435"/>
      <c r="L21" s="435"/>
      <c r="M21" s="435"/>
      <c r="N21" s="435"/>
      <c r="O21" s="435"/>
      <c r="P21" s="435"/>
      <c r="Q21" s="140"/>
      <c r="R21" s="141"/>
      <c r="S21" s="141"/>
      <c r="T21" s="141"/>
      <c r="U21" s="141"/>
      <c r="V21" s="141"/>
      <c r="W21" s="141"/>
      <c r="X21" s="141"/>
      <c r="Y21" s="141"/>
    </row>
    <row r="22" spans="1:25" ht="14.25">
      <c r="D22" s="142"/>
      <c r="Q22" s="121"/>
      <c r="R22" s="143">
        <v>1</v>
      </c>
      <c r="S22" s="143" t="s">
        <v>236</v>
      </c>
      <c r="T22" s="144">
        <v>30</v>
      </c>
      <c r="U22" s="144">
        <v>28.9</v>
      </c>
      <c r="V22" s="144">
        <v>18</v>
      </c>
      <c r="W22" s="144">
        <v>42.4</v>
      </c>
      <c r="X22" s="144">
        <v>17.8</v>
      </c>
      <c r="Y22" s="144">
        <v>48.1</v>
      </c>
    </row>
    <row r="23" spans="1:25" ht="14.25">
      <c r="D23" s="142"/>
      <c r="Q23" s="121"/>
      <c r="R23" s="143">
        <v>2</v>
      </c>
      <c r="S23" s="143" t="s">
        <v>237</v>
      </c>
      <c r="T23" s="145">
        <v>42</v>
      </c>
      <c r="U23" s="145">
        <v>40.4</v>
      </c>
      <c r="V23" s="145">
        <v>25.3</v>
      </c>
      <c r="W23" s="145">
        <v>59.4</v>
      </c>
      <c r="X23" s="144">
        <v>24.9</v>
      </c>
      <c r="Y23" s="144">
        <v>77.3</v>
      </c>
    </row>
    <row r="24" spans="1:25" ht="14.25">
      <c r="D24" s="142"/>
      <c r="Q24" s="121"/>
      <c r="R24" s="143">
        <v>3</v>
      </c>
      <c r="S24" s="143" t="s">
        <v>238</v>
      </c>
      <c r="T24" s="145">
        <v>57</v>
      </c>
      <c r="U24" s="145">
        <v>57</v>
      </c>
      <c r="V24" s="145">
        <v>35</v>
      </c>
      <c r="W24" s="145">
        <v>82.4</v>
      </c>
      <c r="X24" s="144">
        <v>33.200000000000003</v>
      </c>
      <c r="Y24" s="144">
        <v>89.8</v>
      </c>
    </row>
    <row r="25" spans="1:25" ht="14.25">
      <c r="D25" s="142"/>
      <c r="Q25" s="121"/>
      <c r="R25" s="143">
        <v>4</v>
      </c>
      <c r="S25" s="143" t="s">
        <v>239</v>
      </c>
      <c r="T25" s="145">
        <v>78</v>
      </c>
      <c r="U25" s="145">
        <v>78</v>
      </c>
      <c r="V25" s="145">
        <v>42.5</v>
      </c>
      <c r="W25" s="145">
        <v>100</v>
      </c>
      <c r="X25" s="144">
        <v>40.299999999999997</v>
      </c>
      <c r="Y25" s="144">
        <v>109</v>
      </c>
    </row>
    <row r="26" spans="1:25" ht="14.25">
      <c r="D26" s="142"/>
      <c r="Q26" s="121"/>
      <c r="R26" s="143">
        <v>5</v>
      </c>
      <c r="S26" s="143" t="s">
        <v>240</v>
      </c>
      <c r="T26" s="145">
        <v>80</v>
      </c>
      <c r="U26" s="145">
        <v>80</v>
      </c>
      <c r="V26" s="145">
        <v>50</v>
      </c>
      <c r="W26" s="145">
        <v>117.7</v>
      </c>
      <c r="X26" s="144">
        <v>47.4</v>
      </c>
      <c r="Y26" s="144">
        <v>128.30000000000001</v>
      </c>
    </row>
    <row r="27" spans="1:25" ht="41.25">
      <c r="D27" s="142"/>
      <c r="Q27" s="121"/>
      <c r="R27" s="146">
        <v>7</v>
      </c>
      <c r="S27" s="147" t="s">
        <v>241</v>
      </c>
      <c r="T27" s="148">
        <v>12</v>
      </c>
      <c r="U27" s="148">
        <v>12</v>
      </c>
      <c r="V27" s="148">
        <v>7.5</v>
      </c>
      <c r="W27" s="148">
        <v>17.7</v>
      </c>
      <c r="X27" s="149">
        <v>7.1</v>
      </c>
      <c r="Y27" s="149">
        <v>19.2</v>
      </c>
    </row>
    <row r="28" spans="1:25" ht="15.6" customHeight="1">
      <c r="D28" s="142"/>
      <c r="Q28" s="121"/>
      <c r="R28" s="146"/>
      <c r="S28" s="147"/>
      <c r="T28" s="148"/>
      <c r="U28" s="148"/>
      <c r="V28" s="148"/>
      <c r="W28" s="148"/>
      <c r="X28" s="149"/>
      <c r="Y28" s="149"/>
    </row>
    <row r="29" spans="1:25" ht="36" customHeight="1">
      <c r="D29" s="142"/>
      <c r="Q29" s="121"/>
      <c r="R29" s="146">
        <v>7</v>
      </c>
      <c r="S29" s="147" t="s">
        <v>242</v>
      </c>
      <c r="T29" s="148">
        <v>10</v>
      </c>
      <c r="U29" s="148">
        <v>10</v>
      </c>
      <c r="V29" s="148">
        <v>7.3</v>
      </c>
      <c r="W29" s="148">
        <v>14.7</v>
      </c>
      <c r="X29" s="149">
        <v>5.9</v>
      </c>
      <c r="Y29" s="149">
        <v>17</v>
      </c>
    </row>
    <row r="30" spans="1:25">
      <c r="D30" s="142"/>
      <c r="R30" s="150"/>
    </row>
    <row r="31" spans="1:25">
      <c r="D31" s="142"/>
    </row>
    <row r="32" spans="1:25" ht="14.25" thickBot="1">
      <c r="D32" s="142"/>
    </row>
    <row r="33" spans="4:23" ht="16.5" thickBot="1">
      <c r="D33" s="142"/>
      <c r="R33" s="151" t="s">
        <v>16</v>
      </c>
      <c r="S33" s="427" t="s">
        <v>243</v>
      </c>
      <c r="T33" s="428"/>
      <c r="U33" s="428"/>
      <c r="V33" s="428"/>
      <c r="W33" s="429"/>
    </row>
    <row r="34" spans="4:23" ht="16.5" thickBot="1">
      <c r="D34" s="142"/>
      <c r="R34" s="153">
        <v>1</v>
      </c>
      <c r="S34" s="427">
        <v>2</v>
      </c>
      <c r="T34" s="428"/>
      <c r="U34" s="428"/>
      <c r="V34" s="428"/>
      <c r="W34" s="429"/>
    </row>
    <row r="35" spans="4:23" ht="31.5" customHeight="1" thickBot="1">
      <c r="D35" s="142"/>
      <c r="R35" s="153">
        <v>1</v>
      </c>
      <c r="S35" s="424" t="s">
        <v>244</v>
      </c>
      <c r="T35" s="425"/>
      <c r="U35" s="425"/>
      <c r="V35" s="425"/>
      <c r="W35" s="426"/>
    </row>
    <row r="36" spans="4:23" ht="40.5" customHeight="1" thickBot="1">
      <c r="D36" s="142"/>
      <c r="R36" s="154"/>
      <c r="S36" s="155" t="s">
        <v>245</v>
      </c>
      <c r="T36" s="155" t="s">
        <v>5</v>
      </c>
      <c r="U36" s="436" t="s">
        <v>246</v>
      </c>
      <c r="V36" s="437"/>
      <c r="W36" s="438"/>
    </row>
    <row r="37" spans="4:23" ht="15" customHeight="1" thickBot="1">
      <c r="D37" s="142"/>
      <c r="R37" s="154"/>
      <c r="S37" s="156"/>
      <c r="T37" s="156"/>
      <c r="U37" s="156" t="s">
        <v>247</v>
      </c>
      <c r="V37" s="156" t="s">
        <v>248</v>
      </c>
      <c r="W37" s="156" t="s">
        <v>249</v>
      </c>
    </row>
    <row r="38" spans="4:23" ht="16.5" thickBot="1">
      <c r="D38" s="142"/>
      <c r="R38" s="154"/>
      <c r="S38" s="157" t="s">
        <v>250</v>
      </c>
      <c r="T38" s="158" t="s">
        <v>251</v>
      </c>
      <c r="U38" s="159">
        <v>129</v>
      </c>
      <c r="V38" s="160"/>
      <c r="W38" s="160"/>
    </row>
    <row r="39" spans="4:23" ht="16.5" thickBot="1">
      <c r="D39" s="142"/>
      <c r="R39" s="161"/>
      <c r="S39" s="157" t="s">
        <v>252</v>
      </c>
      <c r="T39" s="158" t="s">
        <v>251</v>
      </c>
      <c r="U39" s="159">
        <v>149</v>
      </c>
      <c r="V39" s="160"/>
      <c r="W39" s="160"/>
    </row>
    <row r="40" spans="4:23" ht="16.5" thickBot="1">
      <c r="D40" s="142"/>
      <c r="R40" s="161"/>
      <c r="S40" s="157" t="s">
        <v>253</v>
      </c>
      <c r="T40" s="158" t="s">
        <v>251</v>
      </c>
      <c r="U40" s="159">
        <v>177</v>
      </c>
      <c r="V40" s="160"/>
      <c r="W40" s="160"/>
    </row>
    <row r="41" spans="4:23" ht="16.5" thickBot="1">
      <c r="D41" s="142"/>
      <c r="R41" s="161"/>
      <c r="S41" s="157" t="s">
        <v>254</v>
      </c>
      <c r="T41" s="158" t="s">
        <v>251</v>
      </c>
      <c r="U41" s="159">
        <v>209</v>
      </c>
      <c r="V41" s="160"/>
      <c r="W41" s="160"/>
    </row>
    <row r="42" spans="4:23" ht="16.5" thickBot="1">
      <c r="D42" s="142"/>
      <c r="R42" s="161"/>
      <c r="S42" s="157" t="s">
        <v>255</v>
      </c>
      <c r="T42" s="158" t="s">
        <v>251</v>
      </c>
      <c r="U42" s="159">
        <v>227</v>
      </c>
      <c r="V42" s="160"/>
      <c r="W42" s="160"/>
    </row>
    <row r="43" spans="4:23" ht="16.5" thickBot="1">
      <c r="D43" s="142"/>
      <c r="R43" s="161"/>
      <c r="S43" s="157" t="s">
        <v>256</v>
      </c>
      <c r="T43" s="158" t="s">
        <v>251</v>
      </c>
      <c r="U43" s="159">
        <v>243</v>
      </c>
      <c r="V43" s="160"/>
      <c r="W43" s="160"/>
    </row>
    <row r="44" spans="4:23" ht="16.5" thickBot="1">
      <c r="D44" s="142"/>
      <c r="R44" s="162"/>
      <c r="S44" s="157" t="s">
        <v>257</v>
      </c>
      <c r="T44" s="158" t="s">
        <v>251</v>
      </c>
      <c r="U44" s="159">
        <v>348</v>
      </c>
      <c r="V44" s="159">
        <v>791</v>
      </c>
      <c r="W44" s="159">
        <v>812</v>
      </c>
    </row>
    <row r="45" spans="4:23" ht="16.5" thickBot="1">
      <c r="D45" s="142"/>
      <c r="R45" s="161"/>
      <c r="S45" s="157" t="s">
        <v>258</v>
      </c>
      <c r="T45" s="158" t="s">
        <v>251</v>
      </c>
      <c r="U45" s="159">
        <v>433</v>
      </c>
      <c r="V45" s="159">
        <v>977</v>
      </c>
      <c r="W45" s="159">
        <v>997</v>
      </c>
    </row>
    <row r="46" spans="4:23" ht="16.5" thickBot="1">
      <c r="D46" s="142"/>
      <c r="R46" s="161"/>
      <c r="S46" s="157" t="s">
        <v>259</v>
      </c>
      <c r="T46" s="158" t="s">
        <v>251</v>
      </c>
      <c r="U46" s="159">
        <v>499</v>
      </c>
      <c r="V46" s="159">
        <v>1079</v>
      </c>
      <c r="W46" s="159">
        <v>1103</v>
      </c>
    </row>
    <row r="47" spans="4:23" ht="16.5" thickBot="1">
      <c r="D47" s="142"/>
      <c r="R47" s="161"/>
      <c r="S47" s="157" t="s">
        <v>260</v>
      </c>
      <c r="T47" s="158" t="s">
        <v>251</v>
      </c>
      <c r="U47" s="159">
        <v>711</v>
      </c>
      <c r="V47" s="159">
        <v>1235</v>
      </c>
      <c r="W47" s="159">
        <v>1247</v>
      </c>
    </row>
    <row r="48" spans="4:23" ht="16.5" thickBot="1">
      <c r="D48" s="142"/>
      <c r="R48" s="161"/>
      <c r="S48" s="157" t="s">
        <v>261</v>
      </c>
      <c r="T48" s="158" t="s">
        <v>251</v>
      </c>
      <c r="U48" s="159">
        <v>771</v>
      </c>
      <c r="V48" s="159">
        <v>1343</v>
      </c>
      <c r="W48" s="159">
        <v>1544</v>
      </c>
    </row>
    <row r="49" spans="4:23" ht="16.5" thickBot="1">
      <c r="D49" s="142"/>
      <c r="R49" s="161"/>
      <c r="S49" s="157" t="s">
        <v>262</v>
      </c>
      <c r="T49" s="158" t="s">
        <v>251</v>
      </c>
      <c r="U49" s="159">
        <v>993</v>
      </c>
      <c r="V49" s="159">
        <v>2019</v>
      </c>
      <c r="W49" s="159">
        <v>2397</v>
      </c>
    </row>
    <row r="50" spans="4:23" ht="16.5" thickBot="1">
      <c r="D50" s="142"/>
      <c r="R50" s="161"/>
      <c r="S50" s="157" t="s">
        <v>262</v>
      </c>
      <c r="T50" s="158" t="s">
        <v>251</v>
      </c>
      <c r="U50" s="159">
        <v>1272</v>
      </c>
      <c r="V50" s="159">
        <v>2512</v>
      </c>
      <c r="W50" s="159">
        <v>3217</v>
      </c>
    </row>
    <row r="51" spans="4:23" ht="16.5" thickBot="1">
      <c r="D51" s="142"/>
      <c r="R51" s="161"/>
      <c r="S51" s="157" t="s">
        <v>263</v>
      </c>
      <c r="T51" s="158" t="s">
        <v>251</v>
      </c>
      <c r="U51" s="159">
        <v>1577</v>
      </c>
      <c r="V51" s="159">
        <v>3318</v>
      </c>
      <c r="W51" s="159">
        <v>4203</v>
      </c>
    </row>
    <row r="52" spans="4:23" ht="13.5" customHeight="1" thickBot="1">
      <c r="D52" s="142"/>
      <c r="R52" s="161"/>
      <c r="S52" s="157" t="s">
        <v>264</v>
      </c>
      <c r="T52" s="158" t="s">
        <v>251</v>
      </c>
      <c r="U52" s="159">
        <v>1972</v>
      </c>
      <c r="V52" s="159">
        <v>4171</v>
      </c>
      <c r="W52" s="159">
        <v>5237</v>
      </c>
    </row>
    <row r="53" spans="4:23" ht="16.5" thickBot="1">
      <c r="D53" s="142"/>
      <c r="R53" s="161"/>
      <c r="S53" s="157" t="s">
        <v>265</v>
      </c>
      <c r="T53" s="158" t="s">
        <v>251</v>
      </c>
      <c r="U53" s="159">
        <v>2397</v>
      </c>
      <c r="V53" s="159">
        <v>5178</v>
      </c>
      <c r="W53" s="159">
        <v>7157</v>
      </c>
    </row>
    <row r="54" spans="4:23" ht="16.5" thickBot="1">
      <c r="D54" s="142"/>
      <c r="R54" s="161"/>
      <c r="S54" s="157" t="s">
        <v>266</v>
      </c>
      <c r="T54" s="158" t="s">
        <v>251</v>
      </c>
      <c r="U54" s="159">
        <v>2843</v>
      </c>
      <c r="V54" s="159">
        <v>7112</v>
      </c>
      <c r="W54" s="159">
        <v>8299</v>
      </c>
    </row>
    <row r="55" spans="4:23" ht="16.5" thickBot="1">
      <c r="D55" s="142"/>
      <c r="R55" s="161"/>
      <c r="S55" s="157" t="s">
        <v>267</v>
      </c>
      <c r="T55" s="158" t="s">
        <v>251</v>
      </c>
      <c r="U55" s="159">
        <v>3387</v>
      </c>
      <c r="V55" s="159">
        <v>7201</v>
      </c>
      <c r="W55" s="159">
        <v>9705</v>
      </c>
    </row>
    <row r="56" spans="4:23" ht="16.5" thickBot="1">
      <c r="D56" s="142"/>
      <c r="R56" s="161"/>
      <c r="S56" s="157" t="s">
        <v>268</v>
      </c>
      <c r="T56" s="158" t="s">
        <v>251</v>
      </c>
      <c r="U56" s="159">
        <v>4714</v>
      </c>
      <c r="V56" s="159">
        <v>9307</v>
      </c>
      <c r="W56" s="159">
        <v>13433</v>
      </c>
    </row>
    <row r="57" spans="4:23" ht="16.5" thickBot="1">
      <c r="D57" s="142"/>
      <c r="R57" s="161"/>
      <c r="S57" s="157" t="s">
        <v>642</v>
      </c>
      <c r="T57" s="158" t="s">
        <v>251</v>
      </c>
      <c r="U57" s="159">
        <v>5348</v>
      </c>
      <c r="V57" s="159">
        <v>12087</v>
      </c>
      <c r="W57" s="159">
        <v>17177</v>
      </c>
    </row>
    <row r="58" spans="4:23" ht="16.5" thickBot="1">
      <c r="D58" s="142"/>
      <c r="R58" s="161"/>
      <c r="S58" s="157" t="s">
        <v>269</v>
      </c>
      <c r="T58" s="158" t="s">
        <v>251</v>
      </c>
      <c r="U58" s="159">
        <v>7010</v>
      </c>
      <c r="V58" s="159">
        <v>17031</v>
      </c>
      <c r="W58" s="159">
        <v>21704</v>
      </c>
    </row>
    <row r="59" spans="4:23" ht="15.75">
      <c r="D59" s="142"/>
      <c r="R59" s="163" t="s">
        <v>270</v>
      </c>
      <c r="S59" s="164" t="s">
        <v>271</v>
      </c>
      <c r="T59" s="164" t="s">
        <v>272</v>
      </c>
      <c r="U59" s="165"/>
      <c r="V59" s="165"/>
      <c r="W59" s="165"/>
    </row>
    <row r="60" spans="4:23" ht="15.75">
      <c r="D60" s="142"/>
      <c r="R60" s="164" t="s">
        <v>273</v>
      </c>
      <c r="S60" s="165"/>
      <c r="T60" s="165"/>
      <c r="U60" s="165"/>
      <c r="V60" s="165"/>
      <c r="W60" s="165"/>
    </row>
    <row r="61" spans="4:23" ht="15.75">
      <c r="D61" s="142"/>
      <c r="R61" s="164" t="s">
        <v>274</v>
      </c>
      <c r="S61" s="165"/>
      <c r="T61" s="165"/>
      <c r="U61" s="165"/>
      <c r="V61" s="165"/>
      <c r="W61" s="165"/>
    </row>
    <row r="62" spans="4:23" ht="15.75">
      <c r="D62" s="142"/>
      <c r="R62" s="164" t="s">
        <v>643</v>
      </c>
      <c r="S62" s="165"/>
      <c r="T62" s="165"/>
      <c r="U62" s="165"/>
      <c r="V62" s="165"/>
      <c r="W62" s="165"/>
    </row>
    <row r="63" spans="4:23" ht="15.75">
      <c r="D63" s="142"/>
      <c r="R63" s="164" t="s">
        <v>275</v>
      </c>
      <c r="S63" s="164" t="s">
        <v>276</v>
      </c>
      <c r="T63" s="165"/>
      <c r="U63" s="165"/>
      <c r="V63" s="165"/>
      <c r="W63" s="165"/>
    </row>
    <row r="64" spans="4:23" ht="15.75">
      <c r="R64" s="166" t="s">
        <v>644</v>
      </c>
      <c r="S64" s="165"/>
      <c r="T64" s="165"/>
      <c r="U64" s="165"/>
      <c r="V64" s="165"/>
      <c r="W64" s="165"/>
    </row>
    <row r="65" spans="18:23">
      <c r="R65" s="165"/>
      <c r="S65" s="165"/>
      <c r="T65" s="165"/>
      <c r="U65" s="165"/>
      <c r="V65" s="165"/>
      <c r="W65" s="165"/>
    </row>
    <row r="66" spans="18:23" ht="16.5" thickBot="1">
      <c r="R66" s="167" t="s">
        <v>277</v>
      </c>
      <c r="S66" s="165"/>
      <c r="T66" s="165"/>
      <c r="U66" s="165"/>
      <c r="V66" s="165"/>
      <c r="W66" s="165"/>
    </row>
    <row r="67" spans="18:23" ht="16.5" thickBot="1">
      <c r="R67" s="151" t="s">
        <v>278</v>
      </c>
      <c r="S67" s="427" t="s">
        <v>243</v>
      </c>
      <c r="T67" s="428"/>
      <c r="U67" s="428"/>
      <c r="V67" s="428"/>
      <c r="W67" s="429"/>
    </row>
    <row r="68" spans="18:23" ht="16.5" thickBot="1">
      <c r="R68" s="153">
        <v>1</v>
      </c>
      <c r="S68" s="427">
        <v>2</v>
      </c>
      <c r="T68" s="428"/>
      <c r="U68" s="428"/>
      <c r="V68" s="428"/>
      <c r="W68" s="429"/>
    </row>
    <row r="69" spans="18:23" ht="47.25" customHeight="1" thickBot="1">
      <c r="R69" s="153">
        <v>1</v>
      </c>
      <c r="S69" s="424" t="s">
        <v>279</v>
      </c>
      <c r="T69" s="425"/>
      <c r="U69" s="425"/>
      <c r="V69" s="425"/>
      <c r="W69" s="426"/>
    </row>
    <row r="70" spans="18:23" ht="30" customHeight="1" thickBot="1">
      <c r="R70" s="168"/>
      <c r="S70" s="169" t="s">
        <v>245</v>
      </c>
      <c r="T70" s="169" t="s">
        <v>5</v>
      </c>
      <c r="U70" s="427" t="s">
        <v>246</v>
      </c>
      <c r="V70" s="428"/>
      <c r="W70" s="429"/>
    </row>
    <row r="71" spans="18:23" ht="16.5" thickBot="1">
      <c r="R71" s="168"/>
      <c r="S71" s="156"/>
      <c r="T71" s="156"/>
      <c r="U71" s="156" t="s">
        <v>247</v>
      </c>
      <c r="V71" s="156" t="s">
        <v>248</v>
      </c>
      <c r="W71" s="156" t="s">
        <v>249</v>
      </c>
    </row>
    <row r="72" spans="18:23" ht="16.5" thickBot="1">
      <c r="R72" s="168"/>
      <c r="S72" s="170" t="s">
        <v>250</v>
      </c>
      <c r="T72" s="170" t="s">
        <v>280</v>
      </c>
      <c r="U72" s="171">
        <v>39</v>
      </c>
      <c r="V72" s="160"/>
      <c r="W72" s="160"/>
    </row>
    <row r="73" spans="18:23" ht="16.5" thickBot="1">
      <c r="R73" s="168"/>
      <c r="S73" s="170" t="s">
        <v>252</v>
      </c>
      <c r="T73" s="170" t="s">
        <v>280</v>
      </c>
      <c r="U73" s="171">
        <v>40</v>
      </c>
      <c r="V73" s="160"/>
      <c r="W73" s="160"/>
    </row>
    <row r="74" spans="18:23" ht="16.5" thickBot="1">
      <c r="R74" s="168"/>
      <c r="S74" s="170" t="s">
        <v>253</v>
      </c>
      <c r="T74" s="170" t="s">
        <v>280</v>
      </c>
      <c r="U74" s="171">
        <v>42</v>
      </c>
      <c r="V74" s="160"/>
      <c r="W74" s="160"/>
    </row>
    <row r="75" spans="18:23" ht="16.5" thickBot="1">
      <c r="R75" s="168"/>
      <c r="S75" s="170" t="s">
        <v>254</v>
      </c>
      <c r="T75" s="170" t="s">
        <v>280</v>
      </c>
      <c r="U75" s="171">
        <v>57</v>
      </c>
      <c r="V75" s="160"/>
      <c r="W75" s="160"/>
    </row>
    <row r="76" spans="18:23" ht="16.5" thickBot="1">
      <c r="R76" s="168"/>
      <c r="S76" s="170" t="s">
        <v>255</v>
      </c>
      <c r="T76" s="170" t="s">
        <v>280</v>
      </c>
      <c r="U76" s="171">
        <v>70</v>
      </c>
      <c r="V76" s="160"/>
      <c r="W76" s="160"/>
    </row>
    <row r="77" spans="18:23" ht="16.5" thickBot="1">
      <c r="R77" s="168"/>
      <c r="S77" s="170" t="s">
        <v>256</v>
      </c>
      <c r="T77" s="170" t="s">
        <v>280</v>
      </c>
      <c r="U77" s="171">
        <v>77</v>
      </c>
      <c r="V77" s="160"/>
      <c r="W77" s="160"/>
    </row>
    <row r="78" spans="18:23" ht="16.5" thickBot="1">
      <c r="R78" s="168"/>
      <c r="S78" s="170" t="s">
        <v>257</v>
      </c>
      <c r="T78" s="170" t="s">
        <v>280</v>
      </c>
      <c r="U78" s="171">
        <v>87</v>
      </c>
      <c r="V78" s="171">
        <v>124</v>
      </c>
      <c r="W78" s="171">
        <v>124</v>
      </c>
    </row>
    <row r="79" spans="18:23" ht="16.5" thickBot="1">
      <c r="R79" s="168"/>
      <c r="S79" s="170" t="s">
        <v>258</v>
      </c>
      <c r="T79" s="170" t="s">
        <v>280</v>
      </c>
      <c r="U79" s="171">
        <v>107</v>
      </c>
      <c r="V79" s="171">
        <v>153</v>
      </c>
      <c r="W79" s="171">
        <v>153</v>
      </c>
    </row>
    <row r="80" spans="18:23" ht="16.5" thickBot="1">
      <c r="R80" s="168"/>
      <c r="S80" s="170" t="s">
        <v>259</v>
      </c>
      <c r="T80" s="170" t="s">
        <v>280</v>
      </c>
      <c r="U80" s="171">
        <v>118</v>
      </c>
      <c r="V80" s="171">
        <v>175</v>
      </c>
      <c r="W80" s="171">
        <v>175</v>
      </c>
    </row>
    <row r="81" spans="18:23" ht="16.5" thickBot="1">
      <c r="R81" s="168"/>
      <c r="S81" s="170" t="s">
        <v>260</v>
      </c>
      <c r="T81" s="170" t="s">
        <v>280</v>
      </c>
      <c r="U81" s="171">
        <v>185</v>
      </c>
      <c r="V81" s="171">
        <v>233</v>
      </c>
      <c r="W81" s="171">
        <v>233</v>
      </c>
    </row>
    <row r="82" spans="18:23" ht="13.5" customHeight="1" thickBot="1">
      <c r="R82" s="168"/>
      <c r="S82" s="170" t="s">
        <v>261</v>
      </c>
      <c r="T82" s="170" t="s">
        <v>280</v>
      </c>
      <c r="U82" s="171">
        <v>211</v>
      </c>
      <c r="V82" s="171">
        <v>277</v>
      </c>
      <c r="W82" s="171">
        <v>277</v>
      </c>
    </row>
    <row r="83" spans="18:23" ht="16.5" thickBot="1">
      <c r="R83" s="168"/>
      <c r="S83" s="170" t="s">
        <v>262</v>
      </c>
      <c r="T83" s="170" t="s">
        <v>280</v>
      </c>
      <c r="U83" s="171">
        <v>285</v>
      </c>
      <c r="V83" s="171">
        <v>374</v>
      </c>
      <c r="W83" s="171">
        <v>374</v>
      </c>
    </row>
    <row r="84" spans="18:23" ht="16.5" thickBot="1">
      <c r="R84" s="168"/>
      <c r="S84" s="170" t="s">
        <v>262</v>
      </c>
      <c r="T84" s="170" t="s">
        <v>280</v>
      </c>
      <c r="U84" s="171">
        <v>371</v>
      </c>
      <c r="V84" s="171">
        <v>491</v>
      </c>
      <c r="W84" s="171">
        <v>491</v>
      </c>
    </row>
    <row r="85" spans="18:23" ht="16.5" thickBot="1">
      <c r="R85" s="168"/>
      <c r="S85" s="170" t="s">
        <v>263</v>
      </c>
      <c r="T85" s="170" t="s">
        <v>280</v>
      </c>
      <c r="U85" s="171">
        <v>524</v>
      </c>
      <c r="V85" s="171">
        <v>723</v>
      </c>
      <c r="W85" s="171">
        <v>723</v>
      </c>
    </row>
    <row r="86" spans="18:23" ht="16.5" thickBot="1">
      <c r="R86" s="168"/>
      <c r="S86" s="170" t="s">
        <v>264</v>
      </c>
      <c r="T86" s="170" t="s">
        <v>280</v>
      </c>
      <c r="U86" s="171">
        <v>727</v>
      </c>
      <c r="V86" s="171">
        <v>727</v>
      </c>
      <c r="W86" s="171">
        <v>727</v>
      </c>
    </row>
    <row r="87" spans="18:23" ht="16.5" thickBot="1">
      <c r="R87" s="168"/>
      <c r="S87" s="170" t="s">
        <v>265</v>
      </c>
      <c r="T87" s="170" t="s">
        <v>280</v>
      </c>
      <c r="U87" s="171">
        <v>731</v>
      </c>
      <c r="V87" s="171">
        <v>908</v>
      </c>
      <c r="W87" s="171">
        <v>908</v>
      </c>
    </row>
    <row r="88" spans="18:23" ht="16.5" thickBot="1">
      <c r="R88" s="168"/>
      <c r="S88" s="170" t="s">
        <v>266</v>
      </c>
      <c r="T88" s="170" t="s">
        <v>280</v>
      </c>
      <c r="U88" s="171">
        <v>897</v>
      </c>
      <c r="V88" s="171">
        <v>1150</v>
      </c>
      <c r="W88" s="171">
        <v>1150</v>
      </c>
    </row>
    <row r="89" spans="18:23" ht="16.5" thickBot="1">
      <c r="R89" s="168"/>
      <c r="S89" s="170" t="s">
        <v>267</v>
      </c>
      <c r="T89" s="170" t="s">
        <v>280</v>
      </c>
      <c r="U89" s="171">
        <v>1089</v>
      </c>
      <c r="V89" s="171">
        <v>1440</v>
      </c>
      <c r="W89" s="171">
        <v>1440</v>
      </c>
    </row>
    <row r="90" spans="18:23" ht="16.5" thickBot="1">
      <c r="R90" s="168"/>
      <c r="S90" s="170" t="s">
        <v>268</v>
      </c>
      <c r="T90" s="170" t="s">
        <v>280</v>
      </c>
      <c r="U90" s="171">
        <v>1404</v>
      </c>
      <c r="V90" s="171">
        <v>1824</v>
      </c>
      <c r="W90" s="171">
        <v>1824</v>
      </c>
    </row>
    <row r="91" spans="18:23" ht="16.5" thickBot="1">
      <c r="R91" s="168"/>
      <c r="S91" s="170" t="s">
        <v>642</v>
      </c>
      <c r="T91" s="170" t="s">
        <v>280</v>
      </c>
      <c r="U91" s="171">
        <v>1792</v>
      </c>
      <c r="V91" s="171">
        <v>2339</v>
      </c>
      <c r="W91" s="171">
        <v>2339</v>
      </c>
    </row>
    <row r="92" spans="18:23" ht="16.5" thickBot="1">
      <c r="R92" s="168"/>
      <c r="S92" s="170" t="s">
        <v>269</v>
      </c>
      <c r="T92" s="170" t="s">
        <v>280</v>
      </c>
      <c r="U92" s="171">
        <v>1871</v>
      </c>
      <c r="V92" s="171">
        <v>3015</v>
      </c>
      <c r="W92" s="171">
        <v>3015</v>
      </c>
    </row>
    <row r="93" spans="18:23" ht="15.75">
      <c r="R93" s="164" t="s">
        <v>281</v>
      </c>
      <c r="S93" s="165"/>
      <c r="T93" s="165"/>
      <c r="U93" s="165"/>
      <c r="V93" s="165"/>
      <c r="W93" s="165"/>
    </row>
    <row r="94" spans="18:23" ht="15.75">
      <c r="R94" s="166" t="s">
        <v>282</v>
      </c>
      <c r="S94" s="165"/>
      <c r="T94" s="165"/>
      <c r="U94" s="165"/>
      <c r="V94" s="165"/>
      <c r="W94" s="165"/>
    </row>
    <row r="95" spans="18:23" ht="15.75">
      <c r="R95" s="164" t="s">
        <v>283</v>
      </c>
      <c r="S95" s="165"/>
      <c r="T95" s="165"/>
      <c r="U95" s="165"/>
      <c r="V95" s="165"/>
      <c r="W95" s="165"/>
    </row>
    <row r="96" spans="18:23" ht="15.75">
      <c r="R96" s="164" t="s">
        <v>643</v>
      </c>
      <c r="S96" s="165"/>
      <c r="T96" s="165"/>
      <c r="U96" s="165"/>
      <c r="V96" s="165"/>
      <c r="W96" s="165"/>
    </row>
    <row r="97" spans="18:23" ht="15.75">
      <c r="R97" s="166" t="s">
        <v>284</v>
      </c>
      <c r="S97" s="165"/>
      <c r="T97" s="165"/>
      <c r="U97" s="165"/>
      <c r="V97" s="165"/>
      <c r="W97" s="165"/>
    </row>
    <row r="98" spans="18:23" ht="15.75">
      <c r="R98" s="164" t="s">
        <v>645</v>
      </c>
      <c r="S98" s="165"/>
      <c r="T98" s="165"/>
      <c r="U98" s="165"/>
      <c r="V98" s="165"/>
    </row>
    <row r="99" spans="18:23">
      <c r="R99" s="165"/>
    </row>
    <row r="100" spans="18:23">
      <c r="R100" s="430"/>
      <c r="S100" s="431"/>
      <c r="T100" s="431"/>
      <c r="U100" s="431"/>
      <c r="V100" s="431"/>
      <c r="W100" s="431"/>
    </row>
    <row r="101" spans="18:23" ht="15">
      <c r="R101" s="172"/>
    </row>
    <row r="102" spans="18:23">
      <c r="T102" s="150"/>
    </row>
    <row r="103" spans="18:23">
      <c r="R103" s="150"/>
    </row>
    <row r="104" spans="18:23" ht="15.75">
      <c r="R104" s="167" t="s">
        <v>646</v>
      </c>
      <c r="S104" s="165"/>
      <c r="T104" s="165"/>
      <c r="U104" s="165"/>
      <c r="V104" s="165"/>
      <c r="W104" s="165"/>
    </row>
    <row r="105" spans="18:23" ht="16.5" thickBot="1">
      <c r="R105" s="167"/>
      <c r="S105" s="165"/>
      <c r="T105" s="165"/>
      <c r="U105" s="165"/>
      <c r="V105" s="165"/>
      <c r="W105" s="165"/>
    </row>
    <row r="106" spans="18:23" ht="63.75" thickBot="1">
      <c r="R106" s="151" t="s">
        <v>278</v>
      </c>
      <c r="S106" s="152" t="s">
        <v>243</v>
      </c>
      <c r="T106" s="152" t="s">
        <v>285</v>
      </c>
      <c r="U106" s="152" t="s">
        <v>286</v>
      </c>
      <c r="V106" s="152" t="s">
        <v>285</v>
      </c>
      <c r="W106" s="152" t="s">
        <v>286</v>
      </c>
    </row>
    <row r="107" spans="18:23" ht="16.5" thickBot="1">
      <c r="R107" s="153">
        <v>1</v>
      </c>
      <c r="S107" s="160">
        <v>2</v>
      </c>
      <c r="T107" s="160">
        <v>3</v>
      </c>
      <c r="U107" s="160">
        <v>4</v>
      </c>
      <c r="V107" s="160">
        <v>5</v>
      </c>
      <c r="W107" s="160">
        <v>7</v>
      </c>
    </row>
    <row r="108" spans="18:23" ht="31.5" customHeight="1" thickBot="1">
      <c r="R108" s="153">
        <v>1</v>
      </c>
      <c r="S108" s="424" t="s">
        <v>287</v>
      </c>
      <c r="T108" s="425"/>
      <c r="U108" s="425"/>
      <c r="V108" s="425"/>
      <c r="W108" s="432"/>
    </row>
    <row r="109" spans="18:23" ht="16.5" thickBot="1">
      <c r="R109" s="154"/>
      <c r="S109" s="156"/>
      <c r="T109" s="427" t="s">
        <v>247</v>
      </c>
      <c r="U109" s="429"/>
      <c r="V109" s="427" t="s">
        <v>288</v>
      </c>
      <c r="W109" s="429"/>
    </row>
    <row r="110" spans="18:23" ht="16.5" thickBot="1">
      <c r="R110" s="154"/>
      <c r="S110" s="170" t="s">
        <v>250</v>
      </c>
      <c r="T110" s="173">
        <v>3</v>
      </c>
      <c r="U110" s="173">
        <v>0.12</v>
      </c>
      <c r="V110" s="160"/>
      <c r="W110" s="160"/>
    </row>
    <row r="111" spans="18:23" ht="16.5" thickBot="1">
      <c r="R111" s="161"/>
      <c r="S111" s="170" t="s">
        <v>252</v>
      </c>
      <c r="T111" s="173">
        <v>4</v>
      </c>
      <c r="U111" s="173">
        <v>0.12</v>
      </c>
      <c r="V111" s="160"/>
      <c r="W111" s="160"/>
    </row>
    <row r="112" spans="18:23" ht="16.5" thickBot="1">
      <c r="R112" s="161"/>
      <c r="S112" s="170" t="s">
        <v>253</v>
      </c>
      <c r="T112" s="173">
        <v>5</v>
      </c>
      <c r="U112" s="173">
        <v>0.24</v>
      </c>
      <c r="V112" s="160"/>
      <c r="W112" s="160"/>
    </row>
    <row r="113" spans="18:23" ht="16.5" thickBot="1">
      <c r="R113" s="161"/>
      <c r="S113" s="170" t="s">
        <v>254</v>
      </c>
      <c r="T113" s="173">
        <v>7</v>
      </c>
      <c r="U113" s="173">
        <v>0.24</v>
      </c>
      <c r="V113" s="160"/>
      <c r="W113" s="160"/>
    </row>
    <row r="114" spans="18:23" ht="16.5" thickBot="1">
      <c r="R114" s="161"/>
      <c r="S114" s="170" t="s">
        <v>255</v>
      </c>
      <c r="T114" s="173">
        <v>8</v>
      </c>
      <c r="U114" s="173">
        <v>0.37</v>
      </c>
      <c r="V114" s="160"/>
      <c r="W114" s="160"/>
    </row>
    <row r="115" spans="18:23" ht="16.5" thickBot="1">
      <c r="R115" s="161"/>
      <c r="S115" s="170" t="s">
        <v>256</v>
      </c>
      <c r="T115" s="173">
        <v>9</v>
      </c>
      <c r="U115" s="173">
        <v>0.37</v>
      </c>
      <c r="V115" s="160"/>
      <c r="W115" s="160"/>
    </row>
    <row r="116" spans="18:23" ht="16.5" thickBot="1">
      <c r="R116" s="162"/>
      <c r="S116" s="170" t="s">
        <v>257</v>
      </c>
      <c r="T116" s="173">
        <v>13</v>
      </c>
      <c r="U116" s="173">
        <v>0.48</v>
      </c>
      <c r="V116" s="173">
        <v>35</v>
      </c>
      <c r="W116" s="173">
        <v>0.97</v>
      </c>
    </row>
    <row r="117" spans="18:23" ht="16.5" thickBot="1">
      <c r="R117" s="161"/>
      <c r="S117" s="170" t="s">
        <v>258</v>
      </c>
      <c r="T117" s="173">
        <v>18</v>
      </c>
      <c r="U117" s="173">
        <v>1.0900000000000001</v>
      </c>
      <c r="V117" s="173">
        <v>38</v>
      </c>
      <c r="W117" s="173">
        <v>1.0900000000000001</v>
      </c>
    </row>
    <row r="118" spans="18:23" ht="16.5" thickBot="1">
      <c r="R118" s="161"/>
      <c r="S118" s="170" t="s">
        <v>259</v>
      </c>
      <c r="T118" s="173">
        <v>20</v>
      </c>
      <c r="U118" s="173">
        <v>1.21</v>
      </c>
      <c r="V118" s="173">
        <v>45</v>
      </c>
      <c r="W118" s="173">
        <v>1.45</v>
      </c>
    </row>
    <row r="119" spans="18:23" ht="16.5" thickBot="1">
      <c r="R119" s="161"/>
      <c r="S119" s="170" t="s">
        <v>260</v>
      </c>
      <c r="T119" s="173">
        <v>27</v>
      </c>
      <c r="U119" s="173">
        <v>1.45</v>
      </c>
      <c r="V119" s="173">
        <v>49</v>
      </c>
      <c r="W119" s="173">
        <v>1.79</v>
      </c>
    </row>
    <row r="120" spans="18:23" ht="16.5" thickBot="1">
      <c r="R120" s="161"/>
      <c r="S120" s="170" t="s">
        <v>261</v>
      </c>
      <c r="T120" s="173">
        <v>28</v>
      </c>
      <c r="U120" s="173">
        <v>1.79</v>
      </c>
      <c r="V120" s="173">
        <v>54</v>
      </c>
      <c r="W120" s="173">
        <v>1.79</v>
      </c>
    </row>
    <row r="121" spans="18:23" ht="16.5" thickBot="1">
      <c r="R121" s="161"/>
      <c r="S121" s="170" t="s">
        <v>262</v>
      </c>
      <c r="T121" s="173">
        <v>41</v>
      </c>
      <c r="U121" s="173">
        <v>2.77</v>
      </c>
      <c r="V121" s="173">
        <v>81</v>
      </c>
      <c r="W121" s="173">
        <v>3.75</v>
      </c>
    </row>
    <row r="122" spans="18:23" ht="16.5" thickBot="1">
      <c r="R122" s="161"/>
      <c r="S122" s="170" t="s">
        <v>262</v>
      </c>
      <c r="T122" s="173">
        <v>52</v>
      </c>
      <c r="U122" s="173">
        <v>3.75</v>
      </c>
      <c r="V122" s="173">
        <v>90</v>
      </c>
      <c r="W122" s="173">
        <v>4.37</v>
      </c>
    </row>
    <row r="123" spans="18:23" ht="16.5" thickBot="1">
      <c r="R123" s="161"/>
      <c r="S123" s="170" t="s">
        <v>263</v>
      </c>
      <c r="T123" s="173">
        <v>71</v>
      </c>
      <c r="U123" s="173">
        <v>3.75</v>
      </c>
      <c r="V123" s="173">
        <v>108</v>
      </c>
      <c r="W123" s="173">
        <v>4.37</v>
      </c>
    </row>
    <row r="124" spans="18:23" ht="16.5" thickBot="1">
      <c r="R124" s="161"/>
      <c r="S124" s="170" t="s">
        <v>264</v>
      </c>
      <c r="T124" s="173">
        <v>70</v>
      </c>
      <c r="U124" s="173">
        <v>3.75</v>
      </c>
      <c r="V124" s="173">
        <v>142</v>
      </c>
      <c r="W124" s="173">
        <v>8.23</v>
      </c>
    </row>
    <row r="125" spans="18:23" ht="16.5" thickBot="1">
      <c r="R125" s="161"/>
      <c r="S125" s="170" t="s">
        <v>265</v>
      </c>
      <c r="T125" s="173">
        <v>104</v>
      </c>
      <c r="U125" s="173">
        <v>7.74</v>
      </c>
      <c r="V125" s="173">
        <v>171</v>
      </c>
      <c r="W125" s="173">
        <v>8.23</v>
      </c>
    </row>
    <row r="126" spans="18:23" ht="16.5" thickBot="1">
      <c r="R126" s="161"/>
      <c r="S126" s="170" t="s">
        <v>266</v>
      </c>
      <c r="T126" s="173">
        <v>114</v>
      </c>
      <c r="U126" s="173">
        <v>7.74</v>
      </c>
      <c r="V126" s="173">
        <v>185</v>
      </c>
      <c r="W126" s="173">
        <v>8.9499999999999993</v>
      </c>
    </row>
    <row r="127" spans="18:23" ht="16.5" thickBot="1">
      <c r="R127" s="161"/>
      <c r="S127" s="170" t="s">
        <v>267</v>
      </c>
      <c r="T127" s="173">
        <v>129</v>
      </c>
      <c r="U127" s="173">
        <v>8.23</v>
      </c>
      <c r="V127" s="173">
        <v>207</v>
      </c>
      <c r="W127" s="173">
        <v>8.9499999999999993</v>
      </c>
    </row>
    <row r="128" spans="18:23" ht="16.5" thickBot="1">
      <c r="R128" s="161"/>
      <c r="S128" s="170" t="s">
        <v>268</v>
      </c>
      <c r="T128" s="173">
        <v>155</v>
      </c>
      <c r="U128" s="173">
        <v>8.23</v>
      </c>
      <c r="V128" s="173">
        <v>282</v>
      </c>
      <c r="W128" s="173">
        <v>9.32</v>
      </c>
    </row>
    <row r="129" spans="18:24" ht="16.5" thickBot="1">
      <c r="R129" s="161"/>
      <c r="S129" s="170" t="s">
        <v>642</v>
      </c>
      <c r="T129" s="173">
        <v>180</v>
      </c>
      <c r="U129" s="173">
        <v>8.23</v>
      </c>
      <c r="V129" s="173">
        <v>338</v>
      </c>
      <c r="W129" s="173">
        <v>9.32</v>
      </c>
      <c r="X129" s="174">
        <v>125</v>
      </c>
    </row>
    <row r="130" spans="18:24" ht="16.5" thickBot="1">
      <c r="R130" s="161"/>
      <c r="S130" s="170" t="s">
        <v>269</v>
      </c>
      <c r="T130" s="173">
        <v>207</v>
      </c>
      <c r="U130" s="173">
        <v>8.23</v>
      </c>
      <c r="V130" s="173">
        <v>451</v>
      </c>
      <c r="W130" s="173">
        <v>13.07</v>
      </c>
    </row>
  </sheetData>
  <mergeCells count="27">
    <mergeCell ref="A1:P1"/>
    <mergeCell ref="A2:P2"/>
    <mergeCell ref="A3:P3"/>
    <mergeCell ref="A4:B5"/>
    <mergeCell ref="C4:C5"/>
    <mergeCell ref="D4:D5"/>
    <mergeCell ref="E4:E5"/>
    <mergeCell ref="F4:F5"/>
    <mergeCell ref="H4:M4"/>
    <mergeCell ref="S68:W68"/>
    <mergeCell ref="A7:A8"/>
    <mergeCell ref="C12:J12"/>
    <mergeCell ref="C13:I13"/>
    <mergeCell ref="C18:I18"/>
    <mergeCell ref="A19:P19"/>
    <mergeCell ref="A20:P21"/>
    <mergeCell ref="S33:W33"/>
    <mergeCell ref="S34:W34"/>
    <mergeCell ref="S35:W35"/>
    <mergeCell ref="U36:W36"/>
    <mergeCell ref="S67:W67"/>
    <mergeCell ref="S69:W69"/>
    <mergeCell ref="U70:W70"/>
    <mergeCell ref="R100:W100"/>
    <mergeCell ref="S108:W108"/>
    <mergeCell ref="T109:U109"/>
    <mergeCell ref="V109:W109"/>
  </mergeCells>
  <pageMargins left="0.7" right="0.7" top="0.75" bottom="0.75" header="0.3" footer="0.3"/>
  <pageSetup paperSize="9" scale="94" orientation="landscape" r:id="rId1"/>
</worksheet>
</file>

<file path=xl/worksheets/sheet8.xml><?xml version="1.0" encoding="utf-8"?>
<worksheet xmlns="http://schemas.openxmlformats.org/spreadsheetml/2006/main" xmlns:r="http://schemas.openxmlformats.org/officeDocument/2006/relationships">
  <sheetPr>
    <tabColor rgb="FF00B0F0"/>
  </sheetPr>
  <dimension ref="A1:J29"/>
  <sheetViews>
    <sheetView view="pageBreakPreview" zoomScale="75" zoomScaleSheetLayoutView="75" workbookViewId="0">
      <selection activeCell="Q18" sqref="Q18"/>
    </sheetView>
  </sheetViews>
  <sheetFormatPr defaultRowHeight="12.75"/>
  <cols>
    <col min="1" max="1" width="8.85546875" style="176"/>
    <col min="2" max="2" width="20.140625" style="176" customWidth="1"/>
    <col min="3" max="5" width="8.85546875" style="176"/>
    <col min="6" max="6" width="7.5703125" style="176" customWidth="1"/>
    <col min="7" max="7" width="8.85546875" style="176"/>
    <col min="8" max="8" width="6.28515625" style="176" customWidth="1"/>
    <col min="9" max="9" width="11.7109375" style="176" customWidth="1"/>
    <col min="10" max="257" width="8.85546875" style="176"/>
    <col min="258" max="258" width="20.140625" style="176" customWidth="1"/>
    <col min="259" max="513" width="8.85546875" style="176"/>
    <col min="514" max="514" width="20.140625" style="176" customWidth="1"/>
    <col min="515" max="769" width="8.85546875" style="176"/>
    <col min="770" max="770" width="20.140625" style="176" customWidth="1"/>
    <col min="771" max="1025" width="8.85546875" style="176"/>
    <col min="1026" max="1026" width="20.140625" style="176" customWidth="1"/>
    <col min="1027" max="1281" width="8.85546875" style="176"/>
    <col min="1282" max="1282" width="20.140625" style="176" customWidth="1"/>
    <col min="1283" max="1537" width="8.85546875" style="176"/>
    <col min="1538" max="1538" width="20.140625" style="176" customWidth="1"/>
    <col min="1539" max="1793" width="8.85546875" style="176"/>
    <col min="1794" max="1794" width="20.140625" style="176" customWidth="1"/>
    <col min="1795" max="2049" width="8.85546875" style="176"/>
    <col min="2050" max="2050" width="20.140625" style="176" customWidth="1"/>
    <col min="2051" max="2305" width="8.85546875" style="176"/>
    <col min="2306" max="2306" width="20.140625" style="176" customWidth="1"/>
    <col min="2307" max="2561" width="8.85546875" style="176"/>
    <col min="2562" max="2562" width="20.140625" style="176" customWidth="1"/>
    <col min="2563" max="2817" width="8.85546875" style="176"/>
    <col min="2818" max="2818" width="20.140625" style="176" customWidth="1"/>
    <col min="2819" max="3073" width="8.85546875" style="176"/>
    <col min="3074" max="3074" width="20.140625" style="176" customWidth="1"/>
    <col min="3075" max="3329" width="8.85546875" style="176"/>
    <col min="3330" max="3330" width="20.140625" style="176" customWidth="1"/>
    <col min="3331" max="3585" width="8.85546875" style="176"/>
    <col min="3586" max="3586" width="20.140625" style="176" customWidth="1"/>
    <col min="3587" max="3841" width="8.85546875" style="176"/>
    <col min="3842" max="3842" width="20.140625" style="176" customWidth="1"/>
    <col min="3843" max="4097" width="8.85546875" style="176"/>
    <col min="4098" max="4098" width="20.140625" style="176" customWidth="1"/>
    <col min="4099" max="4353" width="8.85546875" style="176"/>
    <col min="4354" max="4354" width="20.140625" style="176" customWidth="1"/>
    <col min="4355" max="4609" width="8.85546875" style="176"/>
    <col min="4610" max="4610" width="20.140625" style="176" customWidth="1"/>
    <col min="4611" max="4865" width="8.85546875" style="176"/>
    <col min="4866" max="4866" width="20.140625" style="176" customWidth="1"/>
    <col min="4867" max="5121" width="8.85546875" style="176"/>
    <col min="5122" max="5122" width="20.140625" style="176" customWidth="1"/>
    <col min="5123" max="5377" width="8.85546875" style="176"/>
    <col min="5378" max="5378" width="20.140625" style="176" customWidth="1"/>
    <col min="5379" max="5633" width="8.85546875" style="176"/>
    <col min="5634" max="5634" width="20.140625" style="176" customWidth="1"/>
    <col min="5635" max="5889" width="8.85546875" style="176"/>
    <col min="5890" max="5890" width="20.140625" style="176" customWidth="1"/>
    <col min="5891" max="6145" width="8.85546875" style="176"/>
    <col min="6146" max="6146" width="20.140625" style="176" customWidth="1"/>
    <col min="6147" max="6401" width="8.85546875" style="176"/>
    <col min="6402" max="6402" width="20.140625" style="176" customWidth="1"/>
    <col min="6403" max="6657" width="8.85546875" style="176"/>
    <col min="6658" max="6658" width="20.140625" style="176" customWidth="1"/>
    <col min="6659" max="6913" width="8.85546875" style="176"/>
    <col min="6914" max="6914" width="20.140625" style="176" customWidth="1"/>
    <col min="6915" max="7169" width="8.85546875" style="176"/>
    <col min="7170" max="7170" width="20.140625" style="176" customWidth="1"/>
    <col min="7171" max="7425" width="8.85546875" style="176"/>
    <col min="7426" max="7426" width="20.140625" style="176" customWidth="1"/>
    <col min="7427" max="7681" width="8.85546875" style="176"/>
    <col min="7682" max="7682" width="20.140625" style="176" customWidth="1"/>
    <col min="7683" max="7937" width="8.85546875" style="176"/>
    <col min="7938" max="7938" width="20.140625" style="176" customWidth="1"/>
    <col min="7939" max="8193" width="8.85546875" style="176"/>
    <col min="8194" max="8194" width="20.140625" style="176" customWidth="1"/>
    <col min="8195" max="8449" width="8.85546875" style="176"/>
    <col min="8450" max="8450" width="20.140625" style="176" customWidth="1"/>
    <col min="8451" max="8705" width="8.85546875" style="176"/>
    <col min="8706" max="8706" width="20.140625" style="176" customWidth="1"/>
    <col min="8707" max="8961" width="8.85546875" style="176"/>
    <col min="8962" max="8962" width="20.140625" style="176" customWidth="1"/>
    <col min="8963" max="9217" width="8.85546875" style="176"/>
    <col min="9218" max="9218" width="20.140625" style="176" customWidth="1"/>
    <col min="9219" max="9473" width="8.85546875" style="176"/>
    <col min="9474" max="9474" width="20.140625" style="176" customWidth="1"/>
    <col min="9475" max="9729" width="8.85546875" style="176"/>
    <col min="9730" max="9730" width="20.140625" style="176" customWidth="1"/>
    <col min="9731" max="9985" width="8.85546875" style="176"/>
    <col min="9986" max="9986" width="20.140625" style="176" customWidth="1"/>
    <col min="9987" max="10241" width="8.85546875" style="176"/>
    <col min="10242" max="10242" width="20.140625" style="176" customWidth="1"/>
    <col min="10243" max="10497" width="8.85546875" style="176"/>
    <col min="10498" max="10498" width="20.140625" style="176" customWidth="1"/>
    <col min="10499" max="10753" width="8.85546875" style="176"/>
    <col min="10754" max="10754" width="20.140625" style="176" customWidth="1"/>
    <col min="10755" max="11009" width="8.85546875" style="176"/>
    <col min="11010" max="11010" width="20.140625" style="176" customWidth="1"/>
    <col min="11011" max="11265" width="8.85546875" style="176"/>
    <col min="11266" max="11266" width="20.140625" style="176" customWidth="1"/>
    <col min="11267" max="11521" width="8.85546875" style="176"/>
    <col min="11522" max="11522" width="20.140625" style="176" customWidth="1"/>
    <col min="11523" max="11777" width="8.85546875" style="176"/>
    <col min="11778" max="11778" width="20.140625" style="176" customWidth="1"/>
    <col min="11779" max="12033" width="8.85546875" style="176"/>
    <col min="12034" max="12034" width="20.140625" style="176" customWidth="1"/>
    <col min="12035" max="12289" width="8.85546875" style="176"/>
    <col min="12290" max="12290" width="20.140625" style="176" customWidth="1"/>
    <col min="12291" max="12545" width="8.85546875" style="176"/>
    <col min="12546" max="12546" width="20.140625" style="176" customWidth="1"/>
    <col min="12547" max="12801" width="8.85546875" style="176"/>
    <col min="12802" max="12802" width="20.140625" style="176" customWidth="1"/>
    <col min="12803" max="13057" width="8.85546875" style="176"/>
    <col min="13058" max="13058" width="20.140625" style="176" customWidth="1"/>
    <col min="13059" max="13313" width="8.85546875" style="176"/>
    <col min="13314" max="13314" width="20.140625" style="176" customWidth="1"/>
    <col min="13315" max="13569" width="8.85546875" style="176"/>
    <col min="13570" max="13570" width="20.140625" style="176" customWidth="1"/>
    <col min="13571" max="13825" width="8.85546875" style="176"/>
    <col min="13826" max="13826" width="20.140625" style="176" customWidth="1"/>
    <col min="13827" max="14081" width="8.85546875" style="176"/>
    <col min="14082" max="14082" width="20.140625" style="176" customWidth="1"/>
    <col min="14083" max="14337" width="8.85546875" style="176"/>
    <col min="14338" max="14338" width="20.140625" style="176" customWidth="1"/>
    <col min="14339" max="14593" width="8.85546875" style="176"/>
    <col min="14594" max="14594" width="20.140625" style="176" customWidth="1"/>
    <col min="14595" max="14849" width="8.85546875" style="176"/>
    <col min="14850" max="14850" width="20.140625" style="176" customWidth="1"/>
    <col min="14851" max="15105" width="8.85546875" style="176"/>
    <col min="15106" max="15106" width="20.140625" style="176" customWidth="1"/>
    <col min="15107" max="15361" width="8.85546875" style="176"/>
    <col min="15362" max="15362" width="20.140625" style="176" customWidth="1"/>
    <col min="15363" max="15617" width="8.85546875" style="176"/>
    <col min="15618" max="15618" width="20.140625" style="176" customWidth="1"/>
    <col min="15619" max="15873" width="8.85546875" style="176"/>
    <col min="15874" max="15874" width="20.140625" style="176" customWidth="1"/>
    <col min="15875" max="16129" width="8.85546875" style="176"/>
    <col min="16130" max="16130" width="20.140625" style="176" customWidth="1"/>
    <col min="16131" max="16384" width="8.85546875" style="176"/>
  </cols>
  <sheetData>
    <row r="1" spans="1:9" ht="43.15" customHeight="1">
      <c r="A1" s="330" t="str">
        <f>+Cov!A25</f>
        <v>NAME OF WORK:-</v>
      </c>
      <c r="B1" s="446" t="str">
        <f>+Cov!B25</f>
        <v>Construction of Slab culvert with Clear Span of 3.0 m</v>
      </c>
      <c r="C1" s="446"/>
      <c r="D1" s="446"/>
      <c r="E1" s="446"/>
      <c r="F1" s="446"/>
      <c r="G1" s="446"/>
      <c r="H1" s="446"/>
      <c r="I1" s="447"/>
    </row>
    <row r="2" spans="1:9" ht="4.9000000000000004" customHeight="1">
      <c r="A2" s="331"/>
      <c r="B2" s="332"/>
      <c r="C2" s="332"/>
      <c r="D2" s="332"/>
      <c r="E2" s="332"/>
      <c r="F2" s="332"/>
      <c r="G2" s="332"/>
      <c r="H2" s="332"/>
      <c r="I2" s="333"/>
    </row>
    <row r="3" spans="1:9" ht="15">
      <c r="A3" s="449" t="s">
        <v>289</v>
      </c>
      <c r="B3" s="450"/>
      <c r="C3" s="450"/>
      <c r="D3" s="450"/>
      <c r="E3" s="450"/>
      <c r="F3" s="450"/>
      <c r="G3" s="450"/>
      <c r="H3" s="450"/>
      <c r="I3" s="451"/>
    </row>
    <row r="4" spans="1:9" ht="15">
      <c r="A4" s="334"/>
      <c r="B4" s="335"/>
      <c r="C4" s="335"/>
      <c r="D4" s="336"/>
      <c r="E4" s="335"/>
      <c r="F4" s="335"/>
      <c r="G4" s="335"/>
      <c r="H4" s="335"/>
      <c r="I4" s="337"/>
    </row>
    <row r="5" spans="1:9" ht="15">
      <c r="A5" s="177" t="s">
        <v>64</v>
      </c>
      <c r="B5" s="177" t="s">
        <v>290</v>
      </c>
      <c r="C5" s="178" t="s">
        <v>166</v>
      </c>
      <c r="D5" s="452" t="s">
        <v>159</v>
      </c>
      <c r="E5" s="452"/>
      <c r="F5" s="452" t="s">
        <v>291</v>
      </c>
      <c r="G5" s="452"/>
      <c r="H5" s="452" t="s">
        <v>292</v>
      </c>
      <c r="I5" s="452"/>
    </row>
    <row r="6" spans="1:9" ht="15">
      <c r="A6" s="179"/>
      <c r="B6" s="180"/>
      <c r="C6" s="181"/>
      <c r="D6" s="323" t="s">
        <v>293</v>
      </c>
      <c r="E6" s="178" t="s">
        <v>67</v>
      </c>
      <c r="F6" s="178" t="s">
        <v>293</v>
      </c>
      <c r="G6" s="178" t="s">
        <v>67</v>
      </c>
      <c r="H6" s="178" t="s">
        <v>293</v>
      </c>
      <c r="I6" s="178" t="s">
        <v>67</v>
      </c>
    </row>
    <row r="7" spans="1:9">
      <c r="A7" s="181">
        <v>1</v>
      </c>
      <c r="B7" s="180" t="s">
        <v>294</v>
      </c>
      <c r="C7" s="182">
        <f>+'Gen abs'!E6</f>
        <v>12.9</v>
      </c>
      <c r="D7" s="181">
        <v>1.05</v>
      </c>
      <c r="E7" s="181">
        <f>C7*D7</f>
        <v>13.545000000000002</v>
      </c>
      <c r="F7" s="181" t="s">
        <v>0</v>
      </c>
      <c r="G7" s="181" t="s">
        <v>0</v>
      </c>
      <c r="H7" s="181" t="s">
        <v>0</v>
      </c>
      <c r="I7" s="181"/>
    </row>
    <row r="8" spans="1:9">
      <c r="A8" s="181">
        <v>2</v>
      </c>
      <c r="B8" s="180" t="s">
        <v>295</v>
      </c>
      <c r="C8" s="182">
        <f>+'Gen abs'!E7</f>
        <v>19.200000000000003</v>
      </c>
      <c r="D8" s="181">
        <v>0.4</v>
      </c>
      <c r="E8" s="181">
        <f>C8*D8</f>
        <v>7.6800000000000015</v>
      </c>
      <c r="F8" s="181" t="s">
        <v>0</v>
      </c>
      <c r="G8" s="181" t="s">
        <v>0</v>
      </c>
      <c r="H8" s="181">
        <v>0.9</v>
      </c>
      <c r="I8" s="181">
        <f>C8*H8</f>
        <v>17.280000000000005</v>
      </c>
    </row>
    <row r="9" spans="1:9">
      <c r="A9" s="181">
        <v>3</v>
      </c>
      <c r="B9" s="180" t="s">
        <v>296</v>
      </c>
      <c r="C9" s="182">
        <f>+'Gen abs'!E8</f>
        <v>19.200000000000003</v>
      </c>
      <c r="D9" s="181">
        <v>0.34</v>
      </c>
      <c r="E9" s="181">
        <f>C9*D9</f>
        <v>6.5280000000000014</v>
      </c>
      <c r="F9" s="181" t="s">
        <v>0</v>
      </c>
      <c r="G9" s="181" t="s">
        <v>0</v>
      </c>
      <c r="H9" s="181">
        <v>0.76500000000000001</v>
      </c>
      <c r="I9" s="181">
        <f>C9*H9</f>
        <v>14.688000000000002</v>
      </c>
    </row>
    <row r="10" spans="1:9">
      <c r="A10" s="181">
        <v>4</v>
      </c>
      <c r="B10" s="180" t="s">
        <v>303</v>
      </c>
      <c r="C10" s="182">
        <f>+'Gen abs'!E11</f>
        <v>1.2000000000000002</v>
      </c>
      <c r="D10" s="181">
        <v>0.45</v>
      </c>
      <c r="E10" s="181">
        <f t="shared" ref="E10:E11" si="0">C10*D10</f>
        <v>0.54000000000000015</v>
      </c>
      <c r="F10" s="181" t="s">
        <v>0</v>
      </c>
      <c r="G10" s="181" t="s">
        <v>0</v>
      </c>
      <c r="H10" s="181">
        <v>0.8</v>
      </c>
      <c r="I10" s="181">
        <f t="shared" ref="I10:I11" si="1">C10*H10</f>
        <v>0.96000000000000019</v>
      </c>
    </row>
    <row r="11" spans="1:9">
      <c r="A11" s="181">
        <v>5</v>
      </c>
      <c r="B11" s="180" t="s">
        <v>302</v>
      </c>
      <c r="C11" s="182">
        <f>+'Gen abs'!E10</f>
        <v>12.4</v>
      </c>
      <c r="D11" s="181">
        <v>0.45</v>
      </c>
      <c r="E11" s="181">
        <f t="shared" si="0"/>
        <v>5.58</v>
      </c>
      <c r="F11" s="181" t="s">
        <v>0</v>
      </c>
      <c r="G11" s="181" t="s">
        <v>0</v>
      </c>
      <c r="H11" s="181">
        <v>0.8</v>
      </c>
      <c r="I11" s="181">
        <f t="shared" si="1"/>
        <v>9.9200000000000017</v>
      </c>
    </row>
    <row r="12" spans="1:9">
      <c r="A12" s="181">
        <v>6</v>
      </c>
      <c r="B12" s="180" t="s">
        <v>291</v>
      </c>
      <c r="C12" s="182">
        <f>+'Gen abs'!E12</f>
        <v>46.1</v>
      </c>
      <c r="D12" s="181" t="s">
        <v>0</v>
      </c>
      <c r="E12" s="181" t="s">
        <v>0</v>
      </c>
      <c r="F12" s="181">
        <v>1.2</v>
      </c>
      <c r="G12" s="181">
        <f>C12*F12</f>
        <v>55.32</v>
      </c>
      <c r="H12" s="181" t="s">
        <v>0</v>
      </c>
      <c r="I12" s="181" t="s">
        <v>0</v>
      </c>
    </row>
    <row r="13" spans="1:9" ht="15">
      <c r="A13" s="180"/>
      <c r="B13" s="180"/>
      <c r="C13" s="178" t="s">
        <v>297</v>
      </c>
      <c r="D13" s="181"/>
      <c r="E13" s="178">
        <f>SUM(E7:E12)</f>
        <v>33.873000000000005</v>
      </c>
      <c r="F13" s="178"/>
      <c r="G13" s="178">
        <f>SUM(G7:G12)</f>
        <v>55.32</v>
      </c>
      <c r="H13" s="178"/>
      <c r="I13" s="178">
        <f>SUM(I7:I12)</f>
        <v>42.848000000000006</v>
      </c>
    </row>
    <row r="14" spans="1:9" ht="15">
      <c r="C14" s="175"/>
      <c r="D14" s="24"/>
      <c r="E14" s="175"/>
      <c r="F14" s="24"/>
      <c r="G14" s="175"/>
      <c r="H14" s="24"/>
      <c r="I14" s="175"/>
    </row>
    <row r="15" spans="1:9" ht="15">
      <c r="A15" s="180"/>
      <c r="B15" s="178" t="s">
        <v>298</v>
      </c>
      <c r="C15" s="178" t="s">
        <v>67</v>
      </c>
      <c r="D15" s="323" t="s">
        <v>6</v>
      </c>
      <c r="E15" s="178" t="s">
        <v>7</v>
      </c>
      <c r="F15" s="24"/>
      <c r="G15" s="24"/>
      <c r="H15" s="24"/>
      <c r="I15" s="24"/>
    </row>
    <row r="16" spans="1:9">
      <c r="A16" s="180"/>
      <c r="B16" s="45" t="s">
        <v>292</v>
      </c>
      <c r="C16" s="45">
        <f>I13</f>
        <v>42.848000000000006</v>
      </c>
      <c r="D16" s="324">
        <v>90</v>
      </c>
      <c r="E16" s="45">
        <f>C16*D16</f>
        <v>3856.3200000000006</v>
      </c>
    </row>
    <row r="17" spans="1:10">
      <c r="A17" s="180"/>
      <c r="B17" s="45" t="s">
        <v>299</v>
      </c>
      <c r="C17" s="45">
        <f>E13</f>
        <v>33.873000000000005</v>
      </c>
      <c r="D17" s="324">
        <v>100</v>
      </c>
      <c r="E17" s="45">
        <f>C17*D17</f>
        <v>3387.3000000000006</v>
      </c>
    </row>
    <row r="18" spans="1:10" ht="25.5">
      <c r="A18" s="180"/>
      <c r="B18" s="43" t="s">
        <v>300</v>
      </c>
      <c r="C18" s="45">
        <f>G12</f>
        <v>55.32</v>
      </c>
      <c r="D18" s="324">
        <v>45</v>
      </c>
      <c r="E18" s="45">
        <f>C18*D18</f>
        <v>2489.4</v>
      </c>
    </row>
    <row r="19" spans="1:10" ht="15">
      <c r="A19" s="180"/>
      <c r="B19" s="45"/>
      <c r="C19" s="183" t="s">
        <v>301</v>
      </c>
      <c r="D19" s="324"/>
      <c r="E19" s="184">
        <f>SUM(E16,E17,E18)</f>
        <v>9733.02</v>
      </c>
    </row>
    <row r="26" spans="1:10" ht="14.45" customHeight="1"/>
    <row r="27" spans="1:10">
      <c r="A27" s="448"/>
      <c r="B27" s="448"/>
      <c r="C27" s="448"/>
      <c r="D27" s="448"/>
      <c r="E27" s="448"/>
      <c r="F27" s="448"/>
      <c r="G27" s="448"/>
      <c r="H27" s="448"/>
      <c r="I27" s="448"/>
      <c r="J27" s="448"/>
    </row>
    <row r="28" spans="1:10">
      <c r="A28" s="448"/>
      <c r="B28" s="448"/>
      <c r="C28" s="448"/>
      <c r="D28" s="448"/>
      <c r="E28" s="448"/>
      <c r="F28" s="448"/>
      <c r="G28" s="448"/>
      <c r="H28" s="448"/>
      <c r="I28" s="448"/>
      <c r="J28" s="448"/>
    </row>
    <row r="29" spans="1:10">
      <c r="A29" s="448"/>
      <c r="B29" s="448"/>
      <c r="C29" s="448"/>
      <c r="D29" s="448"/>
      <c r="E29" s="448"/>
      <c r="F29" s="448"/>
      <c r="G29" s="448"/>
      <c r="H29" s="448"/>
      <c r="I29" s="448"/>
      <c r="J29" s="448"/>
    </row>
  </sheetData>
  <mergeCells count="8">
    <mergeCell ref="B1:I1"/>
    <mergeCell ref="A29:J29"/>
    <mergeCell ref="A3:I3"/>
    <mergeCell ref="D5:E5"/>
    <mergeCell ref="F5:G5"/>
    <mergeCell ref="H5:I5"/>
    <mergeCell ref="A27:J27"/>
    <mergeCell ref="A28:J28"/>
  </mergeCells>
  <pageMargins left="0.7" right="0.2"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sheetPr>
    <tabColor rgb="FF00B050"/>
  </sheetPr>
  <dimension ref="A1:M20"/>
  <sheetViews>
    <sheetView view="pageBreakPreview" zoomScale="75" zoomScaleSheetLayoutView="75" workbookViewId="0">
      <selection activeCell="W16" sqref="W16"/>
    </sheetView>
  </sheetViews>
  <sheetFormatPr defaultColWidth="8.7109375" defaultRowHeight="20.100000000000001" customHeight="1"/>
  <cols>
    <col min="1" max="4" width="8.7109375" style="306" customWidth="1"/>
    <col min="5" max="5" width="8.7109375" style="307" customWidth="1"/>
    <col min="6" max="6" width="8.7109375" style="306"/>
    <col min="7" max="7" width="8.7109375" style="325"/>
    <col min="8" max="256" width="8.7109375" style="306"/>
    <col min="257" max="261" width="8.7109375" style="306" customWidth="1"/>
    <col min="262" max="512" width="8.7109375" style="306"/>
    <col min="513" max="517" width="8.7109375" style="306" customWidth="1"/>
    <col min="518" max="768" width="8.7109375" style="306"/>
    <col min="769" max="773" width="8.7109375" style="306" customWidth="1"/>
    <col min="774" max="1024" width="8.7109375" style="306"/>
    <col min="1025" max="1029" width="8.7109375" style="306" customWidth="1"/>
    <col min="1030" max="1280" width="8.7109375" style="306"/>
    <col min="1281" max="1285" width="8.7109375" style="306" customWidth="1"/>
    <col min="1286" max="1536" width="8.7109375" style="306"/>
    <col min="1537" max="1541" width="8.7109375" style="306" customWidth="1"/>
    <col min="1542" max="1792" width="8.7109375" style="306"/>
    <col min="1793" max="1797" width="8.7109375" style="306" customWidth="1"/>
    <col min="1798" max="2048" width="8.7109375" style="306"/>
    <col min="2049" max="2053" width="8.7109375" style="306" customWidth="1"/>
    <col min="2054" max="2304" width="8.7109375" style="306"/>
    <col min="2305" max="2309" width="8.7109375" style="306" customWidth="1"/>
    <col min="2310" max="2560" width="8.7109375" style="306"/>
    <col min="2561" max="2565" width="8.7109375" style="306" customWidth="1"/>
    <col min="2566" max="2816" width="8.7109375" style="306"/>
    <col min="2817" max="2821" width="8.7109375" style="306" customWidth="1"/>
    <col min="2822" max="3072" width="8.7109375" style="306"/>
    <col min="3073" max="3077" width="8.7109375" style="306" customWidth="1"/>
    <col min="3078" max="3328" width="8.7109375" style="306"/>
    <col min="3329" max="3333" width="8.7109375" style="306" customWidth="1"/>
    <col min="3334" max="3584" width="8.7109375" style="306"/>
    <col min="3585" max="3589" width="8.7109375" style="306" customWidth="1"/>
    <col min="3590" max="3840" width="8.7109375" style="306"/>
    <col min="3841" max="3845" width="8.7109375" style="306" customWidth="1"/>
    <col min="3846" max="4096" width="8.7109375" style="306"/>
    <col min="4097" max="4101" width="8.7109375" style="306" customWidth="1"/>
    <col min="4102" max="4352" width="8.7109375" style="306"/>
    <col min="4353" max="4357" width="8.7109375" style="306" customWidth="1"/>
    <col min="4358" max="4608" width="8.7109375" style="306"/>
    <col min="4609" max="4613" width="8.7109375" style="306" customWidth="1"/>
    <col min="4614" max="4864" width="8.7109375" style="306"/>
    <col min="4865" max="4869" width="8.7109375" style="306" customWidth="1"/>
    <col min="4870" max="5120" width="8.7109375" style="306"/>
    <col min="5121" max="5125" width="8.7109375" style="306" customWidth="1"/>
    <col min="5126" max="5376" width="8.7109375" style="306"/>
    <col min="5377" max="5381" width="8.7109375" style="306" customWidth="1"/>
    <col min="5382" max="5632" width="8.7109375" style="306"/>
    <col min="5633" max="5637" width="8.7109375" style="306" customWidth="1"/>
    <col min="5638" max="5888" width="8.7109375" style="306"/>
    <col min="5889" max="5893" width="8.7109375" style="306" customWidth="1"/>
    <col min="5894" max="6144" width="8.7109375" style="306"/>
    <col min="6145" max="6149" width="8.7109375" style="306" customWidth="1"/>
    <col min="6150" max="6400" width="8.7109375" style="306"/>
    <col min="6401" max="6405" width="8.7109375" style="306" customWidth="1"/>
    <col min="6406" max="6656" width="8.7109375" style="306"/>
    <col min="6657" max="6661" width="8.7109375" style="306" customWidth="1"/>
    <col min="6662" max="6912" width="8.7109375" style="306"/>
    <col min="6913" max="6917" width="8.7109375" style="306" customWidth="1"/>
    <col min="6918" max="7168" width="8.7109375" style="306"/>
    <col min="7169" max="7173" width="8.7109375" style="306" customWidth="1"/>
    <col min="7174" max="7424" width="8.7109375" style="306"/>
    <col min="7425" max="7429" width="8.7109375" style="306" customWidth="1"/>
    <col min="7430" max="7680" width="8.7109375" style="306"/>
    <col min="7681" max="7685" width="8.7109375" style="306" customWidth="1"/>
    <col min="7686" max="7936" width="8.7109375" style="306"/>
    <col min="7937" max="7941" width="8.7109375" style="306" customWidth="1"/>
    <col min="7942" max="8192" width="8.7109375" style="306"/>
    <col min="8193" max="8197" width="8.7109375" style="306" customWidth="1"/>
    <col min="8198" max="8448" width="8.7109375" style="306"/>
    <col min="8449" max="8453" width="8.7109375" style="306" customWidth="1"/>
    <col min="8454" max="8704" width="8.7109375" style="306"/>
    <col min="8705" max="8709" width="8.7109375" style="306" customWidth="1"/>
    <col min="8710" max="8960" width="8.7109375" style="306"/>
    <col min="8961" max="8965" width="8.7109375" style="306" customWidth="1"/>
    <col min="8966" max="9216" width="8.7109375" style="306"/>
    <col min="9217" max="9221" width="8.7109375" style="306" customWidth="1"/>
    <col min="9222" max="9472" width="8.7109375" style="306"/>
    <col min="9473" max="9477" width="8.7109375" style="306" customWidth="1"/>
    <col min="9478" max="9728" width="8.7109375" style="306"/>
    <col min="9729" max="9733" width="8.7109375" style="306" customWidth="1"/>
    <col min="9734" max="9984" width="8.7109375" style="306"/>
    <col min="9985" max="9989" width="8.7109375" style="306" customWidth="1"/>
    <col min="9990" max="10240" width="8.7109375" style="306"/>
    <col min="10241" max="10245" width="8.7109375" style="306" customWidth="1"/>
    <col min="10246" max="10496" width="8.7109375" style="306"/>
    <col min="10497" max="10501" width="8.7109375" style="306" customWidth="1"/>
    <col min="10502" max="10752" width="8.7109375" style="306"/>
    <col min="10753" max="10757" width="8.7109375" style="306" customWidth="1"/>
    <col min="10758" max="11008" width="8.7109375" style="306"/>
    <col min="11009" max="11013" width="8.7109375" style="306" customWidth="1"/>
    <col min="11014" max="11264" width="8.7109375" style="306"/>
    <col min="11265" max="11269" width="8.7109375" style="306" customWidth="1"/>
    <col min="11270" max="11520" width="8.7109375" style="306"/>
    <col min="11521" max="11525" width="8.7109375" style="306" customWidth="1"/>
    <col min="11526" max="11776" width="8.7109375" style="306"/>
    <col min="11777" max="11781" width="8.7109375" style="306" customWidth="1"/>
    <col min="11782" max="12032" width="8.7109375" style="306"/>
    <col min="12033" max="12037" width="8.7109375" style="306" customWidth="1"/>
    <col min="12038" max="12288" width="8.7109375" style="306"/>
    <col min="12289" max="12293" width="8.7109375" style="306" customWidth="1"/>
    <col min="12294" max="12544" width="8.7109375" style="306"/>
    <col min="12545" max="12549" width="8.7109375" style="306" customWidth="1"/>
    <col min="12550" max="12800" width="8.7109375" style="306"/>
    <col min="12801" max="12805" width="8.7109375" style="306" customWidth="1"/>
    <col min="12806" max="13056" width="8.7109375" style="306"/>
    <col min="13057" max="13061" width="8.7109375" style="306" customWidth="1"/>
    <col min="13062" max="13312" width="8.7109375" style="306"/>
    <col min="13313" max="13317" width="8.7109375" style="306" customWidth="1"/>
    <col min="13318" max="13568" width="8.7109375" style="306"/>
    <col min="13569" max="13573" width="8.7109375" style="306" customWidth="1"/>
    <col min="13574" max="13824" width="8.7109375" style="306"/>
    <col min="13825" max="13829" width="8.7109375" style="306" customWidth="1"/>
    <col min="13830" max="14080" width="8.7109375" style="306"/>
    <col min="14081" max="14085" width="8.7109375" style="306" customWidth="1"/>
    <col min="14086" max="14336" width="8.7109375" style="306"/>
    <col min="14337" max="14341" width="8.7109375" style="306" customWidth="1"/>
    <col min="14342" max="14592" width="8.7109375" style="306"/>
    <col min="14593" max="14597" width="8.7109375" style="306" customWidth="1"/>
    <col min="14598" max="14848" width="8.7109375" style="306"/>
    <col min="14849" max="14853" width="8.7109375" style="306" customWidth="1"/>
    <col min="14854" max="15104" width="8.7109375" style="306"/>
    <col min="15105" max="15109" width="8.7109375" style="306" customWidth="1"/>
    <col min="15110" max="15360" width="8.7109375" style="306"/>
    <col min="15361" max="15365" width="8.7109375" style="306" customWidth="1"/>
    <col min="15366" max="15616" width="8.7109375" style="306"/>
    <col min="15617" max="15621" width="8.7109375" style="306" customWidth="1"/>
    <col min="15622" max="15872" width="8.7109375" style="306"/>
    <col min="15873" max="15877" width="8.7109375" style="306" customWidth="1"/>
    <col min="15878" max="16128" width="8.7109375" style="306"/>
    <col min="16129" max="16133" width="8.7109375" style="306" customWidth="1"/>
    <col min="16134" max="16384" width="8.7109375" style="306"/>
  </cols>
  <sheetData>
    <row r="1" spans="1:13" ht="20.100000000000001" customHeight="1">
      <c r="A1" s="453" t="s">
        <v>373</v>
      </c>
      <c r="B1" s="453"/>
      <c r="C1" s="453"/>
      <c r="D1" s="453"/>
      <c r="E1" s="453"/>
      <c r="F1" s="453"/>
      <c r="G1" s="453"/>
      <c r="H1" s="453"/>
      <c r="I1" s="453"/>
    </row>
    <row r="2" spans="1:13" ht="10.5" customHeight="1"/>
    <row r="3" spans="1:13" ht="20.100000000000001" customHeight="1">
      <c r="A3" s="308"/>
    </row>
    <row r="4" spans="1:13" ht="20.100000000000001" customHeight="1">
      <c r="A4" s="306" t="s">
        <v>374</v>
      </c>
      <c r="E4" s="306"/>
      <c r="F4" s="307" t="s">
        <v>81</v>
      </c>
      <c r="G4" s="326">
        <v>1.48</v>
      </c>
      <c r="H4" s="306" t="s">
        <v>375</v>
      </c>
    </row>
    <row r="5" spans="1:13" ht="20.100000000000001" customHeight="1">
      <c r="A5" s="306" t="s">
        <v>376</v>
      </c>
      <c r="E5" s="306"/>
      <c r="F5" s="307" t="s">
        <v>81</v>
      </c>
      <c r="G5" s="326">
        <v>1</v>
      </c>
    </row>
    <row r="6" spans="1:13" ht="20.100000000000001" customHeight="1">
      <c r="A6" s="306" t="s">
        <v>377</v>
      </c>
      <c r="E6" s="306"/>
      <c r="F6" s="307" t="s">
        <v>81</v>
      </c>
      <c r="G6" s="326">
        <f>G4*G5</f>
        <v>1.48</v>
      </c>
      <c r="H6" s="306" t="s">
        <v>375</v>
      </c>
    </row>
    <row r="7" spans="1:13" ht="20.100000000000001" customHeight="1">
      <c r="A7" s="306" t="s">
        <v>378</v>
      </c>
      <c r="E7" s="306"/>
      <c r="F7" s="307" t="s">
        <v>81</v>
      </c>
      <c r="G7" s="326">
        <v>1.46</v>
      </c>
      <c r="H7" s="306" t="s">
        <v>10</v>
      </c>
      <c r="L7" s="310"/>
      <c r="M7" s="310"/>
    </row>
    <row r="8" spans="1:13" ht="20.100000000000001" customHeight="1">
      <c r="A8" s="306" t="s">
        <v>379</v>
      </c>
      <c r="E8" s="306"/>
      <c r="F8" s="307" t="s">
        <v>81</v>
      </c>
      <c r="G8" s="326">
        <v>3.67</v>
      </c>
      <c r="H8" s="306" t="s">
        <v>10</v>
      </c>
      <c r="L8" s="310"/>
      <c r="M8" s="310"/>
    </row>
    <row r="9" spans="1:13" ht="20.100000000000001" customHeight="1">
      <c r="A9" s="306" t="s">
        <v>380</v>
      </c>
      <c r="E9" s="306"/>
      <c r="F9" s="307" t="s">
        <v>81</v>
      </c>
      <c r="G9" s="326">
        <v>1</v>
      </c>
    </row>
    <row r="10" spans="1:13" ht="20.100000000000001" customHeight="1">
      <c r="A10" s="306" t="s">
        <v>381</v>
      </c>
      <c r="E10" s="306"/>
      <c r="F10" s="307" t="s">
        <v>81</v>
      </c>
      <c r="G10" s="327" t="s">
        <v>382</v>
      </c>
    </row>
    <row r="11" spans="1:13" ht="20.100000000000001" customHeight="1">
      <c r="E11" s="306"/>
      <c r="F11" s="307" t="s">
        <v>81</v>
      </c>
      <c r="G11" s="326">
        <f>+G6/G7</f>
        <v>1.0136986301369864</v>
      </c>
      <c r="H11" s="306" t="s">
        <v>383</v>
      </c>
      <c r="I11" s="309"/>
    </row>
    <row r="12" spans="1:13" ht="20.100000000000001" customHeight="1">
      <c r="A12" s="306" t="s">
        <v>384</v>
      </c>
      <c r="E12" s="306"/>
      <c r="F12" s="307" t="s">
        <v>81</v>
      </c>
      <c r="G12" s="327" t="s">
        <v>401</v>
      </c>
      <c r="H12" s="311"/>
      <c r="I12" s="311"/>
      <c r="J12" s="311"/>
    </row>
    <row r="13" spans="1:13" ht="20.100000000000001" customHeight="1">
      <c r="E13" s="306"/>
      <c r="F13" s="312" t="s">
        <v>81</v>
      </c>
      <c r="G13" s="326">
        <f>1.35*(+G11*G11/G9)^(1/3)</f>
        <v>1.3623007892682315</v>
      </c>
      <c r="H13" s="306" t="s">
        <v>385</v>
      </c>
    </row>
    <row r="14" spans="1:13" ht="20.100000000000001" customHeight="1">
      <c r="A14" s="306" t="s">
        <v>386</v>
      </c>
      <c r="E14" s="306"/>
      <c r="F14" s="312" t="s">
        <v>81</v>
      </c>
      <c r="G14" s="328">
        <v>1.5</v>
      </c>
      <c r="L14" s="306" t="s">
        <v>387</v>
      </c>
    </row>
    <row r="15" spans="1:13" ht="20.100000000000001" customHeight="1">
      <c r="E15" s="306"/>
      <c r="F15" s="313" t="s">
        <v>81</v>
      </c>
      <c r="G15" s="326">
        <f>G14*G13</f>
        <v>2.0434511839023473</v>
      </c>
      <c r="H15" s="306" t="s">
        <v>10</v>
      </c>
      <c r="I15" s="309"/>
      <c r="L15" s="306" t="s">
        <v>388</v>
      </c>
      <c r="M15" s="306" t="s">
        <v>389</v>
      </c>
    </row>
    <row r="16" spans="1:13" ht="20.100000000000001" customHeight="1">
      <c r="A16" s="306" t="s">
        <v>390</v>
      </c>
      <c r="E16" s="306"/>
      <c r="F16" s="307" t="s">
        <v>81</v>
      </c>
      <c r="G16" s="326">
        <f>G8</f>
        <v>3.67</v>
      </c>
      <c r="H16" s="312" t="s">
        <v>0</v>
      </c>
      <c r="I16" s="309">
        <f>G15</f>
        <v>2.0434511839023473</v>
      </c>
    </row>
    <row r="17" spans="1:9" ht="20.100000000000001" customHeight="1">
      <c r="B17" s="314"/>
      <c r="E17" s="306"/>
      <c r="F17" s="313" t="s">
        <v>81</v>
      </c>
      <c r="G17" s="326">
        <f>G16-I16</f>
        <v>1.6265488160976527</v>
      </c>
      <c r="H17" s="306" t="s">
        <v>10</v>
      </c>
    </row>
    <row r="18" spans="1:9" ht="10.5" customHeight="1">
      <c r="B18" s="314"/>
      <c r="E18" s="306"/>
      <c r="F18" s="313"/>
      <c r="G18" s="326"/>
    </row>
    <row r="19" spans="1:9" ht="20.100000000000001" customHeight="1">
      <c r="A19" s="306" t="s">
        <v>393</v>
      </c>
      <c r="E19" s="306"/>
      <c r="F19" s="307" t="s">
        <v>81</v>
      </c>
      <c r="G19" s="326">
        <v>1.5</v>
      </c>
      <c r="H19" s="306" t="s">
        <v>394</v>
      </c>
      <c r="I19" s="315"/>
    </row>
    <row r="20" spans="1:9" ht="12" customHeight="1"/>
  </sheetData>
  <mergeCells count="1">
    <mergeCell ref="A1:I1"/>
  </mergeCells>
  <printOptions horizontalCentered="1"/>
  <pageMargins left="1.25" right="0" top="1" bottom="1" header="0" footer="0"/>
  <pageSetup paperSize="9" scale="99"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Cov</vt:lpstr>
      <vt:lpstr>check slip</vt:lpstr>
      <vt:lpstr>REPORT </vt:lpstr>
      <vt:lpstr>Gen abs</vt:lpstr>
      <vt:lpstr>SC Detailed</vt:lpstr>
      <vt:lpstr>DATA FULL</vt:lpstr>
      <vt:lpstr>Lead </vt:lpstr>
      <vt:lpstr>seinorage</vt:lpstr>
      <vt:lpstr>Scor Depth</vt:lpstr>
      <vt:lpstr>Abutment Design</vt:lpstr>
      <vt:lpstr>DWG</vt:lpstr>
      <vt:lpstr>Morth Spec</vt:lpstr>
      <vt:lpstr>'Abutment Design'!Print_Area</vt:lpstr>
      <vt:lpstr>'check slip'!Print_Area</vt:lpstr>
      <vt:lpstr>Cov!Print_Area</vt:lpstr>
      <vt:lpstr>'DATA FULL'!Print_Area</vt:lpstr>
      <vt:lpstr>DWG!Print_Area</vt:lpstr>
      <vt:lpstr>'Gen abs'!Print_Area</vt:lpstr>
      <vt:lpstr>'Lead '!Print_Area</vt:lpstr>
      <vt:lpstr>'Morth Spec'!Print_Area</vt:lpstr>
      <vt:lpstr>'REPORT '!Print_Area</vt:lpstr>
      <vt:lpstr>'SC Detailed'!Print_Area</vt:lpstr>
      <vt:lpstr>'Scor Depth'!Print_Area</vt:lpstr>
      <vt:lpstr>seinorage!Print_Area</vt:lpstr>
      <vt:lpstr>'Gen abs'!Print_Titles</vt:lpstr>
      <vt:lpstr>'SC Detailed'!Print_Titles</vt:lpstr>
    </vt:vector>
  </TitlesOfParts>
  <Company>cgg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cgg</dc:creator>
  <cp:lastModifiedBy>LENOVO</cp:lastModifiedBy>
  <cp:lastPrinted>2024-02-14T17:15:36Z</cp:lastPrinted>
  <dcterms:created xsi:type="dcterms:W3CDTF">2004-07-07T09:09:42Z</dcterms:created>
  <dcterms:modified xsi:type="dcterms:W3CDTF">2024-02-19T07:50:09Z</dcterms:modified>
</cp:coreProperties>
</file>