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19305" windowHeight="6855"/>
  </bookViews>
  <sheets>
    <sheet name="Discharge in Cumecs" sheetId="1" r:id="rId1"/>
    <sheet name="Discharge in Cusecs" sheetId="2" r:id="rId2"/>
  </sheets>
  <definedNames>
    <definedName name="_xlnm.Print_Area" localSheetId="1">'Discharge in Cusecs'!$A$1:$K$40</definedName>
  </definedNames>
  <calcPr calcId="124519"/>
</workbook>
</file>

<file path=xl/calcChain.xml><?xml version="1.0" encoding="utf-8"?>
<calcChain xmlns="http://schemas.openxmlformats.org/spreadsheetml/2006/main">
  <c r="C8" i="1"/>
  <c r="C7"/>
  <c r="C6"/>
  <c r="C4"/>
  <c r="C5" s="1"/>
  <c r="J37" i="2"/>
  <c r="F37"/>
  <c r="R36"/>
  <c r="R37" s="1"/>
  <c r="S37" s="1"/>
  <c r="J36"/>
  <c r="J39" s="1"/>
  <c r="I36"/>
  <c r="I37" s="1"/>
  <c r="H36"/>
  <c r="H37" s="1"/>
  <c r="G36"/>
  <c r="G39" s="1"/>
  <c r="F36"/>
  <c r="F39" s="1"/>
  <c r="E36"/>
  <c r="E37" s="1"/>
  <c r="D36"/>
  <c r="D37" s="1"/>
  <c r="C36"/>
  <c r="C39" s="1"/>
  <c r="R34"/>
  <c r="R35" s="1"/>
  <c r="S35" s="1"/>
  <c r="R32"/>
  <c r="J32"/>
  <c r="I32"/>
  <c r="H32"/>
  <c r="G32"/>
  <c r="F32"/>
  <c r="E32"/>
  <c r="D32"/>
  <c r="C32"/>
  <c r="T31"/>
  <c r="J31"/>
  <c r="I31"/>
  <c r="H31"/>
  <c r="G31"/>
  <c r="F31"/>
  <c r="E31"/>
  <c r="D31"/>
  <c r="C31"/>
  <c r="J30"/>
  <c r="I30"/>
  <c r="H30"/>
  <c r="G30"/>
  <c r="F30"/>
  <c r="E30"/>
  <c r="D30"/>
  <c r="C30"/>
  <c r="R28"/>
  <c r="T28" s="1"/>
  <c r="C9" i="1" l="1"/>
  <c r="C13"/>
  <c r="C14" s="1"/>
  <c r="E38" i="2"/>
  <c r="C37"/>
  <c r="I39"/>
  <c r="E39"/>
  <c r="G37"/>
  <c r="I38"/>
  <c r="D38"/>
  <c r="H38"/>
  <c r="D39"/>
  <c r="H39"/>
  <c r="C38"/>
  <c r="G38"/>
  <c r="F38"/>
  <c r="J38"/>
  <c r="C15" i="1" l="1"/>
  <c r="C17" s="1"/>
  <c r="C18" s="1"/>
  <c r="C19" l="1"/>
  <c r="C16"/>
</calcChain>
</file>

<file path=xl/sharedStrings.xml><?xml version="1.0" encoding="utf-8"?>
<sst xmlns="http://schemas.openxmlformats.org/spreadsheetml/2006/main" count="84" uniqueCount="62">
  <si>
    <t>INPUT DATA</t>
  </si>
  <si>
    <t>Water Density (kg/m3)</t>
  </si>
  <si>
    <t>Acceleration due to Gravity (m/s2)</t>
  </si>
  <si>
    <t>CALCULATIONS</t>
  </si>
  <si>
    <t>Friction Loss (m): Not Considered</t>
  </si>
  <si>
    <t>Motor Power (HP):</t>
  </si>
  <si>
    <t>Motor Power (kW) : 
(1HP = 0.746 KW)</t>
  </si>
  <si>
    <t>Sl.No</t>
  </si>
  <si>
    <t>Discharge (L/s):
1 Cum = 1000 Litres</t>
  </si>
  <si>
    <t>Overall Efficiency: 
(Efficiency considered @ 70% typical  for centrifugal pumps)</t>
  </si>
  <si>
    <t>( Reference: IS 9137 / IS 5120 )</t>
  </si>
  <si>
    <t>Total Dynamic Head TDH (m): 
Sl.No (4+5)</t>
  </si>
  <si>
    <t>Hydraulic Power (W):
1 KW = 1000 Watts</t>
  </si>
  <si>
    <t>Static Head (m): 
(Suction Level to Delivery Level)</t>
  </si>
  <si>
    <t>Discharge (L/min):
Sl.No 12 x 60</t>
  </si>
  <si>
    <t>Discharge (m3/h):
Sl.No 11  x 60 x 60</t>
  </si>
  <si>
    <t>Discharge Q (m3/s): [Q=Ph/(ρgH)]
Q=(P x efficency) /(density x gravity x head)
Sl.No 10 / (7 x 8 x 6)</t>
  </si>
  <si>
    <t>Hydraulic Power (kW)
Sl.No 2 x 3</t>
  </si>
  <si>
    <t>DJ</t>
  </si>
  <si>
    <t>HORIZONTAL CENTRIFUGAL PUMPS</t>
  </si>
  <si>
    <t>H.P. CALUCULATIONS</t>
  </si>
  <si>
    <t>HP=</t>
  </si>
  <si>
    <t xml:space="preserve"> (62.45 * Q * H)/(550 * n)</t>
  </si>
  <si>
    <t>Where Q=</t>
  </si>
  <si>
    <t>Discharge of each pump in cusecs</t>
  </si>
  <si>
    <t>H=</t>
  </si>
  <si>
    <t>Total pumping head in feet</t>
  </si>
  <si>
    <t>n=</t>
  </si>
  <si>
    <t>Overall efficiencyof the pump as per table</t>
  </si>
  <si>
    <t>Efficiency of pump</t>
  </si>
  <si>
    <t>HP</t>
  </si>
  <si>
    <t>% ge</t>
  </si>
  <si>
    <t>to</t>
  </si>
  <si>
    <t>above</t>
  </si>
  <si>
    <t>Cushioning</t>
  </si>
  <si>
    <t>up to</t>
  </si>
  <si>
    <t>Q=</t>
  </si>
  <si>
    <t>(HP * 550 * n)/(62.45 * H)</t>
  </si>
  <si>
    <t>DISCHARGES</t>
  </si>
  <si>
    <t>1cft</t>
  </si>
  <si>
    <t>cum</t>
  </si>
  <si>
    <t>litres</t>
  </si>
  <si>
    <t>Head</t>
  </si>
  <si>
    <t>1cusec/day=</t>
  </si>
  <si>
    <t>mcft</t>
  </si>
  <si>
    <t>Mlitres</t>
  </si>
  <si>
    <t>((HP * 550 * n)/(62.45 * H)/(100%+CUSHION %GE))</t>
  </si>
  <si>
    <t>WITH CUSHION</t>
  </si>
  <si>
    <t>1000 Mlitrre</t>
  </si>
  <si>
    <t>days</t>
  </si>
  <si>
    <t>daily 40 Mlitre</t>
  </si>
  <si>
    <t>cusecs</t>
  </si>
  <si>
    <t>Discharge Q (Cusec): Sl.No 11 x 35.315</t>
  </si>
  <si>
    <t>IS STANDARD CENTRIFUGAL PUMP DISCHARGE CALCULATION SHEET</t>
  </si>
  <si>
    <t>INPUT DATA HERE</t>
  </si>
  <si>
    <t xml:space="preserve">Static Head in meters: </t>
  </si>
  <si>
    <t>Friction Loss in meters:</t>
  </si>
  <si>
    <t>Motor Power IN HP :
(i.e 2/5/7.5/10/15/20/40/100 etc)</t>
  </si>
  <si>
    <t>Overall Efficiency: 
(i.e: 60/65/70/75/80/90/100)</t>
  </si>
  <si>
    <t>%</t>
  </si>
  <si>
    <t>Meters</t>
  </si>
  <si>
    <t xml:space="preserve"> </t>
  </si>
</sst>
</file>

<file path=xl/styles.xml><?xml version="1.0" encoding="utf-8"?>
<styleSheet xmlns="http://schemas.openxmlformats.org/spreadsheetml/2006/main">
  <numFmts count="1">
    <numFmt numFmtId="164" formatCode="0.0000"/>
  </numFmts>
  <fonts count="8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46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1" xfId="0" applyBorder="1" applyAlignment="1" applyProtection="1">
      <alignment vertical="center"/>
    </xf>
    <xf numFmtId="0" fontId="0" fillId="0" borderId="1" xfId="0" applyBorder="1" applyAlignment="1" applyProtection="1">
      <alignment vertical="center" wrapText="1"/>
    </xf>
    <xf numFmtId="0" fontId="1" fillId="0" borderId="1" xfId="0" applyFont="1" applyBorder="1" applyAlignment="1" applyProtection="1">
      <alignment vertical="center"/>
    </xf>
    <xf numFmtId="0" fontId="2" fillId="0" borderId="1" xfId="0" applyFont="1" applyBorder="1" applyAlignment="1" applyProtection="1">
      <alignment horizontal="center"/>
    </xf>
    <xf numFmtId="0" fontId="0" fillId="0" borderId="1" xfId="0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9" fontId="0" fillId="0" borderId="0" xfId="0" applyNumberFormat="1"/>
    <xf numFmtId="0" fontId="3" fillId="0" borderId="0" xfId="0" applyFont="1" applyAlignment="1">
      <alignment horizontal="right"/>
    </xf>
    <xf numFmtId="0" fontId="4" fillId="0" borderId="2" xfId="0" applyFont="1" applyBorder="1" applyAlignment="1">
      <alignment horizontal="center"/>
    </xf>
    <xf numFmtId="0" fontId="6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0" fontId="4" fillId="0" borderId="1" xfId="0" applyFont="1" applyBorder="1"/>
    <xf numFmtId="2" fontId="4" fillId="0" borderId="1" xfId="0" applyNumberFormat="1" applyFont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6" fillId="0" borderId="1" xfId="0" applyNumberFormat="1" applyFont="1" applyFill="1" applyBorder="1" applyAlignment="1">
      <alignment horizontal="center"/>
    </xf>
    <xf numFmtId="2" fontId="4" fillId="0" borderId="1" xfId="0" applyNumberFormat="1" applyFont="1" applyFill="1" applyBorder="1" applyAlignment="1">
      <alignment horizontal="center"/>
    </xf>
    <xf numFmtId="2" fontId="0" fillId="0" borderId="1" xfId="0" applyNumberFormat="1" applyFill="1" applyBorder="1" applyAlignment="1">
      <alignment horizontal="center"/>
    </xf>
    <xf numFmtId="0" fontId="0" fillId="0" borderId="0" xfId="0" applyFill="1"/>
    <xf numFmtId="1" fontId="0" fillId="0" borderId="0" xfId="0" applyNumberFormat="1"/>
    <xf numFmtId="0" fontId="7" fillId="0" borderId="1" xfId="0" applyFont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vertical="center"/>
    </xf>
    <xf numFmtId="0" fontId="0" fillId="0" borderId="1" xfId="0" applyFill="1" applyBorder="1" applyAlignment="1" applyProtection="1">
      <alignment vertical="center"/>
    </xf>
    <xf numFmtId="2" fontId="0" fillId="0" borderId="1" xfId="0" applyNumberFormat="1" applyFill="1" applyBorder="1" applyAlignment="1" applyProtection="1">
      <alignment vertical="center"/>
    </xf>
    <xf numFmtId="0" fontId="0" fillId="3" borderId="1" xfId="0" applyFill="1" applyBorder="1" applyProtection="1">
      <protection locked="0"/>
    </xf>
    <xf numFmtId="0" fontId="0" fillId="4" borderId="1" xfId="0" applyFill="1" applyBorder="1" applyAlignment="1" applyProtection="1">
      <alignment vertical="center" wrapText="1"/>
    </xf>
    <xf numFmtId="164" fontId="2" fillId="4" borderId="1" xfId="0" applyNumberFormat="1" applyFont="1" applyFill="1" applyBorder="1" applyAlignment="1" applyProtection="1">
      <alignment vertical="center"/>
    </xf>
    <xf numFmtId="2" fontId="2" fillId="4" borderId="1" xfId="0" applyNumberFormat="1" applyFont="1" applyFill="1" applyBorder="1" applyAlignment="1" applyProtection="1">
      <alignment vertical="center"/>
    </xf>
    <xf numFmtId="0" fontId="0" fillId="0" borderId="0" xfId="0" applyProtection="1"/>
    <xf numFmtId="0" fontId="0" fillId="0" borderId="1" xfId="0" applyBorder="1" applyAlignment="1" applyProtection="1">
      <alignment wrapText="1"/>
    </xf>
    <xf numFmtId="0" fontId="0" fillId="0" borderId="1" xfId="0" applyBorder="1" applyProtection="1"/>
    <xf numFmtId="0" fontId="2" fillId="3" borderId="1" xfId="0" applyFont="1" applyFill="1" applyBorder="1" applyAlignment="1" applyProtection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9"/>
  <sheetViews>
    <sheetView tabSelected="1" zoomScale="73" zoomScaleNormal="73" workbookViewId="0">
      <selection activeCell="H8" sqref="H8"/>
    </sheetView>
  </sheetViews>
  <sheetFormatPr defaultColWidth="0" defaultRowHeight="15"/>
  <cols>
    <col min="1" max="1" width="5.85546875" style="2" bestFit="1" customWidth="1"/>
    <col min="2" max="2" width="60.7109375" style="1" customWidth="1"/>
    <col min="3" max="3" width="11.140625" style="1" bestFit="1" customWidth="1"/>
    <col min="4" max="4" width="9.140625" style="1" customWidth="1"/>
    <col min="5" max="6" width="9.140625" style="42" customWidth="1"/>
    <col min="7" max="7" width="31.5703125" style="1" customWidth="1"/>
    <col min="8" max="8" width="9.28515625" style="1" bestFit="1" customWidth="1"/>
    <col min="9" max="9" width="7.7109375" style="1" bestFit="1" customWidth="1"/>
    <col min="10" max="10" width="9.140625" style="1" customWidth="1"/>
    <col min="11" max="14" width="0" style="1" hidden="1"/>
    <col min="15" max="16384" width="9.140625" style="1" hidden="1"/>
  </cols>
  <sheetData>
    <row r="1" spans="1:14">
      <c r="A1" s="34" t="s">
        <v>53</v>
      </c>
      <c r="B1" s="8"/>
      <c r="C1" s="8"/>
      <c r="D1" s="42" t="s">
        <v>18</v>
      </c>
    </row>
    <row r="2" spans="1:14">
      <c r="A2" s="9" t="s">
        <v>10</v>
      </c>
      <c r="B2" s="9"/>
      <c r="C2" s="9"/>
      <c r="D2" s="42"/>
    </row>
    <row r="3" spans="1:14">
      <c r="A3" s="6" t="s">
        <v>7</v>
      </c>
      <c r="B3" s="8" t="s">
        <v>0</v>
      </c>
      <c r="C3" s="8"/>
      <c r="D3" s="42"/>
    </row>
    <row r="4" spans="1:14">
      <c r="A4" s="7">
        <v>1</v>
      </c>
      <c r="B4" s="3" t="s">
        <v>5</v>
      </c>
      <c r="C4" s="35">
        <f>+H5</f>
        <v>7.5</v>
      </c>
      <c r="D4" s="42"/>
      <c r="G4" s="45" t="s">
        <v>54</v>
      </c>
      <c r="H4" s="45"/>
      <c r="I4" s="45"/>
    </row>
    <row r="5" spans="1:14" ht="30" customHeight="1">
      <c r="A5" s="7">
        <v>2</v>
      </c>
      <c r="B5" s="4" t="s">
        <v>6</v>
      </c>
      <c r="C5" s="36">
        <f>C4*0.746</f>
        <v>5.5949999999999998</v>
      </c>
      <c r="D5" s="42"/>
      <c r="G5" s="43" t="s">
        <v>57</v>
      </c>
      <c r="H5" s="38">
        <v>7.5</v>
      </c>
      <c r="I5" s="44" t="s">
        <v>30</v>
      </c>
    </row>
    <row r="6" spans="1:14" ht="30">
      <c r="A6" s="7">
        <v>3</v>
      </c>
      <c r="B6" s="4" t="s">
        <v>9</v>
      </c>
      <c r="C6" s="37">
        <f>+H6/100</f>
        <v>0.6</v>
      </c>
      <c r="D6" s="42"/>
      <c r="G6" s="43" t="s">
        <v>58</v>
      </c>
      <c r="H6" s="38">
        <v>60</v>
      </c>
      <c r="I6" s="44" t="s">
        <v>59</v>
      </c>
    </row>
    <row r="7" spans="1:14" ht="30">
      <c r="A7" s="7">
        <v>4</v>
      </c>
      <c r="B7" s="4" t="s">
        <v>13</v>
      </c>
      <c r="C7" s="35">
        <f>+H7</f>
        <v>3.048</v>
      </c>
      <c r="D7" s="42"/>
      <c r="G7" s="44" t="s">
        <v>55</v>
      </c>
      <c r="H7" s="38">
        <v>3.048</v>
      </c>
      <c r="I7" s="44" t="s">
        <v>60</v>
      </c>
    </row>
    <row r="8" spans="1:14" ht="30" customHeight="1">
      <c r="A8" s="7">
        <v>5</v>
      </c>
      <c r="B8" s="4" t="s">
        <v>4</v>
      </c>
      <c r="C8" s="35">
        <f>+H8</f>
        <v>0</v>
      </c>
      <c r="D8" s="42"/>
      <c r="G8" s="44" t="s">
        <v>56</v>
      </c>
      <c r="H8" s="38">
        <v>0</v>
      </c>
      <c r="I8" s="44" t="s">
        <v>60</v>
      </c>
    </row>
    <row r="9" spans="1:14" ht="30">
      <c r="A9" s="7">
        <v>6</v>
      </c>
      <c r="B9" s="4" t="s">
        <v>11</v>
      </c>
      <c r="C9" s="36">
        <f>C7+C8</f>
        <v>3.048</v>
      </c>
      <c r="D9" s="42"/>
    </row>
    <row r="10" spans="1:14">
      <c r="A10" s="7">
        <v>7</v>
      </c>
      <c r="B10" s="3" t="s">
        <v>1</v>
      </c>
      <c r="C10" s="36">
        <v>1000</v>
      </c>
      <c r="D10" s="42"/>
    </row>
    <row r="11" spans="1:14">
      <c r="A11" s="7">
        <v>8</v>
      </c>
      <c r="B11" s="3" t="s">
        <v>2</v>
      </c>
      <c r="C11" s="36">
        <v>9.81</v>
      </c>
      <c r="D11" s="42"/>
    </row>
    <row r="12" spans="1:14">
      <c r="A12" s="7"/>
      <c r="B12" s="5" t="s">
        <v>3</v>
      </c>
      <c r="C12" s="36"/>
      <c r="D12" s="42"/>
    </row>
    <row r="13" spans="1:14" ht="30">
      <c r="A13" s="7">
        <v>9</v>
      </c>
      <c r="B13" s="4" t="s">
        <v>17</v>
      </c>
      <c r="C13" s="36">
        <f>C5*C6</f>
        <v>3.3569999999999998</v>
      </c>
      <c r="D13" s="42"/>
    </row>
    <row r="14" spans="1:14" ht="30">
      <c r="A14" s="7">
        <v>10</v>
      </c>
      <c r="B14" s="4" t="s">
        <v>12</v>
      </c>
      <c r="C14" s="36">
        <f>C13*1000</f>
        <v>3356.9999999999995</v>
      </c>
      <c r="D14" s="42"/>
      <c r="N14" s="1" t="s">
        <v>61</v>
      </c>
    </row>
    <row r="15" spans="1:14" ht="45">
      <c r="A15" s="7">
        <v>11</v>
      </c>
      <c r="B15" s="39" t="s">
        <v>16</v>
      </c>
      <c r="C15" s="40">
        <f>C14/(C10*C11*C9)</f>
        <v>0.11227094319632062</v>
      </c>
      <c r="D15" s="42"/>
    </row>
    <row r="16" spans="1:14" ht="30" customHeight="1">
      <c r="A16" s="7">
        <v>12</v>
      </c>
      <c r="B16" s="39" t="s">
        <v>52</v>
      </c>
      <c r="C16" s="41">
        <f>+C15*35.315</f>
        <v>3.9648483589780628</v>
      </c>
      <c r="D16" s="42"/>
    </row>
    <row r="17" spans="1:4" ht="30">
      <c r="A17" s="7">
        <v>13</v>
      </c>
      <c r="B17" s="39" t="s">
        <v>8</v>
      </c>
      <c r="C17" s="41">
        <f>C15*1000</f>
        <v>112.27094319632063</v>
      </c>
      <c r="D17" s="42"/>
    </row>
    <row r="18" spans="1:4" ht="30">
      <c r="A18" s="7">
        <v>14</v>
      </c>
      <c r="B18" s="39" t="s">
        <v>14</v>
      </c>
      <c r="C18" s="41">
        <f>C17*60</f>
        <v>6736.2565917792381</v>
      </c>
      <c r="D18" s="42"/>
    </row>
    <row r="19" spans="1:4" ht="30">
      <c r="A19" s="7">
        <v>15</v>
      </c>
      <c r="B19" s="39" t="s">
        <v>15</v>
      </c>
      <c r="C19" s="41">
        <f>C15*3600</f>
        <v>404.17539550675423</v>
      </c>
      <c r="D19" s="42"/>
    </row>
  </sheetData>
  <sheetProtection password="CFE9" sheet="1" objects="1" scenarios="1"/>
  <mergeCells count="4">
    <mergeCell ref="A1:C1"/>
    <mergeCell ref="A2:C2"/>
    <mergeCell ref="B3:C3"/>
    <mergeCell ref="G4:I4"/>
  </mergeCells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9"/>
  <sheetViews>
    <sheetView view="pageBreakPreview" topLeftCell="A9" zoomScale="90" zoomScaleSheetLayoutView="90" workbookViewId="0">
      <selection activeCell="N12" sqref="N12"/>
    </sheetView>
  </sheetViews>
  <sheetFormatPr defaultRowHeight="15"/>
  <cols>
    <col min="1" max="1" width="11" customWidth="1"/>
    <col min="2" max="2" width="14.85546875" customWidth="1"/>
    <col min="3" max="3" width="9.7109375" customWidth="1"/>
    <col min="4" max="4" width="9.28515625" bestFit="1" customWidth="1"/>
    <col min="5" max="5" width="9.5703125" bestFit="1" customWidth="1"/>
    <col min="6" max="6" width="9.42578125" bestFit="1" customWidth="1"/>
    <col min="7" max="9" width="9.28515625" bestFit="1" customWidth="1"/>
    <col min="11" max="11" width="9.5703125" bestFit="1" customWidth="1"/>
    <col min="17" max="21" width="0" hidden="1" customWidth="1"/>
  </cols>
  <sheetData>
    <row r="1" spans="1:8">
      <c r="A1" s="10" t="s">
        <v>19</v>
      </c>
      <c r="B1" s="10"/>
      <c r="C1" s="10"/>
      <c r="D1" s="10"/>
      <c r="E1" s="10"/>
      <c r="F1" s="10"/>
      <c r="G1" s="10"/>
      <c r="H1" s="10"/>
    </row>
    <row r="3" spans="1:8">
      <c r="A3" s="11" t="s">
        <v>20</v>
      </c>
    </row>
    <row r="5" spans="1:8">
      <c r="A5" s="12" t="s">
        <v>21</v>
      </c>
      <c r="B5" s="13" t="s">
        <v>22</v>
      </c>
    </row>
    <row r="7" spans="1:8">
      <c r="A7" s="12" t="s">
        <v>23</v>
      </c>
      <c r="B7" t="s">
        <v>24</v>
      </c>
    </row>
    <row r="8" spans="1:8">
      <c r="A8" s="12" t="s">
        <v>25</v>
      </c>
      <c r="B8" t="s">
        <v>26</v>
      </c>
    </row>
    <row r="9" spans="1:8">
      <c r="A9" s="12" t="s">
        <v>27</v>
      </c>
      <c r="B9" t="s">
        <v>28</v>
      </c>
    </row>
    <row r="10" spans="1:8">
      <c r="C10" s="14" t="s">
        <v>29</v>
      </c>
    </row>
    <row r="11" spans="1:8">
      <c r="C11" s="15" t="s">
        <v>30</v>
      </c>
      <c r="D11" s="15"/>
      <c r="E11" s="15"/>
      <c r="G11" s="12" t="s">
        <v>31</v>
      </c>
    </row>
    <row r="13" spans="1:8">
      <c r="C13">
        <v>2</v>
      </c>
      <c r="D13" s="16" t="s">
        <v>32</v>
      </c>
      <c r="E13" s="17">
        <v>20</v>
      </c>
      <c r="G13" s="18">
        <v>0.6</v>
      </c>
    </row>
    <row r="14" spans="1:8">
      <c r="C14">
        <v>21</v>
      </c>
      <c r="D14" s="16" t="s">
        <v>32</v>
      </c>
      <c r="E14" s="17">
        <v>35</v>
      </c>
      <c r="G14" s="18">
        <v>0.7</v>
      </c>
    </row>
    <row r="15" spans="1:8">
      <c r="C15">
        <v>36</v>
      </c>
      <c r="D15" s="16" t="s">
        <v>32</v>
      </c>
      <c r="E15" s="17">
        <v>75</v>
      </c>
      <c r="G15" s="18">
        <v>0.75</v>
      </c>
    </row>
    <row r="16" spans="1:8">
      <c r="C16">
        <v>76</v>
      </c>
      <c r="D16" s="16" t="s">
        <v>32</v>
      </c>
      <c r="E16" s="17">
        <v>200</v>
      </c>
      <c r="G16" s="18">
        <v>0.78</v>
      </c>
    </row>
    <row r="17" spans="1:21">
      <c r="C17">
        <v>200</v>
      </c>
      <c r="D17" t="s">
        <v>33</v>
      </c>
      <c r="G17" s="18">
        <v>0.8</v>
      </c>
    </row>
    <row r="19" spans="1:21">
      <c r="C19" s="14" t="s">
        <v>34</v>
      </c>
    </row>
    <row r="21" spans="1:21">
      <c r="D21" t="s">
        <v>35</v>
      </c>
      <c r="E21">
        <v>2</v>
      </c>
      <c r="F21" t="s">
        <v>30</v>
      </c>
      <c r="G21" s="18">
        <v>0.5</v>
      </c>
    </row>
    <row r="22" spans="1:21">
      <c r="C22">
        <v>2</v>
      </c>
      <c r="D22" t="s">
        <v>32</v>
      </c>
      <c r="E22">
        <v>5</v>
      </c>
      <c r="F22" t="s">
        <v>30</v>
      </c>
      <c r="G22" s="18">
        <v>0.3</v>
      </c>
    </row>
    <row r="23" spans="1:21">
      <c r="C23">
        <v>5</v>
      </c>
      <c r="D23" t="s">
        <v>32</v>
      </c>
      <c r="E23">
        <v>10</v>
      </c>
      <c r="F23" t="s">
        <v>30</v>
      </c>
      <c r="G23" s="18">
        <v>0.2</v>
      </c>
    </row>
    <row r="24" spans="1:21">
      <c r="C24">
        <v>10</v>
      </c>
      <c r="D24" t="s">
        <v>32</v>
      </c>
      <c r="E24">
        <v>20</v>
      </c>
      <c r="F24" t="s">
        <v>30</v>
      </c>
      <c r="G24" s="18">
        <v>0.15</v>
      </c>
    </row>
    <row r="25" spans="1:21">
      <c r="C25">
        <v>20</v>
      </c>
      <c r="D25" t="s">
        <v>33</v>
      </c>
      <c r="F25" t="s">
        <v>30</v>
      </c>
      <c r="G25" s="18">
        <v>0.1</v>
      </c>
    </row>
    <row r="26" spans="1:21">
      <c r="G26" s="18"/>
    </row>
    <row r="27" spans="1:21">
      <c r="A27" s="19" t="s">
        <v>36</v>
      </c>
      <c r="B27" s="11" t="s">
        <v>37</v>
      </c>
    </row>
    <row r="28" spans="1:21">
      <c r="C28" s="20" t="s">
        <v>38</v>
      </c>
      <c r="D28" s="20"/>
      <c r="E28" s="20"/>
      <c r="F28" s="20"/>
      <c r="G28" s="20"/>
      <c r="H28" s="20"/>
      <c r="Q28" s="21" t="s">
        <v>39</v>
      </c>
      <c r="R28">
        <f>0.3048^3</f>
        <v>2.8316846592000004E-2</v>
      </c>
      <c r="S28" s="21" t="s">
        <v>40</v>
      </c>
      <c r="T28">
        <f>R28*1000</f>
        <v>28.316846592000005</v>
      </c>
      <c r="U28" s="21" t="s">
        <v>41</v>
      </c>
    </row>
    <row r="29" spans="1:21">
      <c r="A29" s="22"/>
      <c r="B29" s="23" t="s">
        <v>30</v>
      </c>
      <c r="C29" s="23">
        <v>2</v>
      </c>
      <c r="D29" s="23">
        <v>5</v>
      </c>
      <c r="E29" s="23">
        <v>7.5</v>
      </c>
      <c r="F29" s="23">
        <v>10</v>
      </c>
      <c r="G29" s="23">
        <v>15</v>
      </c>
      <c r="H29" s="23">
        <v>20</v>
      </c>
      <c r="I29" s="23">
        <v>40</v>
      </c>
      <c r="J29" s="23">
        <v>100</v>
      </c>
    </row>
    <row r="30" spans="1:21">
      <c r="A30" s="22" t="s">
        <v>42</v>
      </c>
      <c r="B30" s="22">
        <v>10</v>
      </c>
      <c r="C30" s="24">
        <f t="shared" ref="C30:H32" si="0">(C$29*550*$G$13)/(62.45*$B30)</f>
        <v>1.0568454763811048</v>
      </c>
      <c r="D30" s="25">
        <f t="shared" si="0"/>
        <v>2.6421136909527623</v>
      </c>
      <c r="E30" s="24">
        <f t="shared" si="0"/>
        <v>3.9631705364291432</v>
      </c>
      <c r="F30" s="24">
        <f t="shared" si="0"/>
        <v>5.2842273819055245</v>
      </c>
      <c r="G30" s="24">
        <f t="shared" si="0"/>
        <v>7.9263410728582864</v>
      </c>
      <c r="H30" s="24">
        <f t="shared" si="0"/>
        <v>10.568454763811049</v>
      </c>
      <c r="I30" s="24">
        <f>(I$29*550*$G$15)/(62.45*$B30)</f>
        <v>26.421136909527622</v>
      </c>
      <c r="J30" s="24">
        <f>(J$29*550*$G$17)/(62.45*$B30)</f>
        <v>70.456365092073653</v>
      </c>
    </row>
    <row r="31" spans="1:21">
      <c r="A31" s="26"/>
      <c r="B31" s="22">
        <v>15</v>
      </c>
      <c r="C31" s="24">
        <f t="shared" si="0"/>
        <v>0.70456365092073658</v>
      </c>
      <c r="D31" s="27">
        <f t="shared" si="0"/>
        <v>1.7614091273018415</v>
      </c>
      <c r="E31" s="28">
        <f t="shared" si="0"/>
        <v>2.6421136909527623</v>
      </c>
      <c r="F31" s="28">
        <f t="shared" si="0"/>
        <v>3.522818254603683</v>
      </c>
      <c r="G31" s="24">
        <f t="shared" si="0"/>
        <v>5.2842273819055245</v>
      </c>
      <c r="H31" s="24">
        <f t="shared" si="0"/>
        <v>7.0456365092073661</v>
      </c>
      <c r="I31" s="28">
        <f>(I$29*550*$G$15)/(62.45*$B31)</f>
        <v>17.614091273018413</v>
      </c>
      <c r="J31" s="29">
        <f>(J$29*550*$G$17)/(62.45*$B31)</f>
        <v>46.97091006138244</v>
      </c>
      <c r="Q31" s="21" t="s">
        <v>43</v>
      </c>
      <c r="R31">
        <v>8.6400000000000005E-2</v>
      </c>
      <c r="S31" s="21" t="s">
        <v>44</v>
      </c>
      <c r="T31">
        <f>R31*28.31685</f>
        <v>2.4465758399999999</v>
      </c>
      <c r="U31" s="21" t="s">
        <v>45</v>
      </c>
    </row>
    <row r="32" spans="1:21">
      <c r="A32" s="26"/>
      <c r="B32" s="22">
        <v>20</v>
      </c>
      <c r="C32" s="24">
        <f t="shared" si="0"/>
        <v>0.52842273819055241</v>
      </c>
      <c r="D32" s="24">
        <f t="shared" si="0"/>
        <v>1.3210568454763811</v>
      </c>
      <c r="E32" s="30">
        <f t="shared" si="0"/>
        <v>1.9815852682145716</v>
      </c>
      <c r="F32" s="30">
        <f t="shared" si="0"/>
        <v>2.6421136909527623</v>
      </c>
      <c r="G32" s="24">
        <f t="shared" si="0"/>
        <v>3.9631705364291432</v>
      </c>
      <c r="H32" s="24">
        <f t="shared" si="0"/>
        <v>5.2842273819055245</v>
      </c>
      <c r="I32" s="31">
        <f>(I$29*550*$G$15)/(62.45*$B32)</f>
        <v>13.210568454763811</v>
      </c>
      <c r="J32" s="30">
        <f>(J$29*550*$G$17)/(62.45*$B32)</f>
        <v>35.228182546036827</v>
      </c>
      <c r="R32">
        <f>R31*1000000/35.315*1000</f>
        <v>2446552.4564632592</v>
      </c>
      <c r="S32" s="21" t="s">
        <v>41</v>
      </c>
    </row>
    <row r="33" spans="1:20">
      <c r="I33" s="32"/>
      <c r="J33" s="32"/>
    </row>
    <row r="34" spans="1:20">
      <c r="A34" s="19" t="s">
        <v>36</v>
      </c>
      <c r="B34" s="11" t="s">
        <v>46</v>
      </c>
      <c r="G34" s="14" t="s">
        <v>47</v>
      </c>
      <c r="I34" s="32"/>
      <c r="J34" s="32"/>
      <c r="Q34" t="s">
        <v>48</v>
      </c>
      <c r="R34">
        <f>1000/1000*35.315</f>
        <v>35.314999999999998</v>
      </c>
      <c r="S34" t="s">
        <v>44</v>
      </c>
    </row>
    <row r="35" spans="1:20">
      <c r="C35" s="20" t="s">
        <v>38</v>
      </c>
      <c r="D35" s="20"/>
      <c r="E35" s="20"/>
      <c r="F35" s="20"/>
      <c r="G35" s="20"/>
      <c r="H35" s="20"/>
      <c r="I35" s="32"/>
      <c r="J35" s="32"/>
      <c r="R35">
        <f>R34/0.0864</f>
        <v>408.73842592592587</v>
      </c>
      <c r="S35" s="33">
        <f>R35/14</f>
        <v>29.195601851851848</v>
      </c>
      <c r="T35" t="s">
        <v>49</v>
      </c>
    </row>
    <row r="36" spans="1:20">
      <c r="A36" s="22"/>
      <c r="B36" s="23" t="s">
        <v>30</v>
      </c>
      <c r="C36" s="23">
        <f>C29</f>
        <v>2</v>
      </c>
      <c r="D36" s="23">
        <f t="shared" ref="D36:J36" si="1">D29</f>
        <v>5</v>
      </c>
      <c r="E36" s="23">
        <f t="shared" si="1"/>
        <v>7.5</v>
      </c>
      <c r="F36" s="23">
        <f t="shared" si="1"/>
        <v>10</v>
      </c>
      <c r="G36" s="23">
        <f t="shared" si="1"/>
        <v>15</v>
      </c>
      <c r="H36" s="23">
        <f t="shared" si="1"/>
        <v>20</v>
      </c>
      <c r="I36" s="23">
        <f t="shared" si="1"/>
        <v>40</v>
      </c>
      <c r="J36" s="23">
        <f t="shared" si="1"/>
        <v>100</v>
      </c>
      <c r="Q36" t="s">
        <v>50</v>
      </c>
      <c r="R36">
        <f>40/1000*35.315</f>
        <v>1.4125999999999999</v>
      </c>
      <c r="S36" t="s">
        <v>44</v>
      </c>
    </row>
    <row r="37" spans="1:20">
      <c r="A37" s="22" t="s">
        <v>42</v>
      </c>
      <c r="B37" s="22">
        <v>10</v>
      </c>
      <c r="C37" s="24">
        <f>((C$36*550*$G$13)/(62.45*$B37))/(100%+G$21)</f>
        <v>0.70456365092073658</v>
      </c>
      <c r="D37" s="24">
        <f>((D$36*550*$G$13)/(62.45*$B37))/(100%+G$22)</f>
        <v>2.0323951468867403</v>
      </c>
      <c r="E37" s="24">
        <f>((E$36*550*$G$13)/(62.45*$B37))/(100%+G$23)</f>
        <v>3.3026421136909527</v>
      </c>
      <c r="F37" s="24">
        <f>((F$36*550*$G$13)/(62.45*$B37))/(100%+G$23)</f>
        <v>4.4035228182546042</v>
      </c>
      <c r="G37" s="24">
        <f>((G$36*550*$G$13)/(62.45*$B37))/(100%+G$24)</f>
        <v>6.8924704981376408</v>
      </c>
      <c r="H37" s="24">
        <f>((H$36*550*$G$13)/(62.45*$B37))/(100%+G$24)</f>
        <v>9.1899606641835216</v>
      </c>
      <c r="I37" s="31">
        <f>((I$36*550*$G$15)/(62.45*$B37))/(100%+G$25)</f>
        <v>24.019215372297836</v>
      </c>
      <c r="J37" s="31">
        <f>((J$36*550*$G$17)/(62.45*$B37))/(100%+G$25)</f>
        <v>64.05124099279422</v>
      </c>
      <c r="R37">
        <f>R36/0.0864</f>
        <v>16.349537037037035</v>
      </c>
      <c r="S37">
        <f>R37</f>
        <v>16.349537037037035</v>
      </c>
      <c r="T37" t="s">
        <v>51</v>
      </c>
    </row>
    <row r="38" spans="1:20">
      <c r="A38" s="26"/>
      <c r="B38" s="22">
        <v>15</v>
      </c>
      <c r="C38" s="24">
        <f>((C$36*550*$G$13)/(62.45*$B38))/(100%+G$21)</f>
        <v>0.46970910061382437</v>
      </c>
      <c r="D38" s="27">
        <f>((D$36*550*$G$13)/(62.45*$B38))/(100%+G$22)</f>
        <v>1.3549300979244934</v>
      </c>
      <c r="E38" s="28">
        <f>((E$36*550*$G$13)/(62.45*$B38))/(100%+G$23)</f>
        <v>2.2017614091273021</v>
      </c>
      <c r="F38" s="28">
        <f>((F$36*550*$G$13)/(62.45*$B38))/(100%+G$23)</f>
        <v>2.9356818788364025</v>
      </c>
      <c r="G38" s="24">
        <f>((G$36*550*$G$13)/(62.45*$B38))/(100%+G$24)</f>
        <v>4.5949803320917608</v>
      </c>
      <c r="H38" s="24">
        <f>((H$36*550*$G$13)/(62.45*$B38))/(100%+G$24)</f>
        <v>6.1266404427890144</v>
      </c>
      <c r="I38" s="28">
        <f>((I$36*550*$G$15)/(62.45*$B38))/(100%+G$25)</f>
        <v>16.012810248198555</v>
      </c>
      <c r="J38" s="29">
        <f>((J$36*550*$G$17)/(62.45*$B38))/(100%+G$25)</f>
        <v>42.700827328529485</v>
      </c>
    </row>
    <row r="39" spans="1:20">
      <c r="A39" s="26"/>
      <c r="B39" s="22">
        <v>20</v>
      </c>
      <c r="C39" s="24">
        <f>((C$36*550*$G$13)/(62.45*$B39))/(100%+G$21)</f>
        <v>0.35228182546036829</v>
      </c>
      <c r="D39" s="24">
        <f>((D$36*550*$G$13)/(62.45*$B39))/(100%+G$22)</f>
        <v>1.0161975734433701</v>
      </c>
      <c r="E39" s="30">
        <f>((E$36*550*$G$13)/(62.45*$B39))/(100%+G$23)</f>
        <v>1.6513210568454764</v>
      </c>
      <c r="F39" s="30">
        <f>((F$36*550*$G$13)/(62.45*$B39))/(100%+G$23)</f>
        <v>2.2017614091273021</v>
      </c>
      <c r="G39" s="24">
        <f>((G$36*550*$G$13)/(62.45*$B39))/(100%+G$24)</f>
        <v>3.4462352490688204</v>
      </c>
      <c r="H39" s="24">
        <f>((H$36*550*$G$13)/(62.45*$B39))/(100%+G$24)</f>
        <v>4.5949803320917608</v>
      </c>
      <c r="I39" s="31">
        <f>((I$36*550*$G$15)/(62.45*$B39))/(100%+G$25)</f>
        <v>12.009607686148918</v>
      </c>
      <c r="J39" s="30">
        <f>((J$36*550*$G$17)/(62.45*$B39))/(100%+G$25)</f>
        <v>32.02562049639711</v>
      </c>
    </row>
  </sheetData>
  <sheetProtection password="CFE9" sheet="1" objects="1" scenarios="1"/>
  <mergeCells count="4">
    <mergeCell ref="A1:H1"/>
    <mergeCell ref="C11:E11"/>
    <mergeCell ref="C28:H28"/>
    <mergeCell ref="C35:H35"/>
  </mergeCells>
  <printOptions horizontalCentered="1"/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Discharge in Cumecs</vt:lpstr>
      <vt:lpstr>Discharge in Cusecs</vt:lpstr>
      <vt:lpstr>'Discharge in Cusecs'!Print_Area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Dinesh</cp:lastModifiedBy>
  <dcterms:created xsi:type="dcterms:W3CDTF">2026-07-26T16:00:37Z</dcterms:created>
  <dcterms:modified xsi:type="dcterms:W3CDTF">2026-07-29T06:57:32Z</dcterms:modified>
</cp:coreProperties>
</file>