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rfan Ansari\Downloads\"/>
    </mc:Choice>
  </mc:AlternateContent>
  <bookViews>
    <workbookView xWindow="0" yWindow="0" windowWidth="23040" windowHeight="9072" tabRatio="601" activeTab="3"/>
  </bookViews>
  <sheets>
    <sheet name="Cover Page" sheetId="1" r:id="rId1"/>
    <sheet name="Abt (3)" sheetId="3" r:id="rId2"/>
    <sheet name="C" sheetId="2" r:id="rId3"/>
    <sheet name="(Vertcal) (2)" sheetId="4" r:id="rId4"/>
    <sheet name="Detail (2)" sheetId="5" r:id="rId5"/>
    <sheet name="QTTY" sheetId="6" r:id="rId6"/>
    <sheet name="Excvtn (2)" sheetId="7" r:id="rId7"/>
    <sheet name="Detail &amp; Abs" sheetId="9" r:id="rId8"/>
    <sheet name="Util" sheetId="10" r:id="rId9"/>
    <sheet name="e-w" sheetId="11" r:id="rId10"/>
    <sheet name="B.T." sheetId="12" r:id="rId11"/>
    <sheet name="CUTOFF3" sheetId="13" r:id="rId12"/>
    <sheet name="Turf" sheetId="14" r:id="rId13"/>
    <sheet name="WIDTH" sheetId="15" r:id="rId14"/>
    <sheet name="J.C" sheetId="16" r:id="rId15"/>
    <sheet name="pich" sheetId="17" r:id="rId16"/>
    <sheet name="inclind filter above BT" sheetId="18" r:id="rId17"/>
    <sheet name="inclined Filetr above hearting" sheetId="19" r:id="rId18"/>
    <sheet name="(Extended filter)" sheetId="20" r:id="rId19"/>
    <sheet name="EX, For filter" sheetId="21" r:id="rId20"/>
    <sheet name="Toe Drain Quantity" sheetId="22" r:id="rId21"/>
    <sheet name="Toe Drain Ex" sheetId="23" r:id="rId22"/>
    <sheet name="Grouting" sheetId="24"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s>
  <definedNames>
    <definedName name="\A">#REF!</definedName>
    <definedName name="\b">#REF!</definedName>
    <definedName name="\C">#REF!</definedName>
    <definedName name="\D">#REF!</definedName>
    <definedName name="\E">#REF!</definedName>
    <definedName name="\F">#REF!</definedName>
    <definedName name="\g">#REF!</definedName>
    <definedName name="\i">#REF!</definedName>
    <definedName name="\L">#REF!</definedName>
    <definedName name="\m">#REF!</definedName>
    <definedName name="\o">#REF!</definedName>
    <definedName name="\P">#REF!</definedName>
    <definedName name="\Q">#REF!</definedName>
    <definedName name="\R">#REF!</definedName>
    <definedName name="\S">#REF!</definedName>
    <definedName name="\Z">#REF!</definedName>
    <definedName name="_________________________________________del1">#REF!</definedName>
    <definedName name="________________________________________bmx1">#REF!</definedName>
    <definedName name="_______________________________________bmx1">#REF!</definedName>
    <definedName name="_______________________________________del1">#REF!</definedName>
    <definedName name="______________________________________bmx1">'[1]footing for SP'!$F$97</definedName>
    <definedName name="______________________________________del1">'[2]footing for SP'!#REF!</definedName>
    <definedName name="____________________________________bmx1">'[1]footing for SP'!$F$97</definedName>
    <definedName name="____________________________________del1">'[2]footing for SP'!#REF!</definedName>
    <definedName name="__________________________________bmx1">'[1]footing for SP'!$F$97</definedName>
    <definedName name="__________________________________del1">'[2]footing for SP'!#REF!</definedName>
    <definedName name="_________________________________bmx1">'[1]footing for SP'!$F$97</definedName>
    <definedName name="_________________________________del1">'[2]footing for SP'!#REF!</definedName>
    <definedName name="_________________________________mix1">'[3]Flight-1'!#REF!</definedName>
    <definedName name="_________________________________miy1">'[3]Flight-1'!#REF!</definedName>
    <definedName name="_______________________________bmx1">'[1]footing for SP'!$F$97</definedName>
    <definedName name="_______________________________del1">'[2]footing for SP'!#REF!</definedName>
    <definedName name="_______________________________mix1">'[3]Flight-1'!#REF!</definedName>
    <definedName name="_______________________________miy1">'[3]Flight-1'!#REF!</definedName>
    <definedName name="_______________________________mom1">#REF!</definedName>
    <definedName name="_______________________________mom2">#REF!</definedName>
    <definedName name="______________________________mix1">#REF!</definedName>
    <definedName name="______________________________mix2">#REF!</definedName>
    <definedName name="______________________________miy1">#REF!</definedName>
    <definedName name="______________________________miy2">#REF!</definedName>
    <definedName name="_____________________________bmx1">'[1]footing for SP'!$F$97</definedName>
    <definedName name="_____________________________DEF1">#REF!</definedName>
    <definedName name="_____________________________DEF2">#REF!</definedName>
    <definedName name="_____________________________del1">'[2]footing for SP'!#REF!</definedName>
    <definedName name="_____________________________mix2">#REF!</definedName>
    <definedName name="_____________________________miy2">#REF!</definedName>
    <definedName name="_____________________________mom1">#REF!</definedName>
    <definedName name="_____________________________mom2">#REF!</definedName>
    <definedName name="_____________________________mux1">'[3]Flight-1'!#REF!</definedName>
    <definedName name="_____________________________muy1">'[3]Flight-1'!#REF!</definedName>
    <definedName name="_____________________________SE1">#REF!</definedName>
    <definedName name="_____________________________SET1">#REF!</definedName>
    <definedName name="_____________________________SET2">#REF!</definedName>
    <definedName name="_____________________________SET21">#REF!</definedName>
    <definedName name="____________________________DEF1">#REF!</definedName>
    <definedName name="____________________________DEF2">#REF!</definedName>
    <definedName name="____________________________mix2">#REF!</definedName>
    <definedName name="____________________________miy2">#REF!</definedName>
    <definedName name="____________________________mom1">#REF!</definedName>
    <definedName name="____________________________mom2">#REF!</definedName>
    <definedName name="____________________________SE1">#REF!</definedName>
    <definedName name="____________________________SET1">#REF!</definedName>
    <definedName name="____________________________SET2">#REF!</definedName>
    <definedName name="____________________________SET21">#REF!</definedName>
    <definedName name="___________________________bmx1">#REF!</definedName>
    <definedName name="___________________________DEF1">#REF!</definedName>
    <definedName name="___________________________DEF2">#REF!</definedName>
    <definedName name="___________________________del1">#REF!</definedName>
    <definedName name="___________________________mux1">'[3]Flight-1'!#REF!</definedName>
    <definedName name="___________________________muy1">'[3]Flight-1'!#REF!</definedName>
    <definedName name="___________________________SE1">#REF!</definedName>
    <definedName name="___________________________SET1">#REF!</definedName>
    <definedName name="___________________________SET2">#REF!</definedName>
    <definedName name="___________________________SET21">#REF!</definedName>
    <definedName name="__________________________DEF1">#REF!</definedName>
    <definedName name="__________________________DEF2">#REF!</definedName>
    <definedName name="__________________________mix2">#REF!</definedName>
    <definedName name="__________________________miy2">#REF!</definedName>
    <definedName name="__________________________mux1">#REF!</definedName>
    <definedName name="__________________________muy1">#REF!</definedName>
    <definedName name="__________________________SE1">#REF!</definedName>
    <definedName name="__________________________SET1">#REF!</definedName>
    <definedName name="__________________________SET2">#REF!</definedName>
    <definedName name="__________________________SET21">#REF!</definedName>
    <definedName name="_________________________DEF1">#REF!</definedName>
    <definedName name="_________________________DEF2">#REF!</definedName>
    <definedName name="_________________________mix1">#REF!</definedName>
    <definedName name="_________________________mix2">#REF!</definedName>
    <definedName name="_________________________miy1">#REF!</definedName>
    <definedName name="_________________________miy2">#REF!</definedName>
    <definedName name="_________________________SE1">#REF!</definedName>
    <definedName name="_________________________SET1">#REF!</definedName>
    <definedName name="_________________________SET2">#REF!</definedName>
    <definedName name="_________________________SET21">#REF!</definedName>
    <definedName name="________________________DEF1">#REF!</definedName>
    <definedName name="________________________DEF2">#REF!</definedName>
    <definedName name="________________________mix2">#REF!</definedName>
    <definedName name="________________________miy2">#REF!</definedName>
    <definedName name="________________________mux1">#REF!</definedName>
    <definedName name="________________________muy1">#REF!</definedName>
    <definedName name="________________________SE1">#REF!</definedName>
    <definedName name="________________________SET1">#REF!</definedName>
    <definedName name="________________________SET2">#REF!</definedName>
    <definedName name="________________________SET21">#REF!</definedName>
    <definedName name="_______________________DEF1">#REF!</definedName>
    <definedName name="_______________________DEF2">#REF!</definedName>
    <definedName name="_______________________mix1">#REF!</definedName>
    <definedName name="_______________________mix2">#REF!</definedName>
    <definedName name="_______________________miy1">#REF!</definedName>
    <definedName name="_______________________miy2">#REF!</definedName>
    <definedName name="_______________________mom1">#REF!</definedName>
    <definedName name="_______________________mom2">#REF!</definedName>
    <definedName name="_______________________mux1">#REF!</definedName>
    <definedName name="_______________________muy1">#REF!</definedName>
    <definedName name="_______________________SE1">#REF!</definedName>
    <definedName name="_______________________SET1">#REF!</definedName>
    <definedName name="_______________________SET2">#REF!</definedName>
    <definedName name="_______________________SET21">#REF!</definedName>
    <definedName name="______________________DEF1">#REF!</definedName>
    <definedName name="______________________DEF2">#REF!</definedName>
    <definedName name="______________________mix1">#REF!</definedName>
    <definedName name="______________________mix2">#REF!</definedName>
    <definedName name="______________________miy1">#REF!</definedName>
    <definedName name="______________________miy2">#REF!</definedName>
    <definedName name="______________________mux1">#REF!</definedName>
    <definedName name="______________________muy1">#REF!</definedName>
    <definedName name="______________________SE1">#REF!</definedName>
    <definedName name="______________________SET1">#REF!</definedName>
    <definedName name="______________________SET2">#REF!</definedName>
    <definedName name="______________________SET21">#REF!</definedName>
    <definedName name="______________________tab2">#REF!</definedName>
    <definedName name="______________________TB2">'[4]SPT vs PHI'!$B$2:$C$65</definedName>
    <definedName name="_____________________bmx1">#REF!</definedName>
    <definedName name="_____________________DEF1">#REF!</definedName>
    <definedName name="_____________________DEF2">#REF!</definedName>
    <definedName name="_____________________mix1">#REF!</definedName>
    <definedName name="_____________________mix2">#REF!</definedName>
    <definedName name="_____________________miy1">#REF!</definedName>
    <definedName name="_____________________miy2">#REF!</definedName>
    <definedName name="_____________________mom1">#REF!</definedName>
    <definedName name="_____________________mom2">#REF!</definedName>
    <definedName name="_____________________mux1">#REF!</definedName>
    <definedName name="_____________________muy1">#REF!</definedName>
    <definedName name="_____________________SE1">#REF!</definedName>
    <definedName name="_____________________SET1">#REF!</definedName>
    <definedName name="_____________________SET2">#REF!</definedName>
    <definedName name="_____________________SET21">#REF!</definedName>
    <definedName name="_____________________TB2">'[4]SPT vs PHI'!$B$2:$C$65</definedName>
    <definedName name="____________________bmx1">#REF!</definedName>
    <definedName name="____________________del1">#REF!</definedName>
    <definedName name="____________________mix1">#REF!</definedName>
    <definedName name="____________________miy1">#REF!</definedName>
    <definedName name="____________________mom1">#REF!</definedName>
    <definedName name="____________________mom2">#REF!</definedName>
    <definedName name="____________________mux1">#REF!</definedName>
    <definedName name="____________________muy1">#REF!</definedName>
    <definedName name="____________________tab2">#REF!</definedName>
    <definedName name="____________________TB2">'[4]SPT vs PHI'!$B$2:$C$65</definedName>
    <definedName name="___________________mix1">'[5]Flight-1'!#REF!</definedName>
    <definedName name="___________________miy1">'[5]Flight-1'!#REF!</definedName>
    <definedName name="___________________mom1">#REF!</definedName>
    <definedName name="___________________mom2">#REF!</definedName>
    <definedName name="___________________mux1">'[5]Flight-1'!#REF!</definedName>
    <definedName name="___________________muy1">'[5]Flight-1'!#REF!</definedName>
    <definedName name="___________________TB2">'[4]SPT vs PHI'!$B$2:$C$65</definedName>
    <definedName name="__________________bmx1">'[1]footing for SP'!$F$97</definedName>
    <definedName name="__________________del1">'[2]footing for SP'!#REF!</definedName>
    <definedName name="__________________mom1">#REF!</definedName>
    <definedName name="__________________mom2">#REF!</definedName>
    <definedName name="__________________tab2">#REF!</definedName>
    <definedName name="__________________TB2">'[4]SPT vs PHI'!$B$2:$C$65</definedName>
    <definedName name="__________________TER1">#REF!</definedName>
    <definedName name="__________________TP1">#REF!</definedName>
    <definedName name="_________________bmx1">#REF!</definedName>
    <definedName name="_________________mom1">#REF!</definedName>
    <definedName name="_________________mom2">#REF!</definedName>
    <definedName name="_________________tab2">#REF!</definedName>
    <definedName name="_________________TB2">'[4]SPT vs PHI'!$B$2:$C$65</definedName>
    <definedName name="_________________TER1">#REF!</definedName>
    <definedName name="________________bmx1">'[1]footing for SP'!$F$97</definedName>
    <definedName name="________________DEF1">#REF!</definedName>
    <definedName name="________________DEF2">#REF!</definedName>
    <definedName name="________________del1">'[2]footing for SP'!#REF!</definedName>
    <definedName name="________________mix2">#REF!</definedName>
    <definedName name="________________miy2">#REF!</definedName>
    <definedName name="________________SE1">#REF!</definedName>
    <definedName name="________________SET1">#REF!</definedName>
    <definedName name="________________SET2">#REF!</definedName>
    <definedName name="________________SET21">#REF!</definedName>
    <definedName name="________________tab2">#REF!</definedName>
    <definedName name="________________TB2">'[4]SPT vs PHI'!$B$2:$C$65</definedName>
    <definedName name="________________TER1">#REF!</definedName>
    <definedName name="________________TP1">#REF!</definedName>
    <definedName name="_______________HED1">#REF!</definedName>
    <definedName name="_______________HED2">#REF!</definedName>
    <definedName name="_______________mix1">#REF!</definedName>
    <definedName name="_______________miy1">#REF!</definedName>
    <definedName name="_______________tab2">#REF!</definedName>
    <definedName name="_______________TB2">'[4]SPT vs PHI'!$B$2:$C$65</definedName>
    <definedName name="_______________TER1">#REF!</definedName>
    <definedName name="______________bmx1">'[1]footing for SP'!$F$97</definedName>
    <definedName name="______________DEF1">#REF!</definedName>
    <definedName name="______________DEF2">#REF!</definedName>
    <definedName name="______________del1">'[2]footing for SP'!#REF!</definedName>
    <definedName name="______________HED1">#REF!</definedName>
    <definedName name="______________HED2">#REF!</definedName>
    <definedName name="______________mix1">#REF!</definedName>
    <definedName name="______________mix2">#REF!</definedName>
    <definedName name="______________miy1">#REF!</definedName>
    <definedName name="______________miy2">#REF!</definedName>
    <definedName name="______________mom1">#REF!</definedName>
    <definedName name="______________mom2">#REF!</definedName>
    <definedName name="______________mux1">#REF!</definedName>
    <definedName name="______________muy1">#REF!</definedName>
    <definedName name="______________SE1">#REF!</definedName>
    <definedName name="______________SET1">#REF!</definedName>
    <definedName name="______________SET2">#REF!</definedName>
    <definedName name="______________SET21">#REF!</definedName>
    <definedName name="______________tab2">#REF!</definedName>
    <definedName name="______________TB2">'[4]SPT vs PHI'!$B$2:$C$65</definedName>
    <definedName name="______________TER1">#REF!</definedName>
    <definedName name="______________TP1">[6]Design_OLD!#REF!</definedName>
    <definedName name="_____________bmx1">'[7]footing for SP'!$F$97</definedName>
    <definedName name="_____________DEF1">#REF!</definedName>
    <definedName name="_____________DEF2">#REF!</definedName>
    <definedName name="_____________del1">#REF!</definedName>
    <definedName name="_____________HED1">#REF!</definedName>
    <definedName name="_____________HED2">#REF!</definedName>
    <definedName name="_____________mix1">'[8]Flight-1'!#REF!</definedName>
    <definedName name="_____________mix2">#REF!</definedName>
    <definedName name="_____________miy1">'[8]Flight-1'!#REF!</definedName>
    <definedName name="_____________miy2">#REF!</definedName>
    <definedName name="_____________mom1">#REF!</definedName>
    <definedName name="_____________mom2">#REF!</definedName>
    <definedName name="_____________mux1">'[8]Flight-1'!#REF!</definedName>
    <definedName name="_____________muy1">'[8]Flight-1'!#REF!</definedName>
    <definedName name="_____________pd3" hidden="1">{"Daily Survey Report",#N/A,FALSE,"Daily"}</definedName>
    <definedName name="_____________SE1">#REF!</definedName>
    <definedName name="_____________SET1">#REF!</definedName>
    <definedName name="_____________SET2">#REF!</definedName>
    <definedName name="_____________SET21">#REF!</definedName>
    <definedName name="_____________tab2">#REF!</definedName>
    <definedName name="_____________TB2">'[4]SPT vs PHI'!$B$2:$C$65</definedName>
    <definedName name="_____________TER1">#REF!</definedName>
    <definedName name="_____________TP1">#REF!</definedName>
    <definedName name="____________bmx1">'[1]footing for SP'!$F$97</definedName>
    <definedName name="____________CBR2" hidden="1">{"Daily Survey Report",#N/A,FALSE,"Daily"}</definedName>
    <definedName name="____________DEF1">#REF!</definedName>
    <definedName name="____________DEF2">#REF!</definedName>
    <definedName name="____________del1">'[2]footing for SP'!#REF!</definedName>
    <definedName name="____________HED1">#REF!</definedName>
    <definedName name="____________HED2">#REF!</definedName>
    <definedName name="____________mix1">'[5]Flight-1'!#REF!</definedName>
    <definedName name="____________mix2">#REF!</definedName>
    <definedName name="____________miy1">'[5]Flight-1'!#REF!</definedName>
    <definedName name="____________miy2">#REF!</definedName>
    <definedName name="____________mom1">#REF!</definedName>
    <definedName name="____________mom2">#REF!</definedName>
    <definedName name="____________mux1">'[5]Flight-1'!#REF!</definedName>
    <definedName name="____________muy1">'[5]Flight-1'!#REF!</definedName>
    <definedName name="____________pd2" hidden="1">{"Daily Survey Report",#N/A,FALSE,"Daily"}</definedName>
    <definedName name="____________pd3" hidden="1">{"Daily Survey Report",#N/A,FALSE,"Daily"}</definedName>
    <definedName name="____________SE1">#REF!</definedName>
    <definedName name="____________SET1">#REF!</definedName>
    <definedName name="____________SET2">#REF!</definedName>
    <definedName name="____________SET21">#REF!</definedName>
    <definedName name="____________tab2">#REF!</definedName>
    <definedName name="____________TB2">'[4]SPT vs PHI'!$B$2:$C$65</definedName>
    <definedName name="____________TER1">#REF!</definedName>
    <definedName name="____________TP1">#REF!</definedName>
    <definedName name="___________bmx1">'[7]footing for SP'!$F$97</definedName>
    <definedName name="___________CBR2" hidden="1">{"Daily Survey Report",#N/A,FALSE,"Daily"}</definedName>
    <definedName name="___________DEF1">#REF!</definedName>
    <definedName name="___________DEF2">#REF!</definedName>
    <definedName name="___________HED1">#REF!</definedName>
    <definedName name="___________HED2">#REF!</definedName>
    <definedName name="___________mix2">#REF!</definedName>
    <definedName name="___________miy2">#REF!</definedName>
    <definedName name="___________mom1">#REF!</definedName>
    <definedName name="___________mom2">#REF!</definedName>
    <definedName name="___________mux1">#REF!</definedName>
    <definedName name="___________muy1">#REF!</definedName>
    <definedName name="___________pd2" hidden="1">{"Daily Survey Report",#N/A,FALSE,"Daily"}</definedName>
    <definedName name="___________pd3" hidden="1">{"Daily Survey Report",#N/A,FALSE,"Daily"}</definedName>
    <definedName name="___________SE1">#REF!</definedName>
    <definedName name="___________SET1">#REF!</definedName>
    <definedName name="___________SET2">#REF!</definedName>
    <definedName name="___________SET21">#REF!</definedName>
    <definedName name="___________tab2">#REF!</definedName>
    <definedName name="___________TB2">'[4]SPT vs PHI'!$B$2:$C$65</definedName>
    <definedName name="___________TER1">#REF!</definedName>
    <definedName name="___________TP1">#REF!</definedName>
    <definedName name="__________bmx1">'[1]footing for SP'!$F$97</definedName>
    <definedName name="__________CBR2" hidden="1">{"Daily Survey Report",#N/A,FALSE,"Daily"}</definedName>
    <definedName name="__________DEF1">#REF!</definedName>
    <definedName name="__________DEF2">#REF!</definedName>
    <definedName name="__________del1">'[2]footing for SP'!#REF!</definedName>
    <definedName name="__________HED1">#REF!</definedName>
    <definedName name="__________HED2">#REF!</definedName>
    <definedName name="__________mix1">#REF!</definedName>
    <definedName name="__________mix2">#REF!</definedName>
    <definedName name="__________miy1">#REF!</definedName>
    <definedName name="__________miy2">#REF!</definedName>
    <definedName name="__________mux1">#REF!</definedName>
    <definedName name="__________muy1">#REF!</definedName>
    <definedName name="__________pd2" hidden="1">{"Daily Survey Report",#N/A,FALSE,"Daily"}</definedName>
    <definedName name="__________SE1">#REF!</definedName>
    <definedName name="__________SET1">#REF!</definedName>
    <definedName name="__________SET2">#REF!</definedName>
    <definedName name="__________SET21">#REF!</definedName>
    <definedName name="__________tab2">#REF!</definedName>
    <definedName name="__________TB2">'[4]SPT vs PHI'!$B$2:$C$65</definedName>
    <definedName name="__________TER1">#REF!</definedName>
    <definedName name="__________TP1">[9]Design_OLD!#REF!</definedName>
    <definedName name="_________bmx1">'[7]footing for SP'!$F$97</definedName>
    <definedName name="_________CSL1">#REF!</definedName>
    <definedName name="_________DEF1">#REF!</definedName>
    <definedName name="_________DEF2">#REF!</definedName>
    <definedName name="_________del1">#REF!</definedName>
    <definedName name="_________ERA1">#REF!</definedName>
    <definedName name="_________ERA10">#REF!</definedName>
    <definedName name="_________ERA11">#REF!</definedName>
    <definedName name="_________ERA2">#REF!</definedName>
    <definedName name="_________ERA3">#REF!</definedName>
    <definedName name="_________ERA5">#REF!</definedName>
    <definedName name="_________ERA6">[10]DATA!#REF!</definedName>
    <definedName name="_________ERA7">[10]DATA!#REF!</definedName>
    <definedName name="_________ERA8">[10]DATA!#REF!</definedName>
    <definedName name="_________ERA9">#REF!</definedName>
    <definedName name="_________HED1">#REF!</definedName>
    <definedName name="_________HED2">#REF!</definedName>
    <definedName name="_________mix1">#REF!</definedName>
    <definedName name="_________mix2">#REF!</definedName>
    <definedName name="_________miy1">#REF!</definedName>
    <definedName name="_________miy2">#REF!</definedName>
    <definedName name="_________mom1">#REF!</definedName>
    <definedName name="_________mom2">#REF!</definedName>
    <definedName name="_________mux1">#REF!</definedName>
    <definedName name="_________muy1">#REF!</definedName>
    <definedName name="_________pd2" hidden="1">{"Daily Survey Report",#N/A,FALSE,"Daily"}</definedName>
    <definedName name="_________pd3" hidden="1">{"Daily Survey Report",#N/A,FALSE,"Daily"}</definedName>
    <definedName name="_________SE1">#REF!</definedName>
    <definedName name="_________SET1">#REF!</definedName>
    <definedName name="_________SET2">#REF!</definedName>
    <definedName name="_________SET21">#REF!</definedName>
    <definedName name="_________tab2">#REF!</definedName>
    <definedName name="_________TB2">'[4]SPT vs PHI'!$B$2:$C$65</definedName>
    <definedName name="_________TER1">#REF!</definedName>
    <definedName name="_________TP1">[6]Design_OLD!#REF!</definedName>
    <definedName name="________aoc1">'[11]01'!$H$43</definedName>
    <definedName name="________aoc11">#REF!</definedName>
    <definedName name="________aoc2">'[11]02'!$H$24</definedName>
    <definedName name="________aoc3">'[11]03'!$H$21</definedName>
    <definedName name="________aoc4">'[11]04'!$H$33</definedName>
    <definedName name="________aoc7">#REF!</definedName>
    <definedName name="________aoc8">#REF!</definedName>
    <definedName name="________aoc9">#REF!</definedName>
    <definedName name="________bmx1">'[1]footing for SP'!$F$97</definedName>
    <definedName name="________CBR2" hidden="1">{"Daily Survey Report",#N/A,FALSE,"Daily"}</definedName>
    <definedName name="________CSL1">#REF!</definedName>
    <definedName name="________DEF1">#REF!</definedName>
    <definedName name="________DEF2">#REF!</definedName>
    <definedName name="________del1">'[2]footing for SP'!#REF!</definedName>
    <definedName name="________ERA4">[12]Below_Earth!$H$12</definedName>
    <definedName name="________HED1">#REF!</definedName>
    <definedName name="________HED2">#REF!</definedName>
    <definedName name="________mix1">#REF!</definedName>
    <definedName name="________mix2">#REF!</definedName>
    <definedName name="________miy1">#REF!</definedName>
    <definedName name="________miy2">#REF!</definedName>
    <definedName name="________mom1">#REF!</definedName>
    <definedName name="________mom2">#REF!</definedName>
    <definedName name="________mux1">#REF!</definedName>
    <definedName name="________muy1">#REF!</definedName>
    <definedName name="________pd2" hidden="1">{"Daily Survey Report",#N/A,FALSE,"Daily"}</definedName>
    <definedName name="________pd3" hidden="1">{"Daily Survey Report",#N/A,FALSE,"Daily"}</definedName>
    <definedName name="________SE1">#REF!</definedName>
    <definedName name="________SET1">#REF!</definedName>
    <definedName name="________SET2">#REF!</definedName>
    <definedName name="________SET21">#REF!</definedName>
    <definedName name="________tab2">#REF!</definedName>
    <definedName name="________TB2">'[4]SPT vs PHI'!$B$2:$C$65</definedName>
    <definedName name="________TER1">#REF!</definedName>
    <definedName name="________TP1">#REF!</definedName>
    <definedName name="_______aoc1">'[11]01'!$H$43</definedName>
    <definedName name="_______aoc10">#N/A</definedName>
    <definedName name="_______aoc11">#REF!</definedName>
    <definedName name="_______aoc2">'[11]02'!$H$24</definedName>
    <definedName name="_______aoc3">'[11]03'!$H$21</definedName>
    <definedName name="_______aoc4">'[11]04'!$H$33</definedName>
    <definedName name="_______aoc7">#REF!</definedName>
    <definedName name="_______aoc8">#REF!</definedName>
    <definedName name="_______aoc9">#REF!</definedName>
    <definedName name="_______bmx1">'[7]footing for SP'!$F$97</definedName>
    <definedName name="_______CBR2" hidden="1">{"Daily Survey Report",#N/A,FALSE,"Daily"}</definedName>
    <definedName name="_______CSL1">#REF!</definedName>
    <definedName name="_______DEF1">#REF!</definedName>
    <definedName name="_______DEF2">#REF!</definedName>
    <definedName name="_______del1">#REF!</definedName>
    <definedName name="_______ERA1">#REF!</definedName>
    <definedName name="_______ERA10">#REF!</definedName>
    <definedName name="_______ERA11">#REF!</definedName>
    <definedName name="_______ERA2">#REF!</definedName>
    <definedName name="_______ERA3">#REF!</definedName>
    <definedName name="_______ERA4">[12]Below_Earth!$H$12</definedName>
    <definedName name="_______ERA5">#REF!</definedName>
    <definedName name="_______ERA6">[10]DATA!#REF!</definedName>
    <definedName name="_______ERA7">[10]DATA!#REF!</definedName>
    <definedName name="_______ERA8">[10]DATA!#REF!</definedName>
    <definedName name="_______ERA9">#REF!</definedName>
    <definedName name="_______HED1">#REF!</definedName>
    <definedName name="_______HED2">#REF!</definedName>
    <definedName name="_______mix1">#REF!</definedName>
    <definedName name="_______mix2">#REF!</definedName>
    <definedName name="_______miy1">#REF!</definedName>
    <definedName name="_______miy2">#REF!</definedName>
    <definedName name="_______mom1">#REF!</definedName>
    <definedName name="_______mom2">#REF!</definedName>
    <definedName name="_______mux1">#REF!</definedName>
    <definedName name="_______muy1">#REF!</definedName>
    <definedName name="_______pd2" hidden="1">{"Daily Survey Report",#N/A,FALSE,"Daily"}</definedName>
    <definedName name="_______pd3" hidden="1">{"Daily Survey Report",#N/A,FALSE,"Daily"}</definedName>
    <definedName name="_______SE1">#REF!</definedName>
    <definedName name="_______SET1">#REF!</definedName>
    <definedName name="_______SET2">#REF!</definedName>
    <definedName name="_______SET21">#REF!</definedName>
    <definedName name="_______tab2">#REF!</definedName>
    <definedName name="_______TB2">'[4]SPT vs PHI'!$B$2:$C$65</definedName>
    <definedName name="_______TER1">#REF!</definedName>
    <definedName name="_______TP1">#REF!</definedName>
    <definedName name="______aoc1">'[11]01'!$H$43</definedName>
    <definedName name="______aoc10">#N/A</definedName>
    <definedName name="______aoc11">#REF!</definedName>
    <definedName name="______aoc2">'[11]02'!$H$24</definedName>
    <definedName name="______aoc3">'[11]03'!$H$21</definedName>
    <definedName name="______aoc4">'[11]04'!$H$33</definedName>
    <definedName name="______aoc7">#REF!</definedName>
    <definedName name="______aoc8">#REF!</definedName>
    <definedName name="______aoc9">#REF!</definedName>
    <definedName name="______bmx1">'[1]footing for SP'!$F$97</definedName>
    <definedName name="______CBR2" hidden="1">{"Daily Survey Report",#N/A,FALSE,"Daily"}</definedName>
    <definedName name="______CSL1">#REF!</definedName>
    <definedName name="______d4">'[13]Design basis-C'!$F$11</definedName>
    <definedName name="______del1">'[2]footing for SP'!#REF!</definedName>
    <definedName name="______doc1">'[13]Design basis-C'!$E$6</definedName>
    <definedName name="______doc4">'[13]Design basis-C'!$E$6</definedName>
    <definedName name="______ERA1">#REF!</definedName>
    <definedName name="______ERA10">#REF!</definedName>
    <definedName name="______ERA11">#REF!</definedName>
    <definedName name="______ERA2">#REF!</definedName>
    <definedName name="______ERA3">#REF!</definedName>
    <definedName name="______ERA4">[14]Below_Earth!$H$12</definedName>
    <definedName name="______ERA5">#REF!</definedName>
    <definedName name="______ERA6">[10]DATA!#REF!</definedName>
    <definedName name="______ERA7">[10]DATA!#REF!</definedName>
    <definedName name="______ERA8">[10]DATA!#REF!</definedName>
    <definedName name="______ERA9">#REF!</definedName>
    <definedName name="______HED1">#REF!</definedName>
    <definedName name="______HED2">#REF!</definedName>
    <definedName name="______mix1">#REF!</definedName>
    <definedName name="______miy1">#REF!</definedName>
    <definedName name="______mom1">#REF!</definedName>
    <definedName name="______mom2">#REF!</definedName>
    <definedName name="______mux1">#REF!</definedName>
    <definedName name="______muy1">#REF!</definedName>
    <definedName name="______p4">'[13]Design basis-C'!$G$8</definedName>
    <definedName name="______pd2" hidden="1">{"Daily Survey Report",#N/A,FALSE,"Daily"}</definedName>
    <definedName name="______pd3" hidden="1">{"Daily Survey Report",#N/A,FALSE,"Daily"}</definedName>
    <definedName name="______tab2">#REF!</definedName>
    <definedName name="______TB2">'[4]SPT vs PHI'!$B$2:$C$65</definedName>
    <definedName name="______TER1">#REF!</definedName>
    <definedName name="______TP1">[15]Design!#REF!</definedName>
    <definedName name="_____3FX1FRUDLFH">#REF!</definedName>
    <definedName name="_____3FX1FRUVLFH">#REF!</definedName>
    <definedName name="_____aoc10">#N/A</definedName>
    <definedName name="_____bmx1">#REF!</definedName>
    <definedName name="_____CBR2" hidden="1">{"Daily Survey Report",#N/A,FALSE,"Daily"}</definedName>
    <definedName name="_____CSL1">#REF!</definedName>
    <definedName name="_____d4">'[13]Design basis-C'!$F$11</definedName>
    <definedName name="_____DEF1">#REF!</definedName>
    <definedName name="_____DEF2">#REF!</definedName>
    <definedName name="_____doc1">'[13]Design basis-C'!$E$6</definedName>
    <definedName name="_____doc4">'[13]Design basis-C'!$E$6</definedName>
    <definedName name="_____ERA1">#REF!</definedName>
    <definedName name="_____ERA10">#REF!</definedName>
    <definedName name="_____ERA11">#REF!</definedName>
    <definedName name="_____ERA2">#REF!</definedName>
    <definedName name="_____ERA3">#REF!</definedName>
    <definedName name="_____ERA4">[14]Below_Earth!$H$12</definedName>
    <definedName name="_____ERA5">#REF!</definedName>
    <definedName name="_____ERA6">[10]DATA!#REF!</definedName>
    <definedName name="_____ERA7">[10]DATA!#REF!</definedName>
    <definedName name="_____ERA8">[10]DATA!#REF!</definedName>
    <definedName name="_____ERA9">#REF!</definedName>
    <definedName name="_____exc1">#REF!</definedName>
    <definedName name="_____exc11">#REF!</definedName>
    <definedName name="_____exc2">#REF!</definedName>
    <definedName name="_____EXC3">#REF!</definedName>
    <definedName name="_____EXC4">#REF!</definedName>
    <definedName name="_____foo1">#REF!</definedName>
    <definedName name="_____foo2">#REF!</definedName>
    <definedName name="_____foo3">#REF!</definedName>
    <definedName name="_____FOO4">#REF!</definedName>
    <definedName name="_____G66000">#REF!</definedName>
    <definedName name="_____HED1">#REF!</definedName>
    <definedName name="_____HED2">#REF!</definedName>
    <definedName name="_____mix1">#REF!</definedName>
    <definedName name="_____mix2">#REF!</definedName>
    <definedName name="_____miy1">#REF!</definedName>
    <definedName name="_____miy2">#REF!</definedName>
    <definedName name="_____mom1">#REF!</definedName>
    <definedName name="_____mom2">#REF!</definedName>
    <definedName name="_____mux1">#REF!</definedName>
    <definedName name="_____muy1">#REF!</definedName>
    <definedName name="_____p4">'[13]Design basis-C'!$G$8</definedName>
    <definedName name="_____pcc1">#REF!</definedName>
    <definedName name="_____pcc2">#REF!</definedName>
    <definedName name="_____pcc3">#REF!</definedName>
    <definedName name="_____PCC4">#REF!</definedName>
    <definedName name="_____pd2" hidden="1">{"Daily Survey Report",#N/A,FALSE,"Daily"}</definedName>
    <definedName name="_____pd3" hidden="1">{"Daily Survey Report",#N/A,FALSE,"Daily"}</definedName>
    <definedName name="_____plb1">#REF!</definedName>
    <definedName name="_____plb2">#REF!</definedName>
    <definedName name="_____plb3">#REF!</definedName>
    <definedName name="_____plb4">#REF!</definedName>
    <definedName name="_____SE1">#REF!</definedName>
    <definedName name="_____SET1">#REF!</definedName>
    <definedName name="_____SET2">#REF!</definedName>
    <definedName name="_____SET21">#REF!</definedName>
    <definedName name="_____tab2">#REF!</definedName>
    <definedName name="_____TB2">'[4]SPT vs PHI'!$B$2:$C$65</definedName>
    <definedName name="_____TER1">#REF!</definedName>
    <definedName name="_____TP1">[15]Design!#REF!</definedName>
    <definedName name="____3FX1FRUDLFH">#REF!</definedName>
    <definedName name="____3FX1FRUVLFH">#REF!</definedName>
    <definedName name="____aoc1">'[11]01'!$H$43</definedName>
    <definedName name="____aoc10">#N/A</definedName>
    <definedName name="____aoc11">#REF!</definedName>
    <definedName name="____aoc2">'[11]02'!$H$24</definedName>
    <definedName name="____aoc3">'[11]03'!$H$21</definedName>
    <definedName name="____aoc4">'[11]04'!$H$33</definedName>
    <definedName name="____aoc7">#REF!</definedName>
    <definedName name="____aoc8">#REF!</definedName>
    <definedName name="____aoc9">#REF!</definedName>
    <definedName name="____bmx1">'[1]footing for SP'!$F$97</definedName>
    <definedName name="____CBR2" hidden="1">{"Daily Survey Report",#N/A,FALSE,"Daily"}</definedName>
    <definedName name="____CSL1">#REF!</definedName>
    <definedName name="____d4">'[13]Design basis-C'!$F$11</definedName>
    <definedName name="____DEF1">#REF!</definedName>
    <definedName name="____DEF2">#REF!</definedName>
    <definedName name="____del1">'[2]footing for SP'!#REF!</definedName>
    <definedName name="____doc1">'[13]Design basis-C'!$E$6</definedName>
    <definedName name="____doc4">'[13]Design basis-C'!$E$6</definedName>
    <definedName name="____ERA1">#REF!</definedName>
    <definedName name="____ERA10">#REF!</definedName>
    <definedName name="____ERA11">#REF!</definedName>
    <definedName name="____ERA2">#REF!</definedName>
    <definedName name="____ERA3">#REF!</definedName>
    <definedName name="____ERA4">[12]Below_Earth!$H$12</definedName>
    <definedName name="____ERA5">#REF!</definedName>
    <definedName name="____ERA6">[10]DATA!#REF!</definedName>
    <definedName name="____ERA7">[10]DATA!#REF!</definedName>
    <definedName name="____ERA8">[10]DATA!#REF!</definedName>
    <definedName name="____ERA9">#REF!</definedName>
    <definedName name="____exc1">#REF!</definedName>
    <definedName name="____exc11">#REF!</definedName>
    <definedName name="____exc2">#REF!</definedName>
    <definedName name="____EXC3">#REF!</definedName>
    <definedName name="____EXC4">#REF!</definedName>
    <definedName name="____foo1">#REF!</definedName>
    <definedName name="____foo2">#REF!</definedName>
    <definedName name="____foo3">#REF!</definedName>
    <definedName name="____FOO4">#REF!</definedName>
    <definedName name="____HED1">#REF!</definedName>
    <definedName name="____HED2">#REF!</definedName>
    <definedName name="____mix1">#REF!</definedName>
    <definedName name="____mix2">#REF!</definedName>
    <definedName name="____miy1">#REF!</definedName>
    <definedName name="____miy2">#REF!</definedName>
    <definedName name="____mom1">#REF!</definedName>
    <definedName name="____mom2">#REF!</definedName>
    <definedName name="____mux1">#REF!</definedName>
    <definedName name="____muy1">#REF!</definedName>
    <definedName name="____p4">'[13]Design basis-C'!$G$8</definedName>
    <definedName name="____pcc1">#REF!</definedName>
    <definedName name="____pcc2">#REF!</definedName>
    <definedName name="____pcc3">#REF!</definedName>
    <definedName name="____PCC4">#REF!</definedName>
    <definedName name="____pd2" hidden="1">{"Daily Survey Report",#N/A,FALSE,"Daily"}</definedName>
    <definedName name="____pd3" hidden="1">{"Daily Survey Report",#N/A,FALSE,"Daily"}</definedName>
    <definedName name="____plb1">#REF!</definedName>
    <definedName name="____plb2">#REF!</definedName>
    <definedName name="____plb3">#REF!</definedName>
    <definedName name="____plb4">#REF!</definedName>
    <definedName name="____SE1">#REF!</definedName>
    <definedName name="____SET1">#REF!</definedName>
    <definedName name="____SET2">#REF!</definedName>
    <definedName name="____SET21">#REF!</definedName>
    <definedName name="____tab2">#REF!</definedName>
    <definedName name="____TB2">'[4]SPT vs PHI'!$B$2:$C$65</definedName>
    <definedName name="____TER1">#REF!</definedName>
    <definedName name="____TP1">[15]Design!#REF!</definedName>
    <definedName name="___3FX1FRUDLFH">#REF!</definedName>
    <definedName name="___3FX1FRUVLFH">#REF!</definedName>
    <definedName name="___aoc1">'[11]01'!$H$43</definedName>
    <definedName name="___aoc10">#N/A</definedName>
    <definedName name="___aoc11">#REF!</definedName>
    <definedName name="___aoc2">'[11]02'!$H$24</definedName>
    <definedName name="___aoc3">'[11]03'!$H$21</definedName>
    <definedName name="___aoc4">'[11]04'!$H$33</definedName>
    <definedName name="___aoc7">#REF!</definedName>
    <definedName name="___aoc8">#REF!</definedName>
    <definedName name="___aoc9">#REF!</definedName>
    <definedName name="___BGT5">#REF!</definedName>
    <definedName name="___bmx1">'[7]footing for SP'!$F$97</definedName>
    <definedName name="___CBR2" hidden="1">{"Daily Survey Report",#N/A,FALSE,"Daily"}</definedName>
    <definedName name="___CSL1">#REF!</definedName>
    <definedName name="___d4">'[13]Design basis-C'!$F$11</definedName>
    <definedName name="___DEF1">#REF!</definedName>
    <definedName name="___DEF2">#REF!</definedName>
    <definedName name="___del1">#REF!</definedName>
    <definedName name="___doc1">'[13]Design basis-C'!$E$6</definedName>
    <definedName name="___doc4">'[13]Design basis-C'!$E$6</definedName>
    <definedName name="___ERA1">#REF!</definedName>
    <definedName name="___ERA10">#REF!</definedName>
    <definedName name="___ERA11">#REF!</definedName>
    <definedName name="___ERA2">#REF!</definedName>
    <definedName name="___ERA3">#REF!</definedName>
    <definedName name="___ERA4">[12]Below_Earth!$H$12</definedName>
    <definedName name="___ERA5">#REF!</definedName>
    <definedName name="___ERA6">[10]DATA!#REF!</definedName>
    <definedName name="___ERA7">[10]DATA!#REF!</definedName>
    <definedName name="___ERA8">[10]DATA!#REF!</definedName>
    <definedName name="___ERA9">#REF!</definedName>
    <definedName name="___exc1">#REF!</definedName>
    <definedName name="___exc11">#REF!</definedName>
    <definedName name="___exc2">#REF!</definedName>
    <definedName name="___EXC3">#REF!</definedName>
    <definedName name="___EXC4">#REF!</definedName>
    <definedName name="___foo1">#REF!</definedName>
    <definedName name="___foo2">#REF!</definedName>
    <definedName name="___foo3">#REF!</definedName>
    <definedName name="___FOO4">#REF!</definedName>
    <definedName name="___G66000">#REF!</definedName>
    <definedName name="___HED1">#REF!</definedName>
    <definedName name="___HED2">#REF!</definedName>
    <definedName name="___mix1">#REF!</definedName>
    <definedName name="___mix2">#REF!</definedName>
    <definedName name="___miy1">#REF!</definedName>
    <definedName name="___miy2">#REF!</definedName>
    <definedName name="___mom1">#REF!</definedName>
    <definedName name="___mom2">#REF!</definedName>
    <definedName name="___mux1">#REF!</definedName>
    <definedName name="___muy1">#REF!</definedName>
    <definedName name="___ns1">#REF!</definedName>
    <definedName name="___p4">'[13]Design basis-C'!$G$8</definedName>
    <definedName name="___pcc1">#REF!</definedName>
    <definedName name="___pcc2">#REF!</definedName>
    <definedName name="___pcc3">#REF!</definedName>
    <definedName name="___PCC4">#REF!</definedName>
    <definedName name="___pd2" hidden="1">{"Daily Survey Report",#N/A,FALSE,"Daily"}</definedName>
    <definedName name="___pd3" hidden="1">{"Daily Survey Report",#N/A,FALSE,"Daily"}</definedName>
    <definedName name="___plb1">#REF!</definedName>
    <definedName name="___plb2">#REF!</definedName>
    <definedName name="___plb3">#REF!</definedName>
    <definedName name="___plb4">#REF!</definedName>
    <definedName name="___rcd4">[16]rcd!#REF!</definedName>
    <definedName name="___ROY10">[16]ROY!#REF!</definedName>
    <definedName name="___ROY11">[16]ROY!#REF!</definedName>
    <definedName name="___ROY12">[16]ROY!#REF!</definedName>
    <definedName name="___ROY3">[16]ROY!#REF!</definedName>
    <definedName name="___ROY4">[16]ROY!#REF!</definedName>
    <definedName name="___ROY5">[16]ROY!#REF!</definedName>
    <definedName name="___ROY6">[16]ROY!#REF!</definedName>
    <definedName name="___ROY8">[16]ROY!#REF!</definedName>
    <definedName name="___ROY9">[16]ROY!#REF!</definedName>
    <definedName name="___SE1">#REF!</definedName>
    <definedName name="___SET1">#REF!</definedName>
    <definedName name="___SET2">#REF!</definedName>
    <definedName name="___SET21">#REF!</definedName>
    <definedName name="___tab2">#REF!</definedName>
    <definedName name="___TB2">'[4]SPT vs PHI'!$B$2:$C$65</definedName>
    <definedName name="___TER1">#REF!</definedName>
    <definedName name="___TP1">[15]Design!#REF!</definedName>
    <definedName name="___zz1">#REF!</definedName>
    <definedName name="__123Graph_A" hidden="1">#REF!</definedName>
    <definedName name="__123Graph_B" hidden="1">#REF!</definedName>
    <definedName name="__123Graph_C" hidden="1">#REF!</definedName>
    <definedName name="__123Graph_X" hidden="1">#REF!</definedName>
    <definedName name="__3FX1FRUDLFH">#REF!</definedName>
    <definedName name="__3FX1FRUVLFH">#REF!</definedName>
    <definedName name="__a1" hidden="1">[17]wide!$A$10:$A$27</definedName>
    <definedName name="__a10">#REF!</definedName>
    <definedName name="__a11" hidden="1">#REF!</definedName>
    <definedName name="__a12" hidden="1">#REF!</definedName>
    <definedName name="__a13" hidden="1">#REF!</definedName>
    <definedName name="__a14">#REF!</definedName>
    <definedName name="__a15">#REF!</definedName>
    <definedName name="__a16">#REF!</definedName>
    <definedName name="__a17">#REF!</definedName>
    <definedName name="__a18">#REF!</definedName>
    <definedName name="__a19">#REF!</definedName>
    <definedName name="__a2">#REF!</definedName>
    <definedName name="__a20">#REF!</definedName>
    <definedName name="__a21">#REF!</definedName>
    <definedName name="__a22">#REF!</definedName>
    <definedName name="__a23">#REF!</definedName>
    <definedName name="__a24">#REF!</definedName>
    <definedName name="__a25">#REF!</definedName>
    <definedName name="__a26">#REF!</definedName>
    <definedName name="__a27">#REF!</definedName>
    <definedName name="__a3">#REF!</definedName>
    <definedName name="__a4">#REF!</definedName>
    <definedName name="__a5">#REF!</definedName>
    <definedName name="__a6">#REF!</definedName>
    <definedName name="__a7">#REF!</definedName>
    <definedName name="__a77">#REF!</definedName>
    <definedName name="__a88">#REF!</definedName>
    <definedName name="__a9">#REF!</definedName>
    <definedName name="__aoc1">'[11]01'!$H$43</definedName>
    <definedName name="__aoc10">#N/A</definedName>
    <definedName name="__aoc11">#REF!</definedName>
    <definedName name="__aoc2">'[11]02'!$H$24</definedName>
    <definedName name="__aoc3">'[11]03'!$H$21</definedName>
    <definedName name="__aoc4">'[11]04'!$H$33</definedName>
    <definedName name="__aoc7">#REF!</definedName>
    <definedName name="__aoc8">#REF!</definedName>
    <definedName name="__aoc9">#REF!</definedName>
    <definedName name="__BGT5">#REF!</definedName>
    <definedName name="__bmx1">#REF!</definedName>
    <definedName name="__cbl1">[18]design!$I$15</definedName>
    <definedName name="__CBR2" hidden="1">{"Daily Survey Report",#N/A,FALSE,"Daily"}</definedName>
    <definedName name="__CSL1">#REF!</definedName>
    <definedName name="__d4">'[13]Design basis-C'!$F$11</definedName>
    <definedName name="__DEF1">#REF!</definedName>
    <definedName name="__DEF2">#REF!</definedName>
    <definedName name="__del1">#REF!</definedName>
    <definedName name="__doc1">'[13]Design basis-C'!$E$6</definedName>
    <definedName name="__doc4">'[13]Design basis-C'!$E$6</definedName>
    <definedName name="__eee2">[19]Sheet4!$G$7</definedName>
    <definedName name="__eee3">[19]Sheet4!$G$8</definedName>
    <definedName name="__ERA1">#REF!</definedName>
    <definedName name="__ERA10">#REF!</definedName>
    <definedName name="__ERA11">#REF!</definedName>
    <definedName name="__ERA2">#REF!</definedName>
    <definedName name="__ERA3">#REF!</definedName>
    <definedName name="__ERA4">[12]Below_Earth!$H$12</definedName>
    <definedName name="__ERA5">#REF!</definedName>
    <definedName name="__ERA6">[10]DATA!#REF!</definedName>
    <definedName name="__ERA7">[10]DATA!#REF!</definedName>
    <definedName name="__ERA8">[10]DATA!#REF!</definedName>
    <definedName name="__ERA9">#REF!</definedName>
    <definedName name="__exc1">#REF!</definedName>
    <definedName name="__exc11">#REF!</definedName>
    <definedName name="__exc2">#REF!</definedName>
    <definedName name="__EXC3">#REF!</definedName>
    <definedName name="__EXC4">#REF!</definedName>
    <definedName name="__foo1">#REF!</definedName>
    <definedName name="__foo2">#REF!</definedName>
    <definedName name="__foo3">#REF!</definedName>
    <definedName name="__FOO4">#REF!</definedName>
    <definedName name="__G66000">#REF!</definedName>
    <definedName name="__HED1">#REF!</definedName>
    <definedName name="__HED2">#REF!</definedName>
    <definedName name="__i1">[20]A!#REF!</definedName>
    <definedName name="__i10" hidden="1">[20]A!$B$35:$B$51</definedName>
    <definedName name="__i11">[20]A!$A$195</definedName>
    <definedName name="__i12">[20]A!$B$836</definedName>
    <definedName name="__i13">[20]A!$B$456</definedName>
    <definedName name="__i14">[20]A!$B$13</definedName>
    <definedName name="__i15">[20]A!$B$1243</definedName>
    <definedName name="__i16">[20]A!$B$137</definedName>
    <definedName name="__i17">[20]A!$B$35</definedName>
    <definedName name="__i18">[20]A!#REF!</definedName>
    <definedName name="__i19">[20]A!$B$997</definedName>
    <definedName name="__i2">[20]A!#REF!</definedName>
    <definedName name="__i20">[20]A!$B$268</definedName>
    <definedName name="__i21">[20]A!$B$388</definedName>
    <definedName name="__i22">[20]A!$B$1128</definedName>
    <definedName name="__i23">[20]A!$A$1067</definedName>
    <definedName name="__i3">[20]A!#REF!</definedName>
    <definedName name="__i4">[20]A!#REF!</definedName>
    <definedName name="__i5">[20]A!#REF!</definedName>
    <definedName name="__i6">[20]A!#REF!</definedName>
    <definedName name="__i7">[20]A!#REF!</definedName>
    <definedName name="__i8">[20]A!#REF!</definedName>
    <definedName name="__i9">[20]A!#REF!</definedName>
    <definedName name="__lll1">#REF!</definedName>
    <definedName name="__lll2">#REF!</definedName>
    <definedName name="__lll3">#REF!</definedName>
    <definedName name="__lll4">#REF!</definedName>
    <definedName name="__mix1">'[2]Flight-1'!#REF!</definedName>
    <definedName name="__mix2">#REF!</definedName>
    <definedName name="__miy1">'[2]Flight-1'!#REF!</definedName>
    <definedName name="__miy2">#REF!</definedName>
    <definedName name="__mom1">#REF!</definedName>
    <definedName name="__mom2">#REF!</definedName>
    <definedName name="__mux1">'[2]Flight-1'!#REF!</definedName>
    <definedName name="__muy1">'[2]Flight-1'!#REF!</definedName>
    <definedName name="__p4">'[13]Design basis-C'!$G$8</definedName>
    <definedName name="__pcc1">#REF!</definedName>
    <definedName name="__pcc2">#REF!</definedName>
    <definedName name="__pcc3">#REF!</definedName>
    <definedName name="__PCC4">#REF!</definedName>
    <definedName name="__pd2" hidden="1">{"Daily Survey Report",#N/A,FALSE,"Daily"}</definedName>
    <definedName name="__pd3" hidden="1">{"Daily Survey Report",#N/A,FALSE,"Daily"}</definedName>
    <definedName name="__plb1">#REF!</definedName>
    <definedName name="__plb2">#REF!</definedName>
    <definedName name="__plb3">#REF!</definedName>
    <definedName name="__plb4">#REF!</definedName>
    <definedName name="__ppp1">[21]Deg_Sluice!$A$45</definedName>
    <definedName name="__ppp2">[21]Deg_Sluice!$A$46</definedName>
    <definedName name="__ppp3">[21]Deg_Sluice!$A$47</definedName>
    <definedName name="__ppp4">[21]Deg_Sluice!$A$48</definedName>
    <definedName name="__rcd4">[16]rcd!#REF!</definedName>
    <definedName name="__ROY10">[16]ROY!#REF!</definedName>
    <definedName name="__ROY11">[16]ROY!#REF!</definedName>
    <definedName name="__ROY12">[16]ROY!#REF!</definedName>
    <definedName name="__ROY3">[16]ROY!#REF!</definedName>
    <definedName name="__ROY4">[16]ROY!#REF!</definedName>
    <definedName name="__ROY5">[16]ROY!#REF!</definedName>
    <definedName name="__ROY6">[16]ROY!#REF!</definedName>
    <definedName name="__ROY8">[16]ROY!#REF!</definedName>
    <definedName name="__ROY9">[16]ROY!#REF!</definedName>
    <definedName name="__SBB1">[16]ROY!#REF!</definedName>
    <definedName name="__sdo2">[19]Sheet4!$D$7</definedName>
    <definedName name="__sdo3">[19]Sheet4!$D$8</definedName>
    <definedName name="__SE1">#REF!</definedName>
    <definedName name="__SET1">#REF!</definedName>
    <definedName name="__SET2">#REF!</definedName>
    <definedName name="__SET21">#REF!</definedName>
    <definedName name="__ST2">#REF!</definedName>
    <definedName name="__st3">#REF!</definedName>
    <definedName name="__st4">#REF!</definedName>
    <definedName name="__st5">#REF!</definedName>
    <definedName name="__st6">#REF!</definedName>
    <definedName name="__tab2">#REF!</definedName>
    <definedName name="__TB2">'[4]SPT vs PHI'!$B$2:$C$65</definedName>
    <definedName name="__TER1">#REF!</definedName>
    <definedName name="__TP1">#REF!</definedName>
    <definedName name="__xlfn.BAHTTEXT" hidden="1">#NAME?</definedName>
    <definedName name="__Z1">[22]B!#REF!</definedName>
    <definedName name="__z2">#REF!</definedName>
    <definedName name="_1">[23]FACE!#REF!</definedName>
    <definedName name="_1__123Graph_AChart_3" hidden="1">#REF!</definedName>
    <definedName name="_1_200">#REF!</definedName>
    <definedName name="_1_3FX1FRUDLFH">#REF!</definedName>
    <definedName name="_1_Daily_Survey">#REF!</definedName>
    <definedName name="_15YEAR">#REF!</definedName>
    <definedName name="_2">'[24]Pier Design(with offset)'!#REF!</definedName>
    <definedName name="_2__123Graph_BChart_3" hidden="1">#REF!</definedName>
    <definedName name="_2_3FX1FRUVLFH">#REF!</definedName>
    <definedName name="_2_WEEKLY_TRAFFIC_SUMMARY">#REF!</definedName>
    <definedName name="_3__123Graph_CChart_3" hidden="1">#REF!</definedName>
    <definedName name="_3_Zoning_Scheme">#REF!</definedName>
    <definedName name="_30YEAR">#REF!</definedName>
    <definedName name="_3FX1FRUDLFH">#REF!</definedName>
    <definedName name="_3FX1FRUVLFH">#REF!</definedName>
    <definedName name="_4__123Graph_XChart_3" hidden="1">#REF!</definedName>
    <definedName name="_4_O_D_Matrix">#REF!</definedName>
    <definedName name="_5_Axle_Load_Analysis">#REF!</definedName>
    <definedName name="_6_Projected_Annual_Average_Daily_Traffic_Based_on_Vehicle_Registration">#REF!</definedName>
    <definedName name="_a1" hidden="1">[17]wide!$A$10:$A$27</definedName>
    <definedName name="_a10">#REF!</definedName>
    <definedName name="_a11" hidden="1">#REF!</definedName>
    <definedName name="_a12" hidden="1">#REF!</definedName>
    <definedName name="_a13" hidden="1">#REF!</definedName>
    <definedName name="_a14">#REF!</definedName>
    <definedName name="_a15">#REF!</definedName>
    <definedName name="_a16">#REF!</definedName>
    <definedName name="_a17">#REF!</definedName>
    <definedName name="_a18">#REF!</definedName>
    <definedName name="_a19">#REF!</definedName>
    <definedName name="_a2">#REF!</definedName>
    <definedName name="_a20">#REF!</definedName>
    <definedName name="_a21">#REF!</definedName>
    <definedName name="_a22">#REF!</definedName>
    <definedName name="_a23">#REF!</definedName>
    <definedName name="_a24">#REF!</definedName>
    <definedName name="_a25">#REF!</definedName>
    <definedName name="_a26">#REF!</definedName>
    <definedName name="_a27">#REF!</definedName>
    <definedName name="_a3">#REF!</definedName>
    <definedName name="_a4">#REF!</definedName>
    <definedName name="_a5">#REF!</definedName>
    <definedName name="_a6">#REF!</definedName>
    <definedName name="_a7">#REF!</definedName>
    <definedName name="_a77">#REF!</definedName>
    <definedName name="_a88">#REF!</definedName>
    <definedName name="_a9">#REF!</definedName>
    <definedName name="_aoc1">'[25]02'!#REF!</definedName>
    <definedName name="_aoc10">'[25]08'!#REF!</definedName>
    <definedName name="_aoc11">#REF!</definedName>
    <definedName name="_aoc2">'[25]03'!#REF!</definedName>
    <definedName name="_aoc3">'[25]04'!#REF!</definedName>
    <definedName name="_aoc4">'[25]05'!#REF!</definedName>
    <definedName name="_aoc7">#REF!</definedName>
    <definedName name="_aoc8">#REF!</definedName>
    <definedName name="_aoc9">#REF!</definedName>
    <definedName name="_b">#REF!</definedName>
    <definedName name="_BGT5">#REF!</definedName>
    <definedName name="_bmx1">#REF!</definedName>
    <definedName name="_c">"sbc.$#REF!#REF!"</definedName>
    <definedName name="_cbl1">[18]design!$I$15</definedName>
    <definedName name="_CBR2" hidden="1">{"Daily Survey Report",#N/A,FALSE,"Daily"}</definedName>
    <definedName name="_CSL1">#REF!</definedName>
    <definedName name="_d4">'[13]Design basis-C'!$F$11</definedName>
    <definedName name="_DEF1">#REF!</definedName>
    <definedName name="_DEF2">#REF!</definedName>
    <definedName name="_del1">'[26]footing for SP'!#REF!</definedName>
    <definedName name="_Deshnok">#REF!</definedName>
    <definedName name="_doc1">'[13]Design basis-C'!$E$6</definedName>
    <definedName name="_doc4">'[13]Design basis-C'!$E$6</definedName>
    <definedName name="_eee2">[19]Sheet4!$G$7</definedName>
    <definedName name="_eee3">[19]Sheet4!$G$8</definedName>
    <definedName name="_EFF.__">#REF!</definedName>
    <definedName name="_ERA1">#REF!</definedName>
    <definedName name="_ERA10">#REF!</definedName>
    <definedName name="_ERA11">#REF!</definedName>
    <definedName name="_ERA2">#REF!</definedName>
    <definedName name="_ERA3">#REF!</definedName>
    <definedName name="_ERA4">[12]Below_Earth!$H$12</definedName>
    <definedName name="_ERA5">#REF!</definedName>
    <definedName name="_ERA6">[10]DATA!#REF!</definedName>
    <definedName name="_ERA7">[10]DATA!#REF!</definedName>
    <definedName name="_ERA8">[10]DATA!#REF!</definedName>
    <definedName name="_ERA9">#REF!</definedName>
    <definedName name="_exc1">#REF!</definedName>
    <definedName name="_exc11">#REF!</definedName>
    <definedName name="_exc2">#REF!</definedName>
    <definedName name="_EXC3">#REF!</definedName>
    <definedName name="_EXC4">#REF!</definedName>
    <definedName name="_Fill" hidden="1">#REF!</definedName>
    <definedName name="_foo1">#REF!</definedName>
    <definedName name="_foo2">#REF!</definedName>
    <definedName name="_foo3">#REF!</definedName>
    <definedName name="_FOO4">#REF!</definedName>
    <definedName name="_G66000">#REF!</definedName>
    <definedName name="_HED1">#REF!</definedName>
    <definedName name="_HED2">#REF!</definedName>
    <definedName name="_i1">[20]A!#REF!</definedName>
    <definedName name="_i10" hidden="1">[20]A!$B$35:$B$51</definedName>
    <definedName name="_i11">[20]A!$A$195</definedName>
    <definedName name="_i12">[20]A!$B$836</definedName>
    <definedName name="_i13">[20]A!$B$456</definedName>
    <definedName name="_i14">[20]A!$B$13</definedName>
    <definedName name="_i15">[20]A!$B$1243</definedName>
    <definedName name="_i16">[20]A!$B$137</definedName>
    <definedName name="_i17">[20]A!$B$35</definedName>
    <definedName name="_i18">[20]A!#REF!</definedName>
    <definedName name="_i19">[20]A!$B$997</definedName>
    <definedName name="_i2">[20]A!#REF!</definedName>
    <definedName name="_i20">[20]A!$B$268</definedName>
    <definedName name="_i21">[20]A!$B$388</definedName>
    <definedName name="_i22">[20]A!$B$1128</definedName>
    <definedName name="_i23">[20]A!$A$1067</definedName>
    <definedName name="_i3">[20]A!#REF!</definedName>
    <definedName name="_i4">[20]A!#REF!</definedName>
    <definedName name="_i5">[20]A!#REF!</definedName>
    <definedName name="_i6">[20]A!#REF!</definedName>
    <definedName name="_i7">[20]A!#REF!</definedName>
    <definedName name="_i8">[20]A!#REF!</definedName>
    <definedName name="_i9">[20]A!#REF!</definedName>
    <definedName name="_INTEREST">#REF!</definedName>
    <definedName name="_Key1" hidden="1">#REF!</definedName>
    <definedName name="_LENGTH">#REF!</definedName>
    <definedName name="_lll1">#REF!</definedName>
    <definedName name="_lll2">#REF!</definedName>
    <definedName name="_lll3">#REF!</definedName>
    <definedName name="_lll4">#REF!</definedName>
    <definedName name="_mix1">#REF!</definedName>
    <definedName name="_mix2">#REF!</definedName>
    <definedName name="_miy1">#REF!</definedName>
    <definedName name="_miy2">#REF!</definedName>
    <definedName name="_mom1">#REF!</definedName>
    <definedName name="_mom2">#REF!</definedName>
    <definedName name="_mux1">#REF!</definedName>
    <definedName name="_muy1">#REF!</definedName>
    <definedName name="_Order1" hidden="1">255</definedName>
    <definedName name="_P_KWH">#REF!</definedName>
    <definedName name="_p4">'[13]Design basis-C'!$G$8</definedName>
    <definedName name="_pcc1">#REF!</definedName>
    <definedName name="_pcc2">#REF!</definedName>
    <definedName name="_pcc3">#REF!</definedName>
    <definedName name="_PCC4">#REF!</definedName>
    <definedName name="_pd2" hidden="1">{"Daily Survey Report",#N/A,FALSE,"Daily"}</definedName>
    <definedName name="_pd3" hidden="1">{"Daily Survey Report",#N/A,FALSE,"Daily"}</definedName>
    <definedName name="_plb1">#REF!</definedName>
    <definedName name="_plb2">#REF!</definedName>
    <definedName name="_plb3">#REF!</definedName>
    <definedName name="_plb4">#REF!</definedName>
    <definedName name="_ppp1">[21]Deg_Sluice!$A$45</definedName>
    <definedName name="_ppp2">[21]Deg_Sluice!$A$46</definedName>
    <definedName name="_ppp3">[21]Deg_Sluice!$A$47</definedName>
    <definedName name="_ppp4">[21]Deg_Sluice!$A$48</definedName>
    <definedName name="_Regression_Out" hidden="1">'[27]2-wlr'!$H$27:$H$27</definedName>
    <definedName name="_Regression_X" hidden="1">'[27]2-wlr'!$E$17:$E$23</definedName>
    <definedName name="_Regression_Y" hidden="1">'[27]2-wlr'!$E$2:$E$8</definedName>
    <definedName name="_RS._KW">#REF!</definedName>
    <definedName name="_SCN6">#REF!</definedName>
    <definedName name="_sdo2">[19]Sheet4!$D$7</definedName>
    <definedName name="_sdo3">[19]Sheet4!$D$8</definedName>
    <definedName name="_SE1">#REF!</definedName>
    <definedName name="_SET1">#REF!</definedName>
    <definedName name="_SET2">#REF!</definedName>
    <definedName name="_SET21">#REF!</definedName>
    <definedName name="_Sort" hidden="1">#REF!</definedName>
    <definedName name="_ST.HEAD">#REF!</definedName>
    <definedName name="_ST1">#REF!</definedName>
    <definedName name="_ST2">#REF!</definedName>
    <definedName name="_st3">#REF!</definedName>
    <definedName name="_st4">#REF!</definedName>
    <definedName name="_st5">#REF!</definedName>
    <definedName name="_st6">#REF!</definedName>
    <definedName name="_tab2">#REF!</definedName>
    <definedName name="_TB2">'[4]SPT vs PHI'!$B$2:$C$65</definedName>
    <definedName name="_TER1">#REF!</definedName>
    <definedName name="_Toc101852991_19">'[28]8'!#REF!</definedName>
    <definedName name="_TP1">#REF!</definedName>
    <definedName name="_UP4" hidden="1">{"Daily Survey Report",#N/A,FALSE,"Daily"}</definedName>
    <definedName name="_YEAR">#REF!</definedName>
    <definedName name="_Z1">[22]B!#REF!</definedName>
    <definedName name="_z2">#REF!</definedName>
    <definedName name="a">#REF!</definedName>
    <definedName name="A.Epresfound">#REF!</definedName>
    <definedName name="A.Epressbed">#REF!</definedName>
    <definedName name="a_1">#REF!</definedName>
    <definedName name="a_2">#REF!</definedName>
    <definedName name="a_3">#REF!</definedName>
    <definedName name="A_P">#REF!</definedName>
    <definedName name="A000">'[29]sorna-lanjera'!#REF!</definedName>
    <definedName name="a1base">#REF!</definedName>
    <definedName name="a2base">#REF!</definedName>
    <definedName name="aa">#VALUE!</definedName>
    <definedName name="aaa" hidden="1">{"Daily Survey Report",#N/A,FALSE,"Daily"}</definedName>
    <definedName name="aaaaa">[30]Area_Capacity!$D$39</definedName>
    <definedName name="Aarea">[31]Area_Capacity!$D$5:$D$42</definedName>
    <definedName name="AB">'[32]ATTERBERG LIMIT'!#REF!</definedName>
    <definedName name="ABC">'[32]ATTERBERG LIMIT'!#REF!</definedName>
    <definedName name="ABCD">'[32]ATTERBERG LIMIT'!#REF!</definedName>
    <definedName name="ABEL">[33]Sheet1!#REF!</definedName>
    <definedName name="Abs">#REF!</definedName>
    <definedName name="Abut">[23]FACE!#REF!</definedName>
    <definedName name="ABUTCAP1">#REF!</definedName>
    <definedName name="ABUTCAP2">#REF!</definedName>
    <definedName name="Ac">#REF!</definedName>
    <definedName name="acb">#REF!</definedName>
    <definedName name="acBridge">#REF!</definedName>
    <definedName name="AccessDatabase" hidden="1">"D:\BSAmaldar\reservoirs\master\IntzeTank(Jain)(Jodhpur1.5mLr2).mdb"</definedName>
    <definedName name="ACCOST">#REF!</definedName>
    <definedName name="Acer_Km2">0.004046859</definedName>
    <definedName name="Acers_Ha">0.4046863</definedName>
    <definedName name="acontact">#REF!</definedName>
    <definedName name="acr">#REF!</definedName>
    <definedName name="actbs">#REF!</definedName>
    <definedName name="ada">#REF!</definedName>
    <definedName name="adq">#REF!</definedName>
    <definedName name="Ads">#REF!</definedName>
    <definedName name="Af">#REF!</definedName>
    <definedName name="Afflux">'[34]Barrage Design (F)'!$F$28</definedName>
    <definedName name="Ag">[35]Design!#REF!</definedName>
    <definedName name="Aggregate_375mmMaximum_224_56mm">[36]Material!$D$4</definedName>
    <definedName name="Agr_GCA_Stat">'[37]CCA_cal (2)'!$E$29</definedName>
    <definedName name="Agri_Stat_CCA">#REF!</definedName>
    <definedName name="Ahwet">#REF!</definedName>
    <definedName name="ai">#REF!</definedName>
    <definedName name="akhilesh">#REF!</definedName>
    <definedName name="Albf">#REF!</definedName>
    <definedName name="Albfb">#REF!</definedName>
    <definedName name="alfa">#REF!</definedName>
    <definedName name="alfa1">#REF!</definedName>
    <definedName name="all">#REF!</definedName>
    <definedName name="allowbs">#REF!</definedName>
    <definedName name="allowstress">#REF!</definedName>
    <definedName name="alpan">#REF!</definedName>
    <definedName name="ALPHA">#REF!</definedName>
    <definedName name="AlphaH">#REF!</definedName>
    <definedName name="Alt">#REF!</definedName>
    <definedName name="Altf">#REF!</definedName>
    <definedName name="an">#REF!</definedName>
    <definedName name="ANALYSIS_OF_BENKELMAN_BEAM_DEFLECTION_DATA">#REF!</definedName>
    <definedName name="Angrep">#REF!</definedName>
    <definedName name="anu" hidden="1">{"Daily Survey Report",#N/A,FALSE,"Daily"}</definedName>
    <definedName name="AP">#REF!</definedName>
    <definedName name="Area">[38]Area_Capacity!$D$5:$D$22</definedName>
    <definedName name="Area_capacity">[38]Area_Capacity!$A$5:$J$22</definedName>
    <definedName name="Area_Capacity_G">[39]Sheet3!$B$26:$E$39</definedName>
    <definedName name="Area_Capacity_Goi_Barrage">[40]Area_Capacity_GOI_BARRAGE!$A$5:$J$16</definedName>
    <definedName name="Area_capacity_New">[41]Water_Planning_conti..!$A$5:$M$30</definedName>
    <definedName name="AREA_CAPACITY_WW">[42]Area_Capacity!$A$5:$J$26</definedName>
    <definedName name="area1ps">#REF!</definedName>
    <definedName name="area2ps">#REF!</definedName>
    <definedName name="areacon">#REF!</definedName>
    <definedName name="arps">#REF!</definedName>
    <definedName name="as">'[43]CALC_Minor_Flows '!#REF!</definedName>
    <definedName name="Asc">#REF!</definedName>
    <definedName name="ascfg" hidden="1">#REF!</definedName>
    <definedName name="asd">[44]Fixation_Principal_Level!$H$14</definedName>
    <definedName name="ASDSDFDFG">#REF!</definedName>
    <definedName name="Ashu\">#REF!</definedName>
    <definedName name="Ast">#REF!</definedName>
    <definedName name="astb">#REF!</definedName>
    <definedName name="Astbotmain">#REF!</definedName>
    <definedName name="Astmin">#REF!</definedName>
    <definedName name="astpro">#REF!</definedName>
    <definedName name="astprotopx">#REF!</definedName>
    <definedName name="astprotopz">#REF!</definedName>
    <definedName name="astproz">#REF!</definedName>
    <definedName name="astreq">#REF!</definedName>
    <definedName name="astreqnegx">#REF!</definedName>
    <definedName name="astreqnegz">#REF!</definedName>
    <definedName name="astreqz">#REF!</definedName>
    <definedName name="astt">#REF!</definedName>
    <definedName name="Asv">#REF!</definedName>
    <definedName name="av">#REF!</definedName>
    <definedName name="avgd">#REF!</definedName>
    <definedName name="Avtwc">#REF!</definedName>
    <definedName name="ax">[45]CLAY!#REF!</definedName>
    <definedName name="AXIAL">#REF!</definedName>
    <definedName name="AXIAL1">#REF!</definedName>
    <definedName name="axialload">#REF!</definedName>
    <definedName name="Axle_Load_Analysis">#REF!</definedName>
    <definedName name="ay">[45]CLAY!#REF!</definedName>
    <definedName name="b">#REF!</definedName>
    <definedName name="B___0">"'file://Nilesh/c/wall_prop.xls'#$WALL_1.$#REF!$#REF!"</definedName>
    <definedName name="B_1">#REF!</definedName>
    <definedName name="B_2_D">#REF!</definedName>
    <definedName name="B_3">#REF!</definedName>
    <definedName name="B_PROLONG">'[46]Flood &amp; Lift'!$F$77</definedName>
    <definedName name="B_Prolonged">[38]Waste_Weir!$I$18</definedName>
    <definedName name="B_Prolonged_R">[38]Waste_Weir!$AR$14</definedName>
    <definedName name="B_SPATES">'[46]Flood &amp; Lift'!$H$68</definedName>
    <definedName name="BA">#REF!</definedName>
    <definedName name="Badi">#REF!</definedName>
    <definedName name="Bardia">#REF!</definedName>
    <definedName name="Barkedasalam">#REF!</definedName>
    <definedName name="Barkhedabondar">#REF!</definedName>
    <definedName name="Barrel_size">[47]Des!$G$204</definedName>
    <definedName name="Barrel_thickness">[47]Des!$G$208</definedName>
    <definedName name="basew">#REF!</definedName>
    <definedName name="bbb" hidden="1">[22]A!#REF!</definedName>
    <definedName name="bbbb">'[13]Design basis-C'!$F$10</definedName>
    <definedName name="bbbbbb">'[13]Design basis-C'!$F$10</definedName>
    <definedName name="Bc">#REF!</definedName>
    <definedName name="bcol">#REF!</definedName>
    <definedName name="Bcw">[48]basdat!$D$5</definedName>
    <definedName name="bdfbsdf">#REF!</definedName>
    <definedName name="Bds">#REF!</definedName>
    <definedName name="Be">#REF!</definedName>
    <definedName name="Benching">#REF!</definedName>
    <definedName name="beta">#REF!</definedName>
    <definedName name="bfoot">#REF!</definedName>
    <definedName name="bheel">#REF!</definedName>
    <definedName name="Binnie">[39]Binnies!$K$34:$M$93</definedName>
    <definedName name="binnie_rainfall">[39]Binnies!$L$34:$L$93</definedName>
    <definedName name="Binnies_2">[49]Binnies!$K$34:$M$93</definedName>
    <definedName name="Binnies_R_2">[50]Binnies!$L$42:$L$101</definedName>
    <definedName name="Binnies_Rainfall">[51]Binnies!$F$34:$F$159</definedName>
    <definedName name="Binnies_Rv">[52]Binnies!$K$38:$M$97</definedName>
    <definedName name="Binnies_Rv_Rain">[52]Binnies!$L$38:$L$97</definedName>
    <definedName name="Binnies_Table">#REF!</definedName>
    <definedName name="Binnies_Table1">[51]Binnies!$E$34:$H$159</definedName>
    <definedName name="Binnies_Table2">[53]Binnies!$K$38:$M$97</definedName>
    <definedName name="Binnies_Yeild_75">[38]Rainfall_Khargone!$E$89</definedName>
    <definedName name="Binnies_Yield_50">[54]Rainfall_Khandwa!$E$117</definedName>
    <definedName name="Binnies_Yield_60">[54]Rainfall_Khandwa!$E$126</definedName>
    <definedName name="Binnies_Yield_Max">[54]Rainfall_Khandwa!$F$99</definedName>
    <definedName name="Binnies_Yield_Maxi_Rainfall">[38]Rainfall_Khargone!$F$98</definedName>
    <definedName name="Binnies_Yield_Mean">[38]Rainfall_Khargone!$E$95</definedName>
    <definedName name="Binnies_Yield_Mini">#REF!</definedName>
    <definedName name="Binnies_Yield_Mini_Rainfall">[52]Rainfall_Pati!$F$100</definedName>
    <definedName name="bjlc">#REF!</definedName>
    <definedName name="BMdead">#REF!</definedName>
    <definedName name="BMlive">#REF!</definedName>
    <definedName name="BMNEGX">#REF!</definedName>
    <definedName name="BMxxi">#REF!</definedName>
    <definedName name="BMxxii">#REF!</definedName>
    <definedName name="BMxxiii">#REF!</definedName>
    <definedName name="BMyyi">#REF!</definedName>
    <definedName name="bnb" hidden="1">{"Daily Survey Report",#N/A,FALSE,"Daily"}</definedName>
    <definedName name="bol">#REF!</definedName>
    <definedName name="boml">#REF!</definedName>
    <definedName name="botl">#REF!</definedName>
    <definedName name="botn">#REF!</definedName>
    <definedName name="BP">#REF!</definedName>
    <definedName name="Bph">#REF!</definedName>
    <definedName name="breadth">#REF!</definedName>
    <definedName name="Breaks">#REF!</definedName>
    <definedName name="BRIDGE_CONDITION_SURVEY">#REF!</definedName>
    <definedName name="BRIDGE_INSPECTION_REPORT">#REF!</definedName>
    <definedName name="Bridge_Inventory_Survey">#REF!</definedName>
    <definedName name="BS">#REF!</definedName>
    <definedName name="Bsalam">#REF!</definedName>
    <definedName name="Bsump">#REF!</definedName>
    <definedName name="BT_Abstract">#REF!</definedName>
    <definedName name="BT_Ex">#REF!</definedName>
    <definedName name="btoe">#REF!</definedName>
    <definedName name="bua">#REF!</definedName>
    <definedName name="Burdi">[55]Unconnected!$B$9:$B$65</definedName>
    <definedName name="BW">[56]Design!$F$10</definedName>
    <definedName name="BW1_">#REF!</definedName>
    <definedName name="bwa">#REF!</definedName>
    <definedName name="Bwfinal">#REF!</definedName>
    <definedName name="BWus">#REF!</definedName>
    <definedName name="bx">'[57]Flocculator footing'!$F$13</definedName>
    <definedName name="C.B.L.">[58]DESIGN!#REF!</definedName>
    <definedName name="C.C.Road">'[59]Gen Info'!$B$34:$B$57</definedName>
    <definedName name="C.DRate" hidden="1">{"Daily Survey Report",#N/A,FALSE,"Daily"}</definedName>
    <definedName name="C_">#REF!</definedName>
    <definedName name="c_coefficient">[54]Rainfall_Khandwa!$T$81</definedName>
    <definedName name="C_L_unit1">'[60]Unit-I'!$C$14+'[60]Unit-I'!$C$12</definedName>
    <definedName name="CA">'[51]Capacity table'!$D$24</definedName>
    <definedName name="CA.">#VALUE!</definedName>
    <definedName name="CA_Goi_Barrage">'[40]IF (Goi)'!$E$4</definedName>
    <definedName name="CA_net">[61]CA_Bhamori!$E$29</definedName>
    <definedName name="CA_Overall">[61]CA_Bhamori!$E$28</definedName>
    <definedName name="CA0">[62]Rainfall_Alirajpur!$E$89</definedName>
    <definedName name="CALC_MC_Flows">[43]CALC_MC_Flows!#REF!</definedName>
    <definedName name="CALC_Minor_Flows">'[43]CALC_Minor_Flows '!#REF!</definedName>
    <definedName name="calpersteel">#REF!</definedName>
    <definedName name="Canal_Discharge">MAX([53]IWR_Rabi_CP1_Barwani_CWR!$C$231:$Z$231/1000)</definedName>
    <definedName name="category">#REF!</definedName>
    <definedName name="cbgl1">#REF!</definedName>
    <definedName name="cbgl2">#REF!</definedName>
    <definedName name="cbgl3">#REF!</definedName>
    <definedName name="cbgl4">#REF!</definedName>
    <definedName name="CBL">#REF!</definedName>
    <definedName name="cc">[63]Sheet4!$O$5</definedName>
    <definedName name="CCA">[64]Water_Planning!$K$32</definedName>
    <definedName name="CCA_final">'[41]CCA_cal (2)'!$E$35</definedName>
    <definedName name="ccc" hidden="1">[22]A!#REF!</definedName>
    <definedName name="CCCC">[63]Inventory!$AF$11</definedName>
    <definedName name="ccolagl">#REF!</definedName>
    <definedName name="cd">#REF!</definedName>
    <definedName name="CD_2" hidden="1">{"Daily Survey Report",#N/A,FALSE,"Daily"}</definedName>
    <definedName name="Cd_Value">[38]Waste_Weir!$U$3:$V$5</definedName>
    <definedName name="cdepth">#REF!</definedName>
    <definedName name="cdo">#REF!</definedName>
    <definedName name="cdsfdsgv" hidden="1">{"Daily Survey Report",#N/A,FALSE,"Daily"}</definedName>
    <definedName name="Ceistern_Level">'[64]Table_7,Hyd_Jum_WA'!$H$50</definedName>
    <definedName name="cf">#REF!</definedName>
    <definedName name="cfb">#REF!</definedName>
    <definedName name="cfbeams">#REF!</definedName>
    <definedName name="cffdhgj">#REF!</definedName>
    <definedName name="cfsalb">#REF!</definedName>
    <definedName name="cfslab">#REF!</definedName>
    <definedName name="cggghh">#REF!</definedName>
    <definedName name="CHAINAGE">#REF!</definedName>
    <definedName name="CHAINAGEM">[65]HYDRAULICS!$H$2</definedName>
    <definedName name="Chandramauli">#REF!</definedName>
    <definedName name="CHANDRAMAULI1">#REF!</definedName>
    <definedName name="CHANDRAMAULI2">[23]FACE!#REF!</definedName>
    <definedName name="CHANDRAMAULI2_7">[23]FACE!#REF!</definedName>
    <definedName name="CHANDRAMAULI2_8">[23]FACE!#REF!</definedName>
    <definedName name="CHANDRAMAULI2_9">[23]FACE!#REF!</definedName>
    <definedName name="chandramauli3">#REF!</definedName>
    <definedName name="chat">'[66]Unit I_L_WORK'!#REF!</definedName>
    <definedName name="check">#REF!</definedName>
    <definedName name="check1">'[13]Design basis-C'!$F$8</definedName>
    <definedName name="Check1_17">'[28]6'!#REF!</definedName>
    <definedName name="Check2_17">'[28]6'!#REF!</definedName>
    <definedName name="check3">'[13]Design basis-C'!$F$8</definedName>
    <definedName name="Check3_17">'[28]6'!#REF!</definedName>
    <definedName name="checked">#REF!</definedName>
    <definedName name="CI">#REF!</definedName>
    <definedName name="CICOST">#REF!</definedName>
    <definedName name="CL">#REF!</definedName>
    <definedName name="clearspan1">[23]FACE!#REF!</definedName>
    <definedName name="clearspan1_7">[23]FACE!#REF!</definedName>
    <definedName name="clearspan1_8">[23]FACE!#REF!</definedName>
    <definedName name="clearspan1_9">[23]FACE!#REF!</definedName>
    <definedName name="clearspan11">#REF!</definedName>
    <definedName name="clintels">#REF!</definedName>
    <definedName name="Cmux1">#REF!</definedName>
    <definedName name="Cmuy1">#REF!</definedName>
    <definedName name="co">#REF!</definedName>
    <definedName name="Code" hidden="1">#REF!</definedName>
    <definedName name="codecode">#REF!</definedName>
    <definedName name="Coeff">[67]Planning!$F$140:$G$142</definedName>
    <definedName name="Colbgl">#REF!</definedName>
    <definedName name="colbgl2">#REF!</definedName>
    <definedName name="Columns">#REF!</definedName>
    <definedName name="colx">'[57]Flocculator footing'!$F$16</definedName>
    <definedName name="colz">'[57]Flocculator footing'!$F$17</definedName>
    <definedName name="Comp">#REF!</definedName>
    <definedName name="COMPSTRESS">#REF!</definedName>
    <definedName name="conc_dens">#REF!</definedName>
    <definedName name="concretegrades">#REF!</definedName>
    <definedName name="cond1">#REF!</definedName>
    <definedName name="cond2">#REF!</definedName>
    <definedName name="conden">#REF!</definedName>
    <definedName name="CONDITION_SURVEY_OF_CULVERTS">#REF!</definedName>
    <definedName name="contact">#REF!</definedName>
    <definedName name="contactarea">#REF!</definedName>
    <definedName name="coordinates">#REF!</definedName>
    <definedName name="COST">#REF!</definedName>
    <definedName name="cov">#REF!</definedName>
    <definedName name="cover">#REF!</definedName>
    <definedName name="CoverEarth">#REF!</definedName>
    <definedName name="CoverLiquid">#REF!</definedName>
    <definedName name="Cpuz">#REF!</definedName>
    <definedName name="crackwidth">[68]BS8007!$F$12</definedName>
    <definedName name="Creast_level">#REF!</definedName>
    <definedName name="Crest_Level">#REF!</definedName>
    <definedName name="CRL">#REF!</definedName>
    <definedName name="CROPKHARIF">[46]Sheet1!$B$40:$B$46</definedName>
    <definedName name="CROPRABBI">[46]Sheet1!$B$26:$B$37</definedName>
    <definedName name="CSL">#REF!</definedName>
    <definedName name="csshade">#REF!</definedName>
    <definedName name="cst">#REF!</definedName>
    <definedName name="cupl3Oct07" hidden="1">{"Daily Survey Report",#N/A,FALSE,"Daily"}</definedName>
    <definedName name="cvalue">#REF!</definedName>
    <definedName name="cvr">#REF!</definedName>
    <definedName name="cvrheel">#REF!</definedName>
    <definedName name="cvrtoe">#REF!</definedName>
    <definedName name="cwidth">#REF!</definedName>
    <definedName name="Cz">#REF!</definedName>
    <definedName name="D">#REF!</definedName>
    <definedName name="d_1">#REF!</definedName>
    <definedName name="D_and_I_Use">#REF!</definedName>
    <definedName name="d_dash">#REF!</definedName>
    <definedName name="D_I_Water_Use">#REF!</definedName>
    <definedName name="D_S_RL">#REF!</definedName>
    <definedName name="Daily_Survey">#REF!</definedName>
    <definedName name="Dam_toe_Level">'[69]23_Design_Wast_weir_chanel'!$F$129</definedName>
    <definedName name="Damkheda">#REF!</definedName>
    <definedName name="Data">#REF!</definedName>
    <definedName name="data1" hidden="1">#REF!</definedName>
    <definedName name="data2" hidden="1">#REF!</definedName>
    <definedName name="data3" hidden="1">#REF!</definedName>
    <definedName name="DATA4">#REF!</definedName>
    <definedName name="DATASHEET">#REF!</definedName>
    <definedName name="date">#REF!</definedName>
    <definedName name="Db">#REF!</definedName>
    <definedName name="DBMm">#REF!</definedName>
    <definedName name="dbratio">#REF!</definedName>
    <definedName name="dbyb">#REF!</definedName>
    <definedName name="dbyd">#REF!</definedName>
    <definedName name="Dc">#REF!</definedName>
    <definedName name="DC___0">"$'BASE SLAB _ EARTH_WATER'.$#REF!$#REF!"</definedName>
    <definedName name="DC___11">"$UPLIFT.$#REF!$#REF!"</definedName>
    <definedName name="DC___8">"$'BASE SLAB _ NO WATER'.$#REF!$#REF!"</definedName>
    <definedName name="DC___9">"$'BASE SLAB _ NO SOIL'.$#REF!$#REF!"</definedName>
    <definedName name="dcol">#REF!</definedName>
    <definedName name="Dcon">#REF!</definedName>
    <definedName name="dd" hidden="1">{"Daily Survey Report",#N/A,FALSE,"Daily"}</definedName>
    <definedName name="Dd.">#REF!</definedName>
    <definedName name="Dd..">#REF!</definedName>
    <definedName name="ddash">#REF!</definedName>
    <definedName name="ddd">[22]A!$A$23</definedName>
    <definedName name="dddd">[70]FIRST!$B$7</definedName>
    <definedName name="dddd1">[70]FIRST!$H$1</definedName>
    <definedName name="ddfdfdf">#REF!</definedName>
    <definedName name="Dds">#REF!</definedName>
    <definedName name="DE">[62]Fixation_Principal_Level!$G$9</definedName>
    <definedName name="DE___0">"$'BASE SLAB _ EARTH_WATER'.$#REF!$#REF!"</definedName>
    <definedName name="DE___11">"$UPLIFT.$#REF!$#REF!"</definedName>
    <definedName name="DE___8">"$'BASE SLAB _ NO WATER'.$#REF!$#REF!"</definedName>
    <definedName name="DE___9">"$'BASE SLAB _ NO SOIL'.$#REF!$#REF!"</definedName>
    <definedName name="Dead_Storage_Capacity">'[51]wtr pln minor-2'!$I$19</definedName>
    <definedName name="Dead_Storage_Level">'[51]wtr pln minor-2'!$P$19</definedName>
    <definedName name="Dearth">#REF!</definedName>
    <definedName name="Deck_hh">#REF!</definedName>
    <definedName name="Deck_hv">#REF!</definedName>
    <definedName name="deckslab">#REF!</definedName>
    <definedName name="deckslab123">#REF!</definedName>
    <definedName name="DEFF2">#REF!</definedName>
    <definedName name="DEFFF1">#REF!</definedName>
    <definedName name="DEFFF2">#REF!</definedName>
    <definedName name="delta">#REF!</definedName>
    <definedName name="den">#REF!</definedName>
    <definedName name="density">#REF!</definedName>
    <definedName name="Dependable_Rainfall_75">[51]drf_Khargone!$E$72</definedName>
    <definedName name="depth">#REF!</definedName>
    <definedName name="des">#REF!</definedName>
    <definedName name="Des_Jod">#REF!</definedName>
    <definedName name="Deshnok_Rohini">#REF!</definedName>
    <definedName name="Design">#REF!</definedName>
    <definedName name="Design_Discharge">[71]Waste_Weir!$E$10</definedName>
    <definedName name="Design_Flush">#REF!</definedName>
    <definedName name="design2">'[13]Design basis-C'!$E$8</definedName>
    <definedName name="design3">'[13]Design basis-C'!$E$8</definedName>
    <definedName name="designed">#REF!</definedName>
    <definedName name="Df">[72]basdat!$D$9</definedName>
    <definedName name="DFDFDFDEF">[73]Material!$D$109</definedName>
    <definedName name="dffd">[70]Ene!$H$1</definedName>
    <definedName name="dfgh">'[74]Canal Design Data'!#REF!</definedName>
    <definedName name="dfgsg">#REF!</definedName>
    <definedName name="DFL">#REF!</definedName>
    <definedName name="dg">#REF!</definedName>
    <definedName name="dgdgd">#REF!</definedName>
    <definedName name="dghkl" hidden="1">{"'Bill No. 7'!$A$1:$G$32"}</definedName>
    <definedName name="DI">#REF!</definedName>
    <definedName name="dia">#REF!</definedName>
    <definedName name="Dia_of__Bar">#REF!</definedName>
    <definedName name="Dia_of_Bar">[75]Sheet3!$B$3:$B$10</definedName>
    <definedName name="DIATAB">#REF!</definedName>
    <definedName name="diaties">#REF!</definedName>
    <definedName name="DIC">#VALUE!</definedName>
    <definedName name="Dickens_C">#VALUE!</definedName>
    <definedName name="Dickens_C_FPS">1400</definedName>
    <definedName name="Dickens_d">#VALUE!</definedName>
    <definedName name="DICOST">#REF!</definedName>
    <definedName name="DIP">#REF!</definedName>
    <definedName name="DIR">'[60]cot cal'!$W$22</definedName>
    <definedName name="dis." hidden="1">{"Daily Survey Report",#N/A,FALSE,"Daily"}</definedName>
    <definedName name="DISC_WW">#REF!</definedName>
    <definedName name="Discount" hidden="1">#REF!</definedName>
    <definedName name="display_area_2" hidden="1">#REF!</definedName>
    <definedName name="DIST">#REF!</definedName>
    <definedName name="District">CONCATENATE('[76]Basic Data Sheet'!$A$10:$E$10,"  :  ",'[76]Basic Data Sheet'!$F$10)</definedName>
    <definedName name="dk">#REF!</definedName>
    <definedName name="dl">#REF!</definedName>
    <definedName name="dm">#REF!</definedName>
    <definedName name="Dmaso">#REF!</definedName>
    <definedName name="Dn_S_RL">#REF!</definedName>
    <definedName name="doc">'[13]Design basis-C'!$E$6</definedName>
    <definedName name="docno">#REF!</definedName>
    <definedName name="docu">#REF!</definedName>
    <definedName name="DownStream_bed_level">'[69]Bed Slope'!$J$3</definedName>
    <definedName name="Dp">#REF!</definedName>
    <definedName name="dq">#REF!</definedName>
    <definedName name="dratio1">#REF!</definedName>
    <definedName name="DS">#REF!</definedName>
    <definedName name="DSL">#REF!</definedName>
    <definedName name="DSNBL">'[34]HFL Calculation (Ds 200 m)100%'!$E$10</definedName>
    <definedName name="dthfths">#REF!</definedName>
    <definedName name="DUCT">#REF!</definedName>
    <definedName name="DW">"$#REF!.$#REF!$#REF!"</definedName>
    <definedName name="DW___0">"$'BASE SLAB _ EARTH_WATER'.$#REF!$#REF!"</definedName>
    <definedName name="DW___11">"$UPLIFT.$#REF!$#REF!"</definedName>
    <definedName name="DW___8">"$'BASE SLAB _ NO WATER'.$#REF!$#REF!"</definedName>
    <definedName name="DW___9">"$'BASE SLAB _ NO SOIL'.$#REF!$#REF!"</definedName>
    <definedName name="Dx">#REF!</definedName>
    <definedName name="dxp">#REF!</definedName>
    <definedName name="Dy">#REF!</definedName>
    <definedName name="dz">#REF!</definedName>
    <definedName name="dzp">#REF!</definedName>
    <definedName name="E">#REF!</definedName>
    <definedName name="E.R.">#REF!</definedName>
    <definedName name="E_span">#REF!</definedName>
    <definedName name="earth">#REF!</definedName>
    <definedName name="Ebed">#REF!</definedName>
    <definedName name="Ec">#REF!</definedName>
    <definedName name="eccx">#REF!</definedName>
    <definedName name="eccz">#REF!</definedName>
    <definedName name="ee">[19]Sheet4!$G$6</definedName>
    <definedName name="EEE">[62]WR!$P$29</definedName>
    <definedName name="EEEE">[62]Waste_Weir!$AU$15</definedName>
    <definedName name="EEEEEE">[62]WR!$J$24/1000</definedName>
    <definedName name="eeeeeeeeeeeeeeeeeeeeeeeeee">#REF!</definedName>
    <definedName name="EEQ">[77]Rainfall_Alirajpur!$D$99</definedName>
    <definedName name="Eff.Be">#REF!</definedName>
    <definedName name="Eff.span">#REF!</definedName>
    <definedName name="Eff.Thslab">#REF!</definedName>
    <definedName name="effdepth">#REF!</definedName>
    <definedName name="effdepthx">#REF!</definedName>
    <definedName name="effdepthz">#REF!</definedName>
    <definedName name="effectivespan1">[23]FACE!#REF!</definedName>
    <definedName name="effectivespan1_7">[23]FACE!#REF!</definedName>
    <definedName name="effectivespan1_8">[23]FACE!#REF!</definedName>
    <definedName name="effectivespan1_9">[23]FACE!#REF!</definedName>
    <definedName name="effwidth">#REF!</definedName>
    <definedName name="effwidthz">#REF!</definedName>
    <definedName name="Efound">#REF!</definedName>
    <definedName name="efx">#REF!</definedName>
    <definedName name="efy">#REF!</definedName>
    <definedName name="EH">"$#REF!.$#REF!$#REF!"</definedName>
    <definedName name="EH___0">"$'BASE SLAB _ EARTH_WATER'.$#REF!$#REF!"</definedName>
    <definedName name="EH___11">"$UPLIFT.$#REF!$#REF!"</definedName>
    <definedName name="EH___8">"$'BASE SLAB _ NO WATER'.$#REF!$#REF!"</definedName>
    <definedName name="EH___9">"$'BASE SLAB _ NO SOIL'.$#REF!$#REF!"</definedName>
    <definedName name="ei">#REF!</definedName>
    <definedName name="eightline">#REF!</definedName>
    <definedName name="eii">#REF!</definedName>
    <definedName name="eiii">#REF!</definedName>
    <definedName name="El">#REF!</definedName>
    <definedName name="Eldps">#REF!</definedName>
    <definedName name="Ele">'[51]Capacity table'!$B$5:$B$11</definedName>
    <definedName name="ele_dhawal">'[64]Area_Capacity Dhawaliya'!$B$6:$B$14</definedName>
    <definedName name="Ele_Goi_Barrage">[40]Area_Capacity_GOI_BARRAGE!$B$5:$B$16</definedName>
    <definedName name="Ele_NEW">[64]Water_Planning_conti..!$B$5:$B$30</definedName>
    <definedName name="ELE_WW">[42]Area_Capacity!$B$5:$B$20</definedName>
    <definedName name="electricpoles">'[25]08'!#REF!</definedName>
    <definedName name="em">#REF!</definedName>
    <definedName name="environmentalcost">'[25]08'!#REF!</definedName>
    <definedName name="ER">MAX([78]Rainfall_Khargone!$A$5:$A$79)</definedName>
    <definedName name="Es">#REF!</definedName>
    <definedName name="Evaporation_Loses">#REF!</definedName>
    <definedName name="ewa">#REF!</definedName>
    <definedName name="ex">#REF!</definedName>
    <definedName name="Excavation">#REF!</definedName>
    <definedName name="Excel_BuiltIn__FilterDatabase" localSheetId="3">#REF!</definedName>
    <definedName name="Excel_BuiltIn__FilterDatabase">#REF!</definedName>
    <definedName name="Excel_BuiltIn_Print_Area_1">#REF!</definedName>
    <definedName name="Excel_BuiltIn_Print_Area_1_1">#REF!</definedName>
    <definedName name="Excel_BuiltIn_Print_Area_9">#REF!</definedName>
    <definedName name="Excel_BuiltIn_Print_Titles_1_1">[79]Sheet1!$A$1:$B$65532,[79]Sheet1!$A$2:$IV$5</definedName>
    <definedName name="Excel_BuiltIn_Print_Titles_1_1_1">[79]Sheet1!$A$1:$B$65519,[79]Sheet1!$A$2:$IV$5</definedName>
    <definedName name="Excel_BuiltIn_Print_Titles_4_1">'[79]80'!$A$1:$B$65435,'[79]80'!$A$6:$IV$9</definedName>
    <definedName name="Excel_BuiltIn_Recorder">#REF!</definedName>
    <definedName name="excf">#REF!</definedName>
    <definedName name="EXIT">#REF!</definedName>
    <definedName name="Exit_Gradient">'[80]OtherBarrageBay(F)'!$AX$4:$AX$6</definedName>
    <definedName name="Extra_MCM">[64]Water_Planning!$M$32</definedName>
    <definedName name="ey">#REF!</definedName>
    <definedName name="ez">#REF!</definedName>
    <definedName name="f">#REF!</definedName>
    <definedName name="F.force">#REF!</definedName>
    <definedName name="F.Mtsbed">#REF!</definedName>
    <definedName name="F.Mtsfoun">#REF!</definedName>
    <definedName name="F.R.L">#REF!</definedName>
    <definedName name="F_BRD">#REF!</definedName>
    <definedName name="facal">#REF!</definedName>
    <definedName name="FB">#REF!</definedName>
    <definedName name="FBC">#REF!</definedName>
    <definedName name="FBLbearing14">#REF!</definedName>
    <definedName name="FBLclearspan">[23]FACE!#REF!</definedName>
    <definedName name="FBLclearspan_7">[23]FACE!#REF!</definedName>
    <definedName name="FBLclearspan_8">[23]FACE!#REF!</definedName>
    <definedName name="FBLclearspan_9">[23]FACE!#REF!</definedName>
    <definedName name="FBLclearspan11">#REF!</definedName>
    <definedName name="FBLeffectivespan">[23]FACE!#REF!</definedName>
    <definedName name="FBLeffectivespan_7">[23]FACE!#REF!</definedName>
    <definedName name="FBLeffectivespan_8">[23]FACE!#REF!</definedName>
    <definedName name="FBLeffectivespan_9">[23]FACE!#REF!</definedName>
    <definedName name="FBLeffectivespan12">#REF!</definedName>
    <definedName name="FBLoverallspan">[23]FACE!#REF!</definedName>
    <definedName name="FBLoverallspan_7">[23]FACE!#REF!</definedName>
    <definedName name="FBLoverallspan_8">[23]FACE!#REF!</definedName>
    <definedName name="FBLoverallspan_9">[23]FACE!#REF!</definedName>
    <definedName name="FBLoverallspan13">#REF!</definedName>
    <definedName name="fc">#REF!</definedName>
    <definedName name="fcat">#REF!</definedName>
    <definedName name="fcb">#REF!</definedName>
    <definedName name="fcbc">#REF!</definedName>
    <definedName name="fcbt">#REF!</definedName>
    <definedName name="FCK">[81]Below_Earth!$H$12</definedName>
    <definedName name="fckfck">#REF!</definedName>
    <definedName name="FCode" hidden="1">#REF!</definedName>
    <definedName name="fcs">#REF!</definedName>
    <definedName name="Fd">#REF!</definedName>
    <definedName name="fdae">#REF!</definedName>
    <definedName name="fdepth">#REF!</definedName>
    <definedName name="fdsfsd" hidden="1">{"Daily Survey Report",#N/A,FALSE,"Daily"}</definedName>
    <definedName name="ff" hidden="1">{"Daily Survey Report",#N/A,FALSE,"Daily"}</definedName>
    <definedName name="fff">[22]A!#REF!</definedName>
    <definedName name="FGFGFG">[73]Material!$D$110</definedName>
    <definedName name="fgh">#REF!</definedName>
    <definedName name="FGHJM">#REF!</definedName>
    <definedName name="FGL">#REF!</definedName>
    <definedName name="fhg">'[74]Canal Design Data'!#REF!</definedName>
    <definedName name="fhjfghf">#REF!</definedName>
    <definedName name="fi">#REF!</definedName>
    <definedName name="fillden">#REF!</definedName>
    <definedName name="firline">#REF!</definedName>
    <definedName name="fiveline">#REF!</definedName>
    <definedName name="fk">#REF!</definedName>
    <definedName name="Fld">#REF!</definedName>
    <definedName name="FLOW1">#REF!</definedName>
    <definedName name="FLOW2">#REF!</definedName>
    <definedName name="footdepth">#REF!</definedName>
    <definedName name="footdepthedge">#REF!</definedName>
    <definedName name="FOOTERLFT">#REF!</definedName>
    <definedName name="FOOTERLFT1">#REF!</definedName>
    <definedName name="FOOTERLFT2">#REF!</definedName>
    <definedName name="FOOTERLFT2_2">#REF!</definedName>
    <definedName name="FOOTERLFT2_3">#REF!</definedName>
    <definedName name="FOOTERLFT3">#REF!</definedName>
    <definedName name="FOOTERLFTM">#REF!</definedName>
    <definedName name="FOOTERRGHT">#REF!</definedName>
    <definedName name="FOOTERRGHT1">#REF!</definedName>
    <definedName name="FOOTERRGT">[82]DATA!$G$8</definedName>
    <definedName name="Footings">#REF!</definedName>
    <definedName name="fourline">#REF!</definedName>
    <definedName name="fr">'[83]1) Volume - Calculation'!$B$7</definedName>
    <definedName name="freeboard">2</definedName>
    <definedName name="FRL">'[51]wtr pln minor-2'!$P$23</definedName>
    <definedName name="FRL_bhelyapani">'[64]Fixation_Principal_Level Bhelya'!$P$7</definedName>
    <definedName name="FRL_Capacity">'[51]wtr pln minor-2'!$F$26</definedName>
    <definedName name="FRL_Capacity_bhelyapani">'[64]Fixation_Principal_Level Bhelya'!$O$6</definedName>
    <definedName name="FRL_CAPACITY_NEW">[41]Fixations_Principal_level!$F$36</definedName>
    <definedName name="FRL_capacity1">'[84]Fixation_Principal_Level '!$O$6</definedName>
    <definedName name="FRL_Dhawaliya">'[64]Fixation_Principal_Level Dhawal'!$P$7</definedName>
    <definedName name="FRL_New">[41]Fixations_Principal_level!$F$39</definedName>
    <definedName name="FRL_Submergance_Area">'[51]wtr pln minor-2'!$Q$30</definedName>
    <definedName name="frl_submergence_area">'[54]21_Waste_Weir New'!$D$25</definedName>
    <definedName name="fs">#REF!</definedName>
    <definedName name="FSD">#REF!</definedName>
    <definedName name="FSL">#REF!</definedName>
    <definedName name="FSLbearing14">#REF!</definedName>
    <definedName name="FSLc">#REF!</definedName>
    <definedName name="FSLclearspan">[23]FACE!#REF!</definedName>
    <definedName name="FSLclearspan_7">[23]FACE!#REF!</definedName>
    <definedName name="FSLclearspan_8">[23]FACE!#REF!</definedName>
    <definedName name="FSLclearspan_9">[23]FACE!#REF!</definedName>
    <definedName name="FSLclearspan11">#REF!</definedName>
    <definedName name="FSLeffectivespan">[23]FACE!#REF!</definedName>
    <definedName name="FSLeffectivespan_7">[23]FACE!#REF!</definedName>
    <definedName name="FSLeffectivespan_8">[23]FACE!#REF!</definedName>
    <definedName name="FSLeffectivespan_9">[23]FACE!#REF!</definedName>
    <definedName name="FSLeffectivespan12">#REF!</definedName>
    <definedName name="FSLf">[58]DESIGN!#REF!</definedName>
    <definedName name="FSLoverallspan">[23]FACE!#REF!</definedName>
    <definedName name="FSLoverallspan_7">[23]FACE!#REF!</definedName>
    <definedName name="FSLoverallspan_8">[23]FACE!#REF!</definedName>
    <definedName name="FSLoverallspan_9">[23]FACE!#REF!</definedName>
    <definedName name="FSLoverallspan13">#REF!</definedName>
    <definedName name="fso">#REF!</definedName>
    <definedName name="FST.">#REF!</definedName>
    <definedName name="fsteel">#REF!</definedName>
    <definedName name="fsw">#REF!</definedName>
    <definedName name="fswt">#REF!</definedName>
    <definedName name="FTL">#REF!</definedName>
    <definedName name="FTL_CAP">#REF!</definedName>
    <definedName name="fx">#REF!</definedName>
    <definedName name="fy">#REF!</definedName>
    <definedName name="fyfy">#REF!</definedName>
    <definedName name="fysteel">#REF!</definedName>
    <definedName name="fz">#REF!</definedName>
    <definedName name="g">#REF!</definedName>
    <definedName name="G.A.">[85]G.A.!$C$3:$F$8</definedName>
    <definedName name="g418\">#REF!</definedName>
    <definedName name="Gairatganj">#REF!</definedName>
    <definedName name="gama">#REF!</definedName>
    <definedName name="gammaw">#REF!</definedName>
    <definedName name="Garettes_Table_1">[38]Waste_Weir!$AL$4:$AN$91</definedName>
    <definedName name="Garetts_B">[38]Waste_Weir!$AM$4:$AM$94</definedName>
    <definedName name="Garhakala">#REF!</definedName>
    <definedName name="gg">#REF!</definedName>
    <definedName name="ggg">[22]A!$B$284</definedName>
    <definedName name="grade">#REF!</definedName>
    <definedName name="grossarea">#REF!</definedName>
    <definedName name="grossareaz">#REF!</definedName>
    <definedName name="grossneg">#REF!</definedName>
    <definedName name="grossnegz">#REF!</definedName>
    <definedName name="gs">#REF!</definedName>
    <definedName name="gunga">#REF!</definedName>
    <definedName name="gungakalara">#REF!</definedName>
    <definedName name="h" hidden="1">{"Daily Survey Report",#N/A,FALSE,"Daily"}</definedName>
    <definedName name="H___0">"$'BASE SLAB _ EARTH_WATER'.$#REF!$#REF!"</definedName>
    <definedName name="H___11">"$UPLIFT.$#REF!$#REF!"</definedName>
    <definedName name="H___8">"$'BASE SLAB _ NO WATER'.$#REF!$#REF!"</definedName>
    <definedName name="H___9">"$'BASE SLAB _ NO SOIL'.$#REF!$#REF!"</definedName>
    <definedName name="H2DT">#REF!</definedName>
    <definedName name="HA">#REF!</definedName>
    <definedName name="HAR" hidden="1">{"Daily Survey Report",#N/A,FALSE,"Daily"}</definedName>
    <definedName name="Hard_Morum">'[60]cot cal'!$W$21</definedName>
    <definedName name="Hard_Soil">'[60]cot cal'!$W$20</definedName>
    <definedName name="harnath">#REF!</definedName>
    <definedName name="haunches_length">[47]Des!$G$205</definedName>
    <definedName name="hc">#REF!</definedName>
    <definedName name="Hcurb">#REF!</definedName>
    <definedName name="Hd">#REF!</definedName>
    <definedName name="Head_Over_Crest">'[51]Fixation of levels'!$E$14</definedName>
    <definedName name="head_over_crest_flood_lift">'[54]21_Waste_Weir New'!$F$13</definedName>
    <definedName name="HEADERGHT">#REF!</definedName>
    <definedName name="HEADERGT">#REF!</definedName>
    <definedName name="HEADERLFT">#REF!</definedName>
    <definedName name="HEADERLFT2">#REF!</definedName>
    <definedName name="HEADERLFT2_1">'[86]Detailed Estimate'!#REF!</definedName>
    <definedName name="HEADERLFT2_2">#REF!</definedName>
    <definedName name="HEADERLFT2_3">#REF!</definedName>
    <definedName name="HEADERLFT3">#REF!</definedName>
    <definedName name="HEADERRGT">#REF!</definedName>
    <definedName name="HEADERRT2">#REF!</definedName>
    <definedName name="HEADERRT2_1">'[86]Detailed Estimate'!#REF!</definedName>
    <definedName name="HEADERRT2_2">#REF!</definedName>
    <definedName name="HEADERRT2_3">#REF!</definedName>
    <definedName name="HEADERRT3">[87]ABSTRACT!$G$4</definedName>
    <definedName name="Height_Sppilway">'[69]23_Design_Wast_weir_chanel'!$F$130</definedName>
    <definedName name="help">#REF!</definedName>
    <definedName name="hf">#REF!</definedName>
    <definedName name="HF_DISCH">#REF!</definedName>
    <definedName name="hfl">#REF!</definedName>
    <definedName name="hg" hidden="1">{"Daily Survey Report",#N/A,FALSE,"Daily"}</definedName>
    <definedName name="HGFXG">#REF!</definedName>
    <definedName name="hgh">'[70]CODE BOOK REFERENCE'!$H$1</definedName>
    <definedName name="hhh">[22]A!$A$1</definedName>
    <definedName name="hhhhh">[88]Design!#REF!</definedName>
    <definedName name="HHHHHHHHHH">#REF!</definedName>
    <definedName name="hhr">'[89]Pier Design(with offset)'!#REF!</definedName>
    <definedName name="hhr_7">'[89]Pier Design(with offset)'!#REF!</definedName>
    <definedName name="hhr_8">'[89]Pier Design(with offset)'!#REF!</definedName>
    <definedName name="hhr_9">'[89]Pier Design(with offset)'!#REF!</definedName>
    <definedName name="HiddenRows" hidden="1">#REF!</definedName>
    <definedName name="HJK">[90]DETAILED!$J$6</definedName>
    <definedName name="hl">[91]Design!$G$3</definedName>
    <definedName name="HMD">#REF!</definedName>
    <definedName name="HMD_f">#REF!</definedName>
    <definedName name="HMDc">#REF!</definedName>
    <definedName name="HMDds">#REF!</definedName>
    <definedName name="HMDf">#REF!</definedName>
    <definedName name="HP">#REF!</definedName>
    <definedName name="HP___0">"$'BASE SLAB _ EARTH_WATER'.$#REF!$#REF!"</definedName>
    <definedName name="HP___11">"$UPLIFT.$#REF!$#REF!"</definedName>
    <definedName name="HP___8">"$'BASE SLAB _ NO WATER'.$#REF!$#REF!"</definedName>
    <definedName name="HP___9">"$'BASE SLAB _ NO SOIL'.$#REF!$#REF!"</definedName>
    <definedName name="Hparapet">#REF!</definedName>
    <definedName name="hped">#REF!</definedName>
    <definedName name="Hpp">#REF!</definedName>
    <definedName name="hr">'[89]Pier Design(with offset)'!#REF!</definedName>
    <definedName name="hr_7">'[89]Pier Design(with offset)'!#REF!</definedName>
    <definedName name="hr_8">'[89]Pier Design(with offset)'!#REF!</definedName>
    <definedName name="hr_9">'[89]Pier Design(with offset)'!#REF!</definedName>
    <definedName name="Hs">#REF!</definedName>
    <definedName name="hsdj">[92]A!#REF!</definedName>
    <definedName name="HT">#REF!</definedName>
    <definedName name="HT___0">"$'BASE SLAB _ EARTH_WATER'.$#REF!$#REF!"</definedName>
    <definedName name="HT___11">"$UPLIFT.$#REF!$#REF!"</definedName>
    <definedName name="HT___8">"$'BASE SLAB _ NO WATER'.$#REF!$#REF!"</definedName>
    <definedName name="HT___9">"$'BASE SLAB _ NO SOIL'.$#REF!$#REF!"</definedName>
    <definedName name="HTA">#REF!</definedName>
    <definedName name="HTML_CodePage" hidden="1">1252</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tr">'[24]Pier Design(with offset)'!#REF!</definedName>
    <definedName name="htr_7">'[24]Pier Design(with offset)'!#REF!</definedName>
    <definedName name="htr_8">'[24]Pier Design(with offset)'!#REF!</definedName>
    <definedName name="htr_9">'[24]Pier Design(with offset)'!#REF!</definedName>
    <definedName name="HTRH.">#REF!</definedName>
    <definedName name="Hv">[58]DESIGN!#REF!</definedName>
    <definedName name="hw">#REF!</definedName>
    <definedName name="HWCTABLE">#REF!</definedName>
    <definedName name="hwt">#REF!</definedName>
    <definedName name="hww">#REF!</definedName>
    <definedName name="Hx">#REF!</definedName>
    <definedName name="Hy">#REF!</definedName>
    <definedName name="hyd">#REF!</definedName>
    <definedName name="hyp">#REF!</definedName>
    <definedName name="I">#REF!</definedName>
    <definedName name="i__PCC_M_15">[93]BQ!#REF!</definedName>
    <definedName name="if">#REF!</definedName>
    <definedName name="ifif">#REF!</definedName>
    <definedName name="Ilss">#REF!</definedName>
    <definedName name="Index">[94]FIRST!$H$1</definedName>
    <definedName name="index_node_lengtn">'[95]PIPE LENGTH'!#REF!</definedName>
    <definedName name="INT">#REF!</definedName>
    <definedName name="interb">#REF!</definedName>
    <definedName name="intert">#REF!</definedName>
    <definedName name="INTRD">#REF!</definedName>
    <definedName name="INTVL">#REF!</definedName>
    <definedName name="INVENTORY_OF_CULVERTS">#REF!</definedName>
    <definedName name="Inver_level_US">[47]Des!$H$297</definedName>
    <definedName name="Invert_level">[47]Des!$G$311</definedName>
    <definedName name="Invert_level_DS">[47]Des!$F$324</definedName>
    <definedName name="IOP">#REF!</definedName>
    <definedName name="ip">#REF!</definedName>
    <definedName name="IP_Niwali">[71]I.P!$L$4</definedName>
    <definedName name="IP_Panesamal">[71]I.P!$L$3</definedName>
    <definedName name="IP_Pati">[71]I.P!$L$2</definedName>
    <definedName name="Ir">#REF!</definedName>
    <definedName name="Irrigation_storage">[54]Fixation_Principal_Level!$P$2</definedName>
    <definedName name="ix">#REF!</definedName>
    <definedName name="iz">#REF!</definedName>
    <definedName name="J">#REF!</definedName>
    <definedName name="JDTRH">[96]DETAILED!$J$6</definedName>
    <definedName name="jey">#REF!</definedName>
    <definedName name="jjjj">[22]A!#REF!</definedName>
    <definedName name="jk">'[70]Eg-2'!$H$1</definedName>
    <definedName name="JobID">#REF!</definedName>
    <definedName name="JOINT">#REF!</definedName>
    <definedName name="JOINT1">#REF!</definedName>
    <definedName name="JOINTSR">#REF!</definedName>
    <definedName name="jointsre">#REF!</definedName>
    <definedName name="jtuk">#REF!</definedName>
    <definedName name="Jungle">#REF!</definedName>
    <definedName name="K">#REF!</definedName>
    <definedName name="K1_">#REF!</definedName>
    <definedName name="k1_table">#REF!</definedName>
    <definedName name="k1fact">#REF!</definedName>
    <definedName name="k1x">[35]Design!#REF!</definedName>
    <definedName name="k1y">[35]Design!#REF!</definedName>
    <definedName name="k2_table">#REF!</definedName>
    <definedName name="k2x">[35]Design!#REF!</definedName>
    <definedName name="k2y">[35]Design!#REF!</definedName>
    <definedName name="KA">#REF!</definedName>
    <definedName name="Karchuli">#REF!</definedName>
    <definedName name="kdlklfd">#REF!</definedName>
    <definedName name="KEY">#REF!</definedName>
    <definedName name="kfac11">#REF!</definedName>
    <definedName name="kfac22">#REF!</definedName>
    <definedName name="kg">[97]Letter!#REF!</definedName>
    <definedName name="kh_wr1">'[98]WR (3)'!$J$23/1000</definedName>
    <definedName name="khamkheda">#REF!</definedName>
    <definedName name="Khargone" hidden="1">{"Daily Survey Report",#N/A,FALSE,"Daily"}</definedName>
    <definedName name="Kharif_Crops">[99]Kc_Values!$D$4:$D$6</definedName>
    <definedName name="Kharif_Loss">0.3</definedName>
    <definedName name="Kharif_Monthly_WR">[99]Kc_Values!$D$4:$P$6</definedName>
    <definedName name="Kharif_WR">[100]WR!$J$23/1000</definedName>
    <definedName name="Kharif_WR_G">'[101]17__Abst.CWR(Gravity)'!$G$57</definedName>
    <definedName name="Kharif_WR_Kukshi">'[102]WR (2)'!$J$23/1000</definedName>
    <definedName name="Kharif_WR_Lift">'[103]IWR_Rabi_CP1_Barwani_CWR (L)'!$AA$228</definedName>
    <definedName name="Kharif_WR_Malveli">'[104]WR (2)'!$J$23/1000</definedName>
    <definedName name="Kharif_WR_Total">'[103]IWR_Rabi_CP1_Barwani_CWR(G)'!$AA$228+'[103]IWR_Rabi_CP1_Barwani_CWR (L)'!$AA$228</definedName>
    <definedName name="khrif_new">#REF!/1000</definedName>
    <definedName name="kk">#REF!</definedName>
    <definedName name="KKK">'[83]1) Volume - Calculation'!$E$6</definedName>
    <definedName name="kkkk">[22]A!#REF!</definedName>
    <definedName name="kl">'[70]Eg-1'!$H$1</definedName>
    <definedName name="klsregjklr">#REF!</definedName>
    <definedName name="kolukhedi">#REF!</definedName>
    <definedName name="Kp">#REF!</definedName>
    <definedName name="ks">#REF!</definedName>
    <definedName name="Ksf">#REF!</definedName>
    <definedName name="Ksss">#REF!</definedName>
    <definedName name="Kum" hidden="1">{"Daily Survey Report",#N/A,FALSE,"Daily"}</definedName>
    <definedName name="kUmhari" hidden="1">{"Daily Survey Report",#N/A,FALSE,"Daily"}</definedName>
    <definedName name="kval">#REF!</definedName>
    <definedName name="kx">#REF!</definedName>
    <definedName name="kxb">#REF!</definedName>
    <definedName name="kxt">#REF!</definedName>
    <definedName name="ky">#REF!</definedName>
    <definedName name="kyb">#REF!</definedName>
    <definedName name="kyju7">#REF!</definedName>
    <definedName name="kyt">#REF!</definedName>
    <definedName name="l" hidden="1">{"Daily Survey Report",#N/A,FALSE,"Daily"}</definedName>
    <definedName name="L.S.L">[105]Fixation_Principal_Level!$M$11</definedName>
    <definedName name="L_Bhisti">[106]Labour!$D$3</definedName>
    <definedName name="L_BitumenSprayer">[106]Labour!$D$4</definedName>
    <definedName name="L_Blacksmith">[106]Labour!$D$5</definedName>
    <definedName name="L_Blaster">[106]Labour!$D$6</definedName>
    <definedName name="L_Canal">[107]Main_Canal_Data_balgaon!$A$2:$B$6466</definedName>
    <definedName name="L_Carpenter_1stClass">[106]Labour!$D$7</definedName>
    <definedName name="L_ChipsSpreader">[106]Labour!$D$8</definedName>
    <definedName name="L_Chiseller">[106]Labour!$D$9</definedName>
    <definedName name="L_Dresser_Skilled">[106]Labour!$D$10</definedName>
    <definedName name="L_Driller">[106]Labour!$D$11</definedName>
    <definedName name="L_eff_spillway">'[105]Spill-Hydro design'!$I$114</definedName>
    <definedName name="L_Electrician_Lineman">[106]Labour!$D$12</definedName>
    <definedName name="L_Fitter">[106]Labour!$D$13</definedName>
    <definedName name="L_Mason_1stClass">[106]Labour!$D$14</definedName>
    <definedName name="L_Mason_2ndClass">[106]Labour!$D$15</definedName>
    <definedName name="L_Mate">[106]Labour!$D$16</definedName>
    <definedName name="L_Mazdoor">[106]Labour!$D$17</definedName>
    <definedName name="L_Mazdoor_Semi">[106]Labour!$D$18</definedName>
    <definedName name="L_Mazdoor_Skilled">[106]Labour!$D$19</definedName>
    <definedName name="L_overall_spillway">'[105]Spill-Hydro design'!$F$85</definedName>
    <definedName name="L_Painter_1stClass">[106]Labour!$D$20</definedName>
    <definedName name="L_Plumber">[106]Labour!$D$21</definedName>
    <definedName name="L_Surveyor">[106]Labour!$D$22</definedName>
    <definedName name="L_WhiteWasher">[108]Labour!$D$23</definedName>
    <definedName name="L_WW">#REF!</definedName>
    <definedName name="lamda1">#REF!</definedName>
    <definedName name="lamda2">#REF!</definedName>
    <definedName name="landacqcost">'[25]08'!#REF!</definedName>
    <definedName name="Lb">#REF!</definedName>
    <definedName name="LBC_Discharge">#REF!</definedName>
    <definedName name="LBMod">#REF!</definedName>
    <definedName name="Lc">#REF!</definedName>
    <definedName name="Lcr">#REF!</definedName>
    <definedName name="least">#REF!</definedName>
    <definedName name="lef">#REF!</definedName>
    <definedName name="Leff">[48]basdat!$D$4</definedName>
    <definedName name="lel">#REF!</definedName>
    <definedName name="len">#REF!</definedName>
    <definedName name="leng">[16]RD!#REF!</definedName>
    <definedName name="LENGTH">#REF!</definedName>
    <definedName name="Length_of_Spillway">[71]Sheet7!$C$9</definedName>
    <definedName name="length_WW">[39]Waste_Weir!$I$26</definedName>
    <definedName name="Level">#REF!</definedName>
    <definedName name="lex">[109]Loadings!#REF!</definedName>
    <definedName name="ley">[109]Loadings!#REF!</definedName>
    <definedName name="Lf">#REF!</definedName>
    <definedName name="lfac">#REF!</definedName>
    <definedName name="lfoot">#REF!</definedName>
    <definedName name="Lh.appslab">#REF!</definedName>
    <definedName name="Lh.slab">#REF!</definedName>
    <definedName name="linenine">#REF!</definedName>
    <definedName name="live">#REF!</definedName>
    <definedName name="Live_Storage">'[51]wtr pln minor-2'!$F$24</definedName>
    <definedName name="ll">'[70]Eg-3'!$H$1</definedName>
    <definedName name="lll">[22]A!$A$56</definedName>
    <definedName name="LOAD">#REF!</definedName>
    <definedName name="LOAD1">#REF!</definedName>
    <definedName name="LOADSR">#REF!</definedName>
    <definedName name="loc">#REF!</definedName>
    <definedName name="longdia">#REF!</definedName>
    <definedName name="LOOP">#REF!</definedName>
    <definedName name="Loss_Kharif">[71]Water_Planning!$E$25</definedName>
    <definedName name="Loss_Rabi">[71]Water_Planning!$L$15</definedName>
    <definedName name="Loss_Summer">[71]Water_Planning!$L$24</definedName>
    <definedName name="Lph">#REF!</definedName>
    <definedName name="LSF">'[110]Concrete_D.'!$C$7</definedName>
    <definedName name="LSL">'[51]Fixation of levels'!$E$10</definedName>
    <definedName name="lsl_Area">'[64]Fixation_Principal_Level Bhelya'!$AG$12</definedName>
    <definedName name="LSL_CAP">#REF!</definedName>
    <definedName name="Lsump">#REF!</definedName>
    <definedName name="Lt">'[89]Pier Design(with offset)'!#REF!</definedName>
    <definedName name="lt_7">'[89]Pier Design(with offset)'!#REF!</definedName>
    <definedName name="lt_8">'[89]Pier Design(with offset)'!#REF!</definedName>
    <definedName name="lt_9">'[89]Pier Design(with offset)'!#REF!</definedName>
    <definedName name="LTB">[111]Sheet1!$A$1:$B$99</definedName>
    <definedName name="ltr">'[24]Pier Design(with offset)'!#REF!</definedName>
    <definedName name="ltr_7">'[24]Pier Design(with offset)'!#REF!</definedName>
    <definedName name="ltr_8">'[24]Pier Design(with offset)'!#REF!</definedName>
    <definedName name="ltr_9">'[24]Pier Design(with offset)'!#REF!</definedName>
    <definedName name="Lx">#REF!</definedName>
    <definedName name="lxx">#REF!</definedName>
    <definedName name="lxxx">#REF!</definedName>
    <definedName name="ly">[109]Loadings!#REF!</definedName>
    <definedName name="lyy">#REF!</definedName>
    <definedName name="lz">'[57]Flocculator footing'!$F$14</definedName>
    <definedName name="m">#REF!</definedName>
    <definedName name="M.W.L">[105]Fixation_Principal_Level!$M$13</definedName>
    <definedName name="M_25_box_Culvert">#REF!</definedName>
    <definedName name="M_ACPipe_100">[106]Material!$D$3</definedName>
    <definedName name="M_Aggregate_10">[106]Material!$D$17</definedName>
    <definedName name="M_Aggregate_20">[106]Material!$D$18</definedName>
    <definedName name="M_Aggregate_224_236m_WMM">[106]Material!$D$26</definedName>
    <definedName name="M_Aggregate_375mmMaximum_224_56mm">[106]Material!$D$4</definedName>
    <definedName name="M_Aggregate_375mmMaximum_45_225mm">[106]Material!$D$5</definedName>
    <definedName name="M_Aggregate_375mmMaximum_Below_56mm">[106]Material!$D$6</definedName>
    <definedName name="M_Aggregate_40">[106]Material!$D$19</definedName>
    <definedName name="M_Aggregate_45_224m_WMM">[106]Material!$D$27</definedName>
    <definedName name="M_Aggregate_53mmMaximum_225_56mm">[106]Material!$D$7</definedName>
    <definedName name="M_Aggregate_53mmMaximum_63_45mm">[106]Material!$D$8</definedName>
    <definedName name="M_Aggregate_53mmMaximum_below_56mm">[106]Material!$D$9</definedName>
    <definedName name="M_Aggregate_Crushable_GradeI">[106]Material!$D$20</definedName>
    <definedName name="M_Aggregate_Crushable_GradeII">[106]Material!$D$21</definedName>
    <definedName name="M_Aggregate_Crushable_GradeIII">[106]Material!$D$22</definedName>
    <definedName name="M_Aggregate_GradeI_40mmNominal_10_5mm">[112]Material!$D$10</definedName>
    <definedName name="M_Aggregate_GradeI_40mmNominal_25_10mm">[112]Material!$D$11</definedName>
    <definedName name="M_Aggregate_GradeI_40mmNominal_3725_25mm">[112]Material!$D$12</definedName>
    <definedName name="M_Aggregate_GradeI_40mmNominal_5mm">[112]Material!$D$13</definedName>
    <definedName name="M_Aggregate_GradeI_90_45mm">[106]Material!$D$23</definedName>
    <definedName name="M_Aggregate_GradeII_19mmNominal_10_5mm">[106]Material!$D$14</definedName>
    <definedName name="M_Aggregate_GradeII_19mmNominal_25_10mm">[106]Material!$D$15</definedName>
    <definedName name="M_Aggregate_GradeII_19mmNominal_5mm_below">[106]Material!$D$16</definedName>
    <definedName name="M_Aggregate_GradeII_63_45mm">[106]Material!$D$24</definedName>
    <definedName name="M_Aggregate_GradeIII_53_224mm">[106]Material!$D$25</definedName>
    <definedName name="M_AluminiumSheeting_15mm">[106]Material!$D$28</definedName>
    <definedName name="M_AluminiumStuds_100_100_Lense">[106]Material!$D$29</definedName>
    <definedName name="M_Bamboo_1stClass_85_100mm_25m_long">[106]Material!$D$31</definedName>
    <definedName name="M_Bamboo_1stClass_85_100mm_2m_long">[106]Material!$D$30</definedName>
    <definedName name="M_Bamboo_1stClass_85_100mm_3m_long">[106]Material!$D$32</definedName>
    <definedName name="M_Bamboo_1stClass_85_100mm_45_55m_long">[106]Material!$D$33</definedName>
    <definedName name="M_Bamboo_2ndClass_75mm_18_25m_long">[106]Material!$D$34</definedName>
    <definedName name="M_Bamboo_2ndClass_75mm_21_30m_long">[106]Material!$D$35</definedName>
    <definedName name="M_BarbedWire">[106]Material!$D$36</definedName>
    <definedName name="M_BindingMaterial">[106]Material!$D$37</definedName>
    <definedName name="M_BindingWire">[106]Material!$D$38</definedName>
    <definedName name="M_Bitumen_CRM">[106]Material!$D$39</definedName>
    <definedName name="M_Bitumen_NRM">[106]Material!$D$40</definedName>
    <definedName name="M_Bitumen_PM">[106]Material!$D$41</definedName>
    <definedName name="M_Bitumen_S65">[106]Material!$D$42</definedName>
    <definedName name="M_Bitumen_S90">[106]Material!$D$43</definedName>
    <definedName name="M_BitumenEmulsion_RS1">[106]Material!$D$44</definedName>
    <definedName name="M_BitumenEmulsion_SS1">[106]Material!$D$45</definedName>
    <definedName name="M_BitumenSealant">[106]Material!$D$46</definedName>
    <definedName name="M_Blasted_Rubble">[106]Material!$D$47</definedName>
    <definedName name="M_BlastingMaterial">[106]Material!$D$48</definedName>
    <definedName name="M_BondStone_400_150_150mm">[106]Material!$D$49</definedName>
    <definedName name="M_Brick_1stClass">[106]Material!$D$50</definedName>
    <definedName name="M_Cement">[106]Material!$D$51</definedName>
    <definedName name="M_CementPrimer">[106]Material!$D$52</definedName>
    <definedName name="M_ChlorpreneElastomer_OR_ClosedCellFoamSealingElement">[106]Material!$D$53</definedName>
    <definedName name="M_CompensationForEarthTakenFromPrivateLand">[106]Material!$D$54</definedName>
    <definedName name="M_CompressibleFibreBoard">[106]Material!$D$55</definedName>
    <definedName name="M_CopperPlate">[106]Material!$D$56</definedName>
    <definedName name="M_CorbellingStones_300_150_150mm">[106]Material!$D$57</definedName>
    <definedName name="M_CorrosionResistantStructuralSteelGrating">[106]Material!$D$58</definedName>
    <definedName name="M_CreditForExcavatedRock">[106]Material!$D$59</definedName>
    <definedName name="M_CrowBars_40mm">[106]Material!$D$60</definedName>
    <definedName name="M_CrushedSand_OR_Grit">[106]Material!$D$61</definedName>
    <definedName name="M_CrushedSlag">[106]Material!$D$62</definedName>
    <definedName name="M_CrushedStoneAggregate_265_75">[108]Material!$D$63</definedName>
    <definedName name="M_CrushedStoneChipping_132">[106]Material!$D$64</definedName>
    <definedName name="M_CrushedStoneChipping_67mm_100Passing_112mm">[106]Material!$D$65</definedName>
    <definedName name="M_CrushedStoneChipping_67mm_100Passing_95mm">[106]Material!$D$66</definedName>
    <definedName name="M_CrushedStoneChipping_95">[106]Material!$D$67</definedName>
    <definedName name="M_CrushedStoneCoarseAggregatePassing_53mm">[106]Material!$D$68</definedName>
    <definedName name="M_CuringCompound">[106]Material!$D$69</definedName>
    <definedName name="M_DebondingStrips">[106]Material!$D$70</definedName>
    <definedName name="M_EdgeStone_450_350_100mm">[106]Material!$D$71</definedName>
    <definedName name="M_EdgeStone_450_350_200mm">[106]Material!$D$72</definedName>
    <definedName name="M_ElastomericBearingAssembly">[106]Material!$D$73</definedName>
    <definedName name="M_ElectricDetonator">[106]Material!$D$74</definedName>
    <definedName name="M_EpoxyPaint">[106]Material!$D$75</definedName>
    <definedName name="M_FarmyardManure">[106]Material!$D$77</definedName>
    <definedName name="M_FevicolAdhesive">[108]Material!$D$78</definedName>
    <definedName name="M_FilterMedia">[106]Material!$D$79</definedName>
    <definedName name="M_FineAggregate_CrushedSand">[106]Material!$D$80</definedName>
    <definedName name="M_GalvanisedAngle">[106]Material!$D$81</definedName>
    <definedName name="M_Gelatine_80">[106]Material!$D$83</definedName>
    <definedName name="M_GIPipe_100mm">[106]Material!$D$84</definedName>
    <definedName name="M_GIPipe_50mm">[106]Material!$D$85</definedName>
    <definedName name="M_GIWires">[106]Material!$D$86</definedName>
    <definedName name="M_GradedStoneAggregate">[106]Material!$D$87</definedName>
    <definedName name="M_GranularMaterial">[106]Material!$D$88</definedName>
    <definedName name="M_HandBrokenMetal_40mm">[106]Material!$D$89</definedName>
    <definedName name="M_Indigo">[108]Material!$D$90</definedName>
    <definedName name="M_InterlockingBlocks_60mm">[106]Material!$D$91</definedName>
    <definedName name="M_InterlockingBlocks_80mm">[106]Material!$D$92</definedName>
    <definedName name="M_JointFillerBoard">[106]Material!$D$93</definedName>
    <definedName name="M_JuteNetting_OpenWeave_25mm">[106]Material!$D$94</definedName>
    <definedName name="M_JuteRope_12mm">[106]Material!$D$95</definedName>
    <definedName name="M_KeyAggregatesPassing_224mm">[106]Material!$D$96</definedName>
    <definedName name="M_Lime">[106]Material!$D$97</definedName>
    <definedName name="M_LocalWoodPiles_1stClass">[106]Material!$D$99</definedName>
    <definedName name="M_LocalWoodPiles_1stClass_100_75mm">[106]Material!$D$100</definedName>
    <definedName name="M_LooseStone">[106]Material!$D$101</definedName>
    <definedName name="M_MS_Sheet_15mm">[106]Material!$D$105</definedName>
    <definedName name="M_MS_Sheet_2mm">[106]Material!$D$106</definedName>
    <definedName name="M_MSClamps">[106]Material!$D$102</definedName>
    <definedName name="M_MSFlat_StructuralSteel">[106]Material!$D$103</definedName>
    <definedName name="M_MSSheetTube_47_47mm_12_SWG">[106]Material!$D$104</definedName>
    <definedName name="M_Nuts_Bolts_Rivets">[106]Material!$D$107</definedName>
    <definedName name="M_Paint_SyntheticEnamel">[106]Material!$D$108</definedName>
    <definedName name="M_Plasticizer">[106]Material!$D$109</definedName>
    <definedName name="M_PolytheneSheet_125">[106]Material!$D$110</definedName>
    <definedName name="M_PolytheneSheething">[106]Material!$D$111</definedName>
    <definedName name="M_QuarriedStone_150_200mm">[106]Material!$D$112</definedName>
    <definedName name="M_RCCPipeNP3_1000mm">[106]Material!$D$114</definedName>
    <definedName name="M_RCCPipeNP3_1200mm">[106]Material!$D$113</definedName>
    <definedName name="M_RCCPipeNP3_500mm">[106]Material!$D$117</definedName>
    <definedName name="M_RCCPipeNP3_750mm">[106]Material!$D$115</definedName>
    <definedName name="M_RCCPipeNP4_1000mm">[106]Material!$D$119</definedName>
    <definedName name="M_RCCPipeNP4_1200mm">[106]Material!$D$118</definedName>
    <definedName name="M_RCCPipeNP4_500mm">[106]Material!$D$122</definedName>
    <definedName name="M_RCCPipeNP4_750mm">[106]Material!$D$120</definedName>
    <definedName name="M_RedOxidePrimer">[106]Material!$D$123</definedName>
    <definedName name="M_RoadMarkingPaint">[106]Material!$D$124</definedName>
    <definedName name="M_Sand_Coarse">[106]Material!$D$125</definedName>
    <definedName name="M_Sand_Fine">[106]Material!$D$126</definedName>
    <definedName name="M_Seeds">[106]Material!$D$127</definedName>
    <definedName name="m_slope">[54]Rainfall_Khandwa!$S$81</definedName>
    <definedName name="M_SteelPipe_500mm">[106]Material!$D$128</definedName>
    <definedName name="M_SteelReinforcement_HYSDBars">[106]Material!$D$129</definedName>
    <definedName name="M_SteelReinforcement_MSRoundBars">[106]Material!$D$130</definedName>
    <definedName name="M_SteelReinforcement_TMTBars">[106]Material!$D$131</definedName>
    <definedName name="M_StoneBoulder_150mm_below">[106]Material!$D$132</definedName>
    <definedName name="M_StoneChips_12mm">[106]Material!$D$133</definedName>
    <definedName name="M_StoneCrushedAggregate_112_009mm">[106]Material!$D$135</definedName>
    <definedName name="M_StoneForCoarseRubbleMasonry_1stSort">[106]Material!$D$136</definedName>
    <definedName name="M_StoneForCoarseRubbleMasonry_2ndSort">[106]Material!$D$137</definedName>
    <definedName name="M_StoneForRandomRubbleMasonry">[106]Material!$D$138</definedName>
    <definedName name="M_StoneForStoneSetPavement">[106]Material!$D$139</definedName>
    <definedName name="M_StoneScreening_TypeA_132mm_Grade1">[106]Material!$D$140</definedName>
    <definedName name="M_StoneScreening_TypeB_112mm_Grade2">[106]Material!$D$142</definedName>
    <definedName name="M_StoneScreening_TypeB_112mm_Grade3">[106]Material!$D$143</definedName>
    <definedName name="M_StoneSpalls">[106]Material!$D$144</definedName>
    <definedName name="M_TrafficCones">[106]Material!$D$145</definedName>
    <definedName name="M_Water">[106]Material!$D$146</definedName>
    <definedName name="M_WellGradedGranularBaseMaterial_GradeA_236mm">[106]Material!$D$147</definedName>
    <definedName name="M_WellGradedGranularBaseMaterial_GradeA_265_475mm">[106]Material!$D$148</definedName>
    <definedName name="M_WellGradedGranularBaseMaterial_GradeA_53_265mm">[106]Material!$D$149</definedName>
    <definedName name="M_WellGradedGranularBaseMaterial_GradeB_236mm_below">[106]Material!$D$150</definedName>
    <definedName name="M_WellGradedGranularBaseMaterial_GradeB_265_475mm">[106]Material!$D$151</definedName>
    <definedName name="M_WellGradedGranularBaseMaterial_GradeC_236mm_below">[106]Material!$D$152</definedName>
    <definedName name="M_WellGradedGranularBaseMaterial_GradeC_95_475mm">[106]Material!$D$153</definedName>
    <definedName name="M_WellGradedMateralForSubbase_GradeI_236mm_below">[106]Material!$D$154</definedName>
    <definedName name="M_WellGradedMateralForSubbase_GradeI_53_95mm">[106]Material!$D$155</definedName>
    <definedName name="M_WellGradedMateralForSubbase_GradeI_95_236mm">[106]Material!$D$156</definedName>
    <definedName name="M_WellGradedMateralForSubbase_GradeII_236mm_below">[106]Material!$D$157</definedName>
    <definedName name="M_WellGradedMateralForSubbase_GradeII_265_95mm">[106]Material!$D$158</definedName>
    <definedName name="M_WellGradedMateralForSubbase_GradeII_95_236mm">[106]Material!$D$159</definedName>
    <definedName name="M_WellGradedMateralForSubbase_GradeIII_236mm_below">[106]Material!$D$160</definedName>
    <definedName name="M_WellGradedMateralForSubbase_GradeIII_475_236mm">[106]Material!$D$161</definedName>
    <definedName name="M_WellGradedMateralForSubbase_GradeIII_95_475mm">[106]Material!$D$162</definedName>
    <definedName name="M_WoodenSleepers">[106]Material!$D$163</definedName>
    <definedName name="M1x">[35]Design!#REF!</definedName>
    <definedName name="M1y">[35]Design!#REF!</definedName>
    <definedName name="M2x">[35]Design!#REF!</definedName>
    <definedName name="M2y">[35]Design!#REF!</definedName>
    <definedName name="Macro1">#REF!</definedName>
    <definedName name="Main_Canal">ROUND('[113]canal Details'!$D$2/1000,2)</definedName>
    <definedName name="manish" hidden="1">{"Daily Survey Report",#N/A,FALSE,"Daily"}</definedName>
    <definedName name="ManningN">#REF!</definedName>
    <definedName name="MANNINGS_COEFFICIENT">'[71]Spill channel'!#REF!</definedName>
    <definedName name="map" hidden="1">{"Daily Survey Report",#N/A,FALSE,"Daily"}</definedName>
    <definedName name="MATCAT">#REF!</definedName>
    <definedName name="match_node_length">'[95]PIPE LENGTH'!#REF!</definedName>
    <definedName name="MAX">MAX([114]Main_Canal_Data_balgaon!$A$2:$A$6138)</definedName>
    <definedName name="Max_100m">MAX('[115]50 m and 100 mProfile'!$G$3:$G$143)</definedName>
    <definedName name="Max_50m">MAX('[115]50 m and 100 mProfile'!$A$3:$A$131)</definedName>
    <definedName name="Max_Dam_RD">MAX('[115]50 m and 100 mProfile'!$M$3:$M$200)</definedName>
    <definedName name="MAX_MIN">#REF!</definedName>
    <definedName name="MAX_MINS1">#REF!</definedName>
    <definedName name="maxgross">#REF!</definedName>
    <definedName name="maxmix">#REF!</definedName>
    <definedName name="maxmiy">#REF!</definedName>
    <definedName name="maxshearx">#REF!</definedName>
    <definedName name="maxshearz">#REF!</definedName>
    <definedName name="maxxmom">#REF!</definedName>
    <definedName name="maxzmom">#REF!</definedName>
    <definedName name="mb">#REF!</definedName>
    <definedName name="mbvnfgs">#REF!</definedName>
    <definedName name="MCS" hidden="1">{"wwww",#N/A,FALSE,"Final_ RATE ANALYSIS "}</definedName>
    <definedName name="MDDL">'[51]wtr pln minor-2'!$Q$19</definedName>
    <definedName name="MDDL_Bhelyapani">'[64]Fixation_Principal_Level Bhelya'!$H$16</definedName>
    <definedName name="MDDL_CAP">#REF!</definedName>
    <definedName name="MDDL_New">[41]Fixations_Principal_level!$F$30</definedName>
    <definedName name="MDDL_Storage">#REF!</definedName>
    <definedName name="MDDL_Storage_bhelyapani">'[64]Fixation_Principal_Level Bhelya'!$H$17</definedName>
    <definedName name="MDDL_Storage_Dhawaliya">'[64]Fixation_Principal_Level Dhawal'!$H$17</definedName>
    <definedName name="Me">#REF!</definedName>
    <definedName name="Mean_Rainfall_mm">[51]drf_Khargone!$E$78</definedName>
    <definedName name="MEMBER">#REF!</definedName>
    <definedName name="MEMBER1">#REF!</definedName>
    <definedName name="MEMBERS1">#REF!</definedName>
    <definedName name="membid">#REF!</definedName>
    <definedName name="memid">#REF!</definedName>
    <definedName name="MENU">#REF!</definedName>
    <definedName name="Mera">#REF!</definedName>
    <definedName name="Meter_Acer">0.000247105381467165</definedName>
    <definedName name="method">#REF!</definedName>
    <definedName name="mhjj" hidden="1">{"'Bill No. 7'!$A$1:$G$32"}</definedName>
    <definedName name="Mi">#REF!</definedName>
    <definedName name="Mii">#REF!</definedName>
    <definedName name="Miii">#REF!</definedName>
    <definedName name="mingross">#REF!</definedName>
    <definedName name="Mini_NBL">CEILING(MIN('[116]Chiltya Barrage Profile'!$B$2:$B$418),0.001)</definedName>
    <definedName name="minpttopx">#REF!</definedName>
    <definedName name="minst">#REF!</definedName>
    <definedName name="minst_xbotCl">#REF!</definedName>
    <definedName name="minst_xtopCl">#REF!</definedName>
    <definedName name="minst_zbotCl">#REF!</definedName>
    <definedName name="minst_ztopCl">#REF!</definedName>
    <definedName name="minstx">#REF!</definedName>
    <definedName name="minstz">#REF!</definedName>
    <definedName name="mix">#REF!</definedName>
    <definedName name="mixb">#REF!</definedName>
    <definedName name="mixt">#REF!</definedName>
    <definedName name="miy">#REF!</definedName>
    <definedName name="miyb">#REF!</definedName>
    <definedName name="miyt">#REF!</definedName>
    <definedName name="mk.ll">#REF!</definedName>
    <definedName name="mkg">#REF!</definedName>
    <definedName name="mm">#REF!</definedName>
    <definedName name="mmm" hidden="1">{"Daily Survey Report",#N/A,FALSE,"Daily"}</definedName>
    <definedName name="MOD.FAC">#REF!</definedName>
    <definedName name="Modarated_Flood">[53]Waste_Weir!$C$20</definedName>
    <definedName name="Moderated_Discharge">'[54]21_Waste_Weir New'!$D$59</definedName>
    <definedName name="Modi._D">#REF!</definedName>
    <definedName name="Modi.D">#REF!</definedName>
    <definedName name="Modratio">#REF!</definedName>
    <definedName name="modular">#REF!</definedName>
    <definedName name="MOM_Y">#REF!</definedName>
    <definedName name="MOM_Z">#REF!</definedName>
    <definedName name="mom1x">#REF!</definedName>
    <definedName name="mom1y">#REF!</definedName>
    <definedName name="mom2x">#REF!</definedName>
    <definedName name="mom2y">#REF!</definedName>
    <definedName name="momratio">#REF!</definedName>
    <definedName name="MOMY1">#REF!</definedName>
    <definedName name="MOMZ1">#REF!</definedName>
    <definedName name="Morena">[117]Letter!#REF!</definedName>
    <definedName name="most">#REF!</definedName>
    <definedName name="Mr">#REF!</definedName>
    <definedName name="Ms">#REF!</definedName>
    <definedName name="msc" hidden="1">{"Daily Survey Report",#N/A,FALSE,"Daily"}</definedName>
    <definedName name="mselfx">#REF!</definedName>
    <definedName name="msf">'[118]Concrete_D.'!$C$7</definedName>
    <definedName name="msoilx">#REF!</definedName>
    <definedName name="msurx">#REF!</definedName>
    <definedName name="msx">#REF!</definedName>
    <definedName name="msxb">#REF!</definedName>
    <definedName name="msxt">#REF!</definedName>
    <definedName name="msy">#REF!</definedName>
    <definedName name="msyb">#REF!</definedName>
    <definedName name="msyt">#REF!</definedName>
    <definedName name="mu">#REF!</definedName>
    <definedName name="Mu_bd2">'[119]Wall W1'!#REF!</definedName>
    <definedName name="mubyfckbd">#REF!</definedName>
    <definedName name="Mugaliyahat">#REF!</definedName>
    <definedName name="mui">#REF!</definedName>
    <definedName name="mux">#REF!</definedName>
    <definedName name="Mux_fckbD2">#REF!</definedName>
    <definedName name="Mux_Mux1">#REF!</definedName>
    <definedName name="mux1b">#REF!</definedName>
    <definedName name="mux1t">#REF!</definedName>
    <definedName name="muxb">#REF!</definedName>
    <definedName name="muxbybd">#REF!</definedName>
    <definedName name="muxbybdz">#REF!</definedName>
    <definedName name="muxt">#REF!</definedName>
    <definedName name="muy">#REF!</definedName>
    <definedName name="Muy_fckbD2">#REF!</definedName>
    <definedName name="Muy_Muy1">#REF!</definedName>
    <definedName name="muy1b">#REF!</definedName>
    <definedName name="muy1t">#REF!</definedName>
    <definedName name="muyb">#REF!</definedName>
    <definedName name="muybyfckbd">#REF!</definedName>
    <definedName name="muyt">#REF!</definedName>
    <definedName name="muz">#REF!</definedName>
    <definedName name="MWL">'[51]Fixation of levels'!$E$16</definedName>
    <definedName name="MWL_CAP">#REF!</definedName>
    <definedName name="MWL_Capacity">[53]Fixation_Principal_Level!$AG$26</definedName>
    <definedName name="mx">'[57]Flocculator footing'!$F$11</definedName>
    <definedName name="mxb">#REF!</definedName>
    <definedName name="Mxc">#REF!</definedName>
    <definedName name="Mxh">#REF!</definedName>
    <definedName name="mxneg">#REF!</definedName>
    <definedName name="mxnegbybd">#REF!</definedName>
    <definedName name="mxt">#REF!</definedName>
    <definedName name="myb">#REF!</definedName>
    <definedName name="Myc">#REF!</definedName>
    <definedName name="Myh">#REF!</definedName>
    <definedName name="myt">#REF!</definedName>
    <definedName name="mz">'[57]Flocculator footing'!$F$12</definedName>
    <definedName name="MZ_MY">#REF!</definedName>
    <definedName name="MZ_MYS1">#REF!</definedName>
    <definedName name="mzneg">#REF!</definedName>
    <definedName name="mznegbybd">#REF!</definedName>
    <definedName name="N">#REF!</definedName>
    <definedName name="N_BLOK">#REF!</definedName>
    <definedName name="N_DIST">#REF!</definedName>
    <definedName name="N_PI">#REF!</definedName>
    <definedName name="N_PROJ">#REF!</definedName>
    <definedName name="n_PROLONG">'[46]Flood &amp; Lift'!$FZ$88</definedName>
    <definedName name="n_SPATES">'[46]Flood &amp; Lift'!$FY$75</definedName>
    <definedName name="N_VILG">#REF!</definedName>
    <definedName name="NA">#REF!</definedName>
    <definedName name="nacontact">#REF!</definedName>
    <definedName name="Nalkheda">#REF!</definedName>
    <definedName name="nalla">#REF!</definedName>
    <definedName name="name">[21]Sheet4!$A$1</definedName>
    <definedName name="nb">#REF!</definedName>
    <definedName name="NBL">[71]Area_Capacity!$B$5</definedName>
    <definedName name="NBL_Goi_Barrage">[40]Area_Capacity_GOI_BARRAGE!$B$5</definedName>
    <definedName name="nbl_jam">393.53</definedName>
    <definedName name="nbmx1">#REF!</definedName>
    <definedName name="nbmz1">#REF!</definedName>
    <definedName name="Nds">#REF!</definedName>
    <definedName name="Net_CA">#REF!</definedName>
    <definedName name="netbmx1">#REF!</definedName>
    <definedName name="netpbmx1">#REF!</definedName>
    <definedName name="netpbmz1">#REF!</definedName>
    <definedName name="netpres">#REF!</definedName>
    <definedName name="new" hidden="1">{"'Bill No. 7'!$A$1:$G$32"}</definedName>
    <definedName name="NEXTRD">#REF!</definedName>
    <definedName name="ngl">#REF!</definedName>
    <definedName name="nineline">#REF!</definedName>
    <definedName name="nk">'[66]Unit I_L_WORK'!#REF!</definedName>
    <definedName name="nmselfx">#REF!</definedName>
    <definedName name="nmsoilz">#REF!</definedName>
    <definedName name="nmsurx">#REF!</definedName>
    <definedName name="nn">#REF!</definedName>
    <definedName name="nnetbmz">#REF!</definedName>
    <definedName name="nnnn">[92]A!#REF!</definedName>
    <definedName name="No.span">#REF!</definedName>
    <definedName name="No_of_Years">MAX([120]Rainfall_Borkhedi!$A$5:$A$79)</definedName>
    <definedName name="node_match">'[95]NODE LEVEL'!#REF!</definedName>
    <definedName name="Nos">#REF!</definedName>
    <definedName name="NR">#REF!</definedName>
    <definedName name="nsbc">#REF!</definedName>
    <definedName name="nstext">#REF!</definedName>
    <definedName name="nstext1">#REF!</definedName>
    <definedName name="nstext2">#REF!</definedName>
    <definedName name="nstext3">#REF!</definedName>
    <definedName name="nt">#REF!</definedName>
    <definedName name="NW">[16]DATA!#REF!</definedName>
    <definedName name="o">'[70]Eg-4'!$H$1</definedName>
    <definedName name="O.Mtsbed">#REF!</definedName>
    <definedName name="O.Mtsfound">#REF!</definedName>
    <definedName name="O.Mtsfoundfrt">#REF!</definedName>
    <definedName name="O_D_Matrix">#REF!</definedName>
    <definedName name="OAL">#REF!</definedName>
    <definedName name="Obspier">#REF!</definedName>
    <definedName name="OD">#REF!</definedName>
    <definedName name="ofcablescost">'[25]08'!#REF!</definedName>
    <definedName name="offset">#REF!</definedName>
    <definedName name="OLB">#REF!</definedName>
    <definedName name="olct">'[24]Pier Design(with offset)'!#REF!</definedName>
    <definedName name="olct_7">'[24]Pier Design(with offset)'!#REF!</definedName>
    <definedName name="olct_8">'[24]Pier Design(with offset)'!#REF!</definedName>
    <definedName name="olct_9">'[24]Pier Design(with offset)'!#REF!</definedName>
    <definedName name="old">#REF!</definedName>
    <definedName name="olt">'[89]Pier Design(with offset)'!#REF!</definedName>
    <definedName name="olt_7">'[89]Pier Design(with offset)'!#REF!</definedName>
    <definedName name="olt_8">'[89]Pier Design(with offset)'!#REF!</definedName>
    <definedName name="olt_9">'[89]Pier Design(with offset)'!#REF!</definedName>
    <definedName name="one">[117]Letter!#REF!</definedName>
    <definedName name="one_third">ROUND([121]Water_Planning!$P$17,3)</definedName>
    <definedName name="One_Third_Replenishment">[122]WR!$P$29</definedName>
    <definedName name="onethird">#REF!</definedName>
    <definedName name="OO">[62]Waste_Weir!$K$11</definedName>
    <definedName name="OOOO">[62]Waste_Weir!$AM$4:$AM$94</definedName>
    <definedName name="OOOOO">[62]WR!$J$23/1000</definedName>
    <definedName name="ops">#REF!</definedName>
    <definedName name="OrderTable" hidden="1">#REF!</definedName>
    <definedName name="OUTPUT">#REF!</definedName>
    <definedName name="overallspan1">[23]FACE!#REF!</definedName>
    <definedName name="overallspan1_7">[23]FACE!#REF!</definedName>
    <definedName name="overallspan1_8">[23]FACE!#REF!</definedName>
    <definedName name="overallspan1_9">[23]FACE!#REF!</definedName>
    <definedName name="overallspan13">'[123]SLAB DESIGN'!$E$41</definedName>
    <definedName name="OWB">#REF!</definedName>
    <definedName name="Owds">#REF!</definedName>
    <definedName name="P">[90]DETAILED!$J$6</definedName>
    <definedName name="P.Epresfound">#REF!</definedName>
    <definedName name="P.HOURS">#REF!</definedName>
    <definedName name="P.YRS">#REF!</definedName>
    <definedName name="P_3">#REF!</definedName>
    <definedName name="p_fck">#REF!</definedName>
    <definedName name="Page">#REF!</definedName>
    <definedName name="Pavement_Condition_Survey">#REF!</definedName>
    <definedName name="pb">#REF!</definedName>
    <definedName name="pbmx1">#REF!</definedName>
    <definedName name="pbmz2">#REF!</definedName>
    <definedName name="Pbx">[35]Design!#REF!</definedName>
    <definedName name="pbxexp">#REF!</definedName>
    <definedName name="Pby">[35]Design!#REF!</definedName>
    <definedName name="pbyexp">#REF!</definedName>
    <definedName name="pbyfck">#REF!</definedName>
    <definedName name="pbypuz">#REF!</definedName>
    <definedName name="PCC">#REF!</definedName>
    <definedName name="pccut">#REF!</definedName>
    <definedName name="Pcsc">#REF!</definedName>
    <definedName name="Pcsm">#REF!</definedName>
    <definedName name="Pd">[124]Gallery!$K$75</definedName>
    <definedName name="PDATA">#REF!</definedName>
    <definedName name="Pds">#REF!</definedName>
    <definedName name="Peak_Flood">MAX([125]UH!$AC$6:$AC$40)</definedName>
    <definedName name="permissiblecrackwidth">#REF!</definedName>
    <definedName name="persteel">#REF!</definedName>
    <definedName name="persteelneg">#REF!</definedName>
    <definedName name="persteelnegz">#REF!</definedName>
    <definedName name="persteelz">#REF!</definedName>
    <definedName name="PerTenStress3370">[126]b.SUMP!$H$3</definedName>
    <definedName name="Pf">#REF!</definedName>
    <definedName name="pgross">#REF!</definedName>
    <definedName name="Ph">[124]Gallery!$K$76</definedName>
    <definedName name="phi">#REF!</definedName>
    <definedName name="Pi">#REF!</definedName>
    <definedName name="Pii">#REF!</definedName>
    <definedName name="Piii">#REF!</definedName>
    <definedName name="pip" hidden="1">{"Daily Survey Report",#N/A,FALSE,"Daily"}</definedName>
    <definedName name="Pitching">#REF!</definedName>
    <definedName name="piv" hidden="1">{"Daily Survey Report",#N/A,FALSE,"Daily"}</definedName>
    <definedName name="pk">#REF!</definedName>
    <definedName name="Pl">#REF!</definedName>
    <definedName name="Plb">#REF!</definedName>
    <definedName name="plbeams">#REF!</definedName>
    <definedName name="Plbf">#REF!</definedName>
    <definedName name="Plt">#REF!</definedName>
    <definedName name="Pltf">#REF!</definedName>
    <definedName name="Pm">#REF!</definedName>
    <definedName name="PM_AirCompressor_210cfm">'[106]Plant &amp;  Machinery'!$G$4</definedName>
    <definedName name="PM_BatchMixHMP_46_60THP">'[106]Plant &amp;  Machinery'!$G$5</definedName>
    <definedName name="PM_BatchTypeHMP_30_40">'[106]Plant &amp;  Machinery'!$G$6</definedName>
    <definedName name="PM_BitumenBoilerOilFired_1000">'[106]Plant &amp;  Machinery'!$G$9</definedName>
    <definedName name="PM_BitumenBoilerOilFired_200">'[106]Plant &amp;  Machinery'!$G$8</definedName>
    <definedName name="PM_BitumenEmulsionPressureDistributor">'[106]Plant &amp;  Machinery'!$G$10</definedName>
    <definedName name="PM_ConcreteMixer">'[106]Plant &amp;  Machinery'!$G$11</definedName>
    <definedName name="PM_Crane">'[106]Plant &amp;  Machinery'!$G$12</definedName>
    <definedName name="PM_Dozer_D50">'[106]Plant &amp;  Machinery'!$G$13</definedName>
    <definedName name="PM_ElectricGeneratorSet_125">'[106]Plant &amp;  Machinery'!$G$15</definedName>
    <definedName name="PM_FrontEndLoader_1cum">'[106]Plant &amp;  Machinery'!$G$17</definedName>
    <definedName name="PM_HydraulicBroom">'[106]Plant &amp;  Machinery'!$G$19</definedName>
    <definedName name="PM_HydraulicExcavator_09cum">'[106]Plant &amp;  Machinery'!$G$20</definedName>
    <definedName name="PM_HydraulicSelfPropelledChipSpreader">'[106]Plant &amp;  Machinery'!$G$21</definedName>
    <definedName name="PM_JackHammer">'[112]Plant &amp;  Machinery'!$G$22</definedName>
    <definedName name="PM_JointCuttingMachine">'[106]Plant &amp;  Machinery'!$G$23</definedName>
    <definedName name="PM_Mixall_6_10t">'[106]Plant &amp;  Machinery'!$G$24</definedName>
    <definedName name="PM_MotorGrader">'[106]Plant &amp;  Machinery'!$G$25</definedName>
    <definedName name="PM_NeedleVibrator">'[106]Plant &amp;  Machinery'!$G$27</definedName>
    <definedName name="PM_PaverFinisher">'[106]Plant &amp;  Machinery'!$G$28</definedName>
    <definedName name="PM_PlateCompactor">'[108]Plant &amp;  Machinery'!$G$29</definedName>
    <definedName name="PM_PlateVibrator">'[106]Plant &amp;  Machinery'!$G$30</definedName>
    <definedName name="PM_ScreedVibrator">'[106]Plant &amp;  Machinery'!$G$31</definedName>
    <definedName name="PM_StoneCrusher_200TPH">'[106]Plant &amp;  Machinery'!$G$33</definedName>
    <definedName name="PM_ThreeWheeled_80_100kN_StaticRoller">'[106]Plant &amp;  Machinery'!$G$34</definedName>
    <definedName name="PM_Tipper_55">'[106]Plant &amp;  Machinery'!$G$45</definedName>
    <definedName name="PM_Tractor_DiscHarrows">'[106]Plant &amp;  Machinery'!$G$46</definedName>
    <definedName name="PM_Tractor_Ripper">'[106]Plant &amp;  Machinery'!$G$47</definedName>
    <definedName name="PM_Tractor_Rotavator">'[106]Plant &amp;  Machinery'!$G$49</definedName>
    <definedName name="PM_Tractor_Trolley">'[106]Plant &amp;  Machinery'!$G$48</definedName>
    <definedName name="PM_Truck">'[106]Plant &amp;  Machinery'!$G$50</definedName>
    <definedName name="PM_VibratoryRoller_80_100kN">'[106]Plant &amp;  Machinery'!$G$51</definedName>
    <definedName name="PM_WaterTanker_6kl">'[106]Plant &amp;  Machinery'!$G$53</definedName>
    <definedName name="PM_WetMixPlant_or_PugMill">'[106]Plant &amp;  Machinery'!$G$54</definedName>
    <definedName name="pmaci">#REF!</definedName>
    <definedName name="Pmaxi">#REF!</definedName>
    <definedName name="Pmaxii">#REF!</definedName>
    <definedName name="Pmaxiii">#REF!</definedName>
    <definedName name="pmgsy">#REF!</definedName>
    <definedName name="pmin">#REF!</definedName>
    <definedName name="Pmini">#REF!</definedName>
    <definedName name="Pminii">#REF!</definedName>
    <definedName name="Pminiii">#REF!</definedName>
    <definedName name="pmselfx">#REF!</definedName>
    <definedName name="pmselfz">#REF!</definedName>
    <definedName name="pmsoilx">#REF!</definedName>
    <definedName name="pmsoilz">#REF!</definedName>
    <definedName name="pmsurx">#REF!</definedName>
    <definedName name="pmsurz">#REF!</definedName>
    <definedName name="PP">#REF!</definedName>
    <definedName name="pper">#REF!</definedName>
    <definedName name="pper1">#REF!</definedName>
    <definedName name="ppp">#REF!</definedName>
    <definedName name="ppppp">'[13]Design basis-C'!$G$8</definedName>
    <definedName name="pr">#REF!</definedName>
    <definedName name="pres1">#REF!</definedName>
    <definedName name="pres10">#REF!</definedName>
    <definedName name="pres11">#REF!</definedName>
    <definedName name="pres12">#REF!</definedName>
    <definedName name="pres13">#REF!</definedName>
    <definedName name="pres14">#REF!</definedName>
    <definedName name="pres15">#REF!</definedName>
    <definedName name="pres16">#REF!</definedName>
    <definedName name="pres17">#REF!</definedName>
    <definedName name="pres18">#REF!</definedName>
    <definedName name="pres19">#REF!</definedName>
    <definedName name="pres2">#REF!</definedName>
    <definedName name="pres20">#REF!</definedName>
    <definedName name="pres21">#REF!</definedName>
    <definedName name="pres22">#REF!</definedName>
    <definedName name="pres23">#REF!</definedName>
    <definedName name="pres24">#REF!</definedName>
    <definedName name="pres3">#REF!</definedName>
    <definedName name="pres4">#REF!</definedName>
    <definedName name="pres5">#REF!</definedName>
    <definedName name="pres6">#REF!</definedName>
    <definedName name="pres7">#REF!</definedName>
    <definedName name="pres8">#REF!</definedName>
    <definedName name="pres9">#REF!</definedName>
    <definedName name="pressure">#REF!</definedName>
    <definedName name="_xlnm.Print_Area" localSheetId="18">'(Extended filter)'!$A$1:$L$51</definedName>
    <definedName name="_xlnm.Print_Area" localSheetId="3">'(Vertcal) (2)'!$A$1:$I$76</definedName>
    <definedName name="_xlnm.Print_Area" localSheetId="1">'Abt (3)'!$A$1:$G$46</definedName>
    <definedName name="_xlnm.Print_Area" localSheetId="10">B.T.!$A$1:$N$47</definedName>
    <definedName name="_xlnm.Print_Area" localSheetId="2">'C'!$A$1:$K$19</definedName>
    <definedName name="_xlnm.Print_Area" localSheetId="0">'Cover Page'!$A$1:$I$27</definedName>
    <definedName name="_xlnm.Print_Area" localSheetId="11">CUTOFF3!$A$1:$O$56</definedName>
    <definedName name="_xlnm.Print_Area" localSheetId="7">'Detail &amp; Abs'!$A$1:$G$69</definedName>
    <definedName name="_xlnm.Print_Area" localSheetId="4">'Detail (2)'!$A$1:$H$123</definedName>
    <definedName name="_xlnm.Print_Area" localSheetId="9">'e-w'!$A$1:$Y$89</definedName>
    <definedName name="_xlnm.Print_Area" localSheetId="19">'EX, For filter'!$A$1:$G$53</definedName>
    <definedName name="_xlnm.Print_Area" localSheetId="6">'Excvtn (2)'!$A$1:$L$72</definedName>
    <definedName name="_xlnm.Print_Area" localSheetId="22">Grouting!$A$1:$H$52</definedName>
    <definedName name="_xlnm.Print_Area" localSheetId="16">'inclind filter above BT'!$A$1:$L$52</definedName>
    <definedName name="_xlnm.Print_Area" localSheetId="17">'inclined Filetr above hearting'!$A$1:$L$51</definedName>
    <definedName name="_xlnm.Print_Area" localSheetId="14">J.C!$A$1:$J$53</definedName>
    <definedName name="_xlnm.Print_Area" localSheetId="15">pich!$A$1:$N$61</definedName>
    <definedName name="_xlnm.Print_Area" localSheetId="5">QTTY!$A$1:$P$34</definedName>
    <definedName name="_xlnm.Print_Area" localSheetId="21">'Toe Drain Ex'!$A$1:$L$60</definedName>
    <definedName name="_xlnm.Print_Area" localSheetId="20">'Toe Drain Quantity'!$A$1:$Y$52</definedName>
    <definedName name="_xlnm.Print_Area" localSheetId="12">Turf!$A$1:$G$46</definedName>
    <definedName name="_xlnm.Print_Area" localSheetId="8">Util!$A$1:$I$30</definedName>
    <definedName name="_xlnm.Print_Area" localSheetId="13">WIDTH!$A$1:$L$50</definedName>
    <definedName name="_xlnm.Print_Area">#REF!</definedName>
    <definedName name="PRINT_AREA_MI">#REF!</definedName>
    <definedName name="Print_Range">#REF!</definedName>
    <definedName name="_xlnm.Print_Titles">#REF!</definedName>
    <definedName name="ProdForm" hidden="1">#REF!</definedName>
    <definedName name="Product" hidden="1">#REF!</definedName>
    <definedName name="proj">'[13]Design basis-C'!$B$5</definedName>
    <definedName name="proj2">'[13]Design basis-C'!$B$5</definedName>
    <definedName name="proj4">'[13]Design basis-C'!$B$5</definedName>
    <definedName name="project">#REF!</definedName>
    <definedName name="Project_Name">[127]Sheet7!$B$2</definedName>
    <definedName name="project1">'[13]Design basis-C'!$B$5</definedName>
    <definedName name="Projected_Annual_Average_Daily_Traffic_Based_on_Vehicle_Registration">#REF!</definedName>
    <definedName name="Projected_most_Probable_Annual_Average_Daily_Traffic_Based_on_Elasticity">#REF!</definedName>
    <definedName name="Prolonged_n">[38]Waste_Weir!$AU$15</definedName>
    <definedName name="protection">#REF!</definedName>
    <definedName name="provide">#REF!</definedName>
    <definedName name="provideuplift">#REF!</definedName>
    <definedName name="provideupliftz">#REF!</definedName>
    <definedName name="providex">#REF!</definedName>
    <definedName name="providex1">#REF!</definedName>
    <definedName name="providez">#REF!</definedName>
    <definedName name="PSC">#REF!</definedName>
    <definedName name="PSC_COST">#REF!</definedName>
    <definedName name="Pssc">#REF!</definedName>
    <definedName name="pswt">#REF!</definedName>
    <definedName name="pt">#REF!</definedName>
    <definedName name="Ptsm">#REF!</definedName>
    <definedName name="Ptss">#REF!</definedName>
    <definedName name="Pu">[124]Gallery!$K$74</definedName>
    <definedName name="Pu_fckbd">#REF!</definedName>
    <definedName name="Pu_Puz">#REF!</definedName>
    <definedName name="pub">#REF!</definedName>
    <definedName name="pubyfckbd">#REF!</definedName>
    <definedName name="pubyfckbd1">#REF!</definedName>
    <definedName name="Puddle">#REF!</definedName>
    <definedName name="punshear">#REF!</definedName>
    <definedName name="put">#REF!</definedName>
    <definedName name="Puz">[35]Design!#REF!</definedName>
    <definedName name="puzb">#REF!</definedName>
    <definedName name="puzt">#REF!</definedName>
    <definedName name="PVC">#REF!</definedName>
    <definedName name="PVCCOST">#REF!</definedName>
    <definedName name="Pxxi">#REF!</definedName>
    <definedName name="Pyyi">#REF!</definedName>
    <definedName name="Pyyiii">#REF!</definedName>
    <definedName name="pz">#REF!</definedName>
    <definedName name="Q">[56]Design!$F$6</definedName>
    <definedName name="q_">#REF!</definedName>
    <definedName name="q__T_Sq.m">#REF!</definedName>
    <definedName name="Qc">#REF!</definedName>
    <definedName name="QEQ">[77]Rainfall_Alirajpur!$D$98</definedName>
    <definedName name="QEQE">[62]Rainfall_Alirajpur!$E$86</definedName>
    <definedName name="Qf">#REF!</definedName>
    <definedName name="QP">#REF!</definedName>
    <definedName name="QQ">#REF!</definedName>
    <definedName name="qqqq">#REF!</definedName>
    <definedName name="Qus">#REF!</definedName>
    <definedName name="qw">#REF!</definedName>
    <definedName name="qwesd">#REF!</definedName>
    <definedName name="qwing">#REF!</definedName>
    <definedName name="qwqe_09">#REF!</definedName>
    <definedName name="R_">#REF!</definedName>
    <definedName name="R_11.6_i_i">'[128]Chapter-11'!$J$154</definedName>
    <definedName name="R_R_50_Rainfall">[64]Rainfall_BHagwanpura!$M$114</definedName>
    <definedName name="R_R_50_Yield">[52]Rainfall_Pati!$M$117</definedName>
    <definedName name="R_R_60_Rainfall">[64]Rainfall_BHagwanpura!$M$123</definedName>
    <definedName name="R_R_60_Yield">[52]Rainfall_Pati!$M$126</definedName>
    <definedName name="R_R_75_Yield">[52]Rainfall_Pati!$M$90</definedName>
    <definedName name="R_R_Dependable_75">[64]Rainfall_BHagwanpura!$M$87</definedName>
    <definedName name="r_r_gROSS_yIELD_75">[69]Fixation_Principal_Level!$G$8</definedName>
    <definedName name="R_R_Max_Rainfall">[64]Rainfall_BHagwanpura!$M$99</definedName>
    <definedName name="R_R_Max_Yield">[52]Rainfall_Pati!$M$102</definedName>
    <definedName name="R_R_Mean_Rainfall">[64]Rainfall_BHagwanpura!$M$93</definedName>
    <definedName name="R_R_Mean_Yield">[52]Rainfall_Pati!$M$96</definedName>
    <definedName name="R_R_Min_Rainfall">[64]Rainfall_BHagwanpura!$M$104</definedName>
    <definedName name="R_R_Min_Yield">[52]Rainfall_Pati!$M$107</definedName>
    <definedName name="raaaaaaaaaaaaa">#REF!</definedName>
    <definedName name="Rabi_Crops">[99]Kc_Values!$D$13:$D$15</definedName>
    <definedName name="Rabi_Loss">0.6</definedName>
    <definedName name="Rabi_Manthly_WR">[99]Kc_Values!$D$13:$P$15</definedName>
    <definedName name="Rabi_WR">[100]WR!$J$24/1000</definedName>
    <definedName name="Rabi_WR_G">'[101]17__Abst.CWR(Gravity)'!$H$57</definedName>
    <definedName name="Rabi_WR_Kukshi">'[102]WR (2)'!$J$24/1000</definedName>
    <definedName name="Rabi_WR_Lift">'[129]WR (Lift)'!$J$24/1000</definedName>
    <definedName name="Rabi_WR_Malveli">'[104]WR (2)'!$J$24/1000</definedName>
    <definedName name="Rabi_WR_Total">'[103]IWR_Rabi_CP1_Barwani_CWR(G)'!$AA$216+'[103]IWR_Rabi_CP1_Barwani_CWR (L)'!$AA$216</definedName>
    <definedName name="rad">#REF!</definedName>
    <definedName name="radius">[130]Skijump!$R$2:$BJ$3</definedName>
    <definedName name="RadiusOfCurve">#REF!</definedName>
    <definedName name="rahulsecon">#REF!</definedName>
    <definedName name="Rainfall">#REF!</definedName>
    <definedName name="Rainfall__Maximum_Year">[51]drf_Khargone!$E$84</definedName>
    <definedName name="Rainfall__Mnimum_Year">[51]drf_Khargone!$E$85</definedName>
    <definedName name="Rainfall_75">[51]drf_Khargone!$E$72</definedName>
    <definedName name="Rainfall_Data_Rain">[131]Sheet11!$H$1:$K$48</definedName>
    <definedName name="Rainfall_Data_Year">[131]Sheet11!$B$1:$E$48</definedName>
    <definedName name="Rainfall_Maximum_mm">[51]drf_Khargone!$D$84</definedName>
    <definedName name="Rainfall_Minimum_mm">[51]drf_Khargone!$D$85</definedName>
    <definedName name="Rampura">#REF!</definedName>
    <definedName name="ratio">[132]Solid!$D$179:$J$183</definedName>
    <definedName name="ratio1">#REF!</definedName>
    <definedName name="RBC_Discharge">#REF!</definedName>
    <definedName name="RCArea" hidden="1">#REF!</definedName>
    <definedName name="rcasd">#REF!</definedName>
    <definedName name="Rclearspan">#REF!</definedName>
    <definedName name="rcwbgl">#REF!</definedName>
    <definedName name="rcwbgl2">#REF!</definedName>
    <definedName name="RDINT">#REF!</definedName>
    <definedName name="RDINTT">#REF!</definedName>
    <definedName name="RE">[62]Fixation_Principal_Level!$H$15</definedName>
    <definedName name="reactions">'[133]reaction-table'!$A$17:$M$156</definedName>
    <definedName name="_xlnm.Recorder">#REF!</definedName>
    <definedName name="rect_4_415">#REF!</definedName>
    <definedName name="Reinft">#REF!</definedName>
    <definedName name="rel">#REF!</definedName>
    <definedName name="remain1">#REF!</definedName>
    <definedName name="remain2">#REF!</definedName>
    <definedName name="Repair_Rehabilitation_of_Bridges">#REF!</definedName>
    <definedName name="repla">[52]WR!$I$34</definedName>
    <definedName name="repla_bhelyapani">[64]Water_Planning!$E$33</definedName>
    <definedName name="repla_dhawaliya">'[64]Water_Planning dhwaliya'!$E$33</definedName>
    <definedName name="Replenishment">#REF!</definedName>
    <definedName name="RET">[62]Fixation_Principal_Level!$R$7</definedName>
    <definedName name="Rev">#REF!</definedName>
    <definedName name="Revision">#REF!</definedName>
    <definedName name="rewised">#REF!</definedName>
    <definedName name="rig">#REF!</definedName>
    <definedName name="Rleft">#REF!</definedName>
    <definedName name="RMD">[134]Sheet1!#REF!</definedName>
    <definedName name="Road_Inventory_Survey">#REF!</definedName>
    <definedName name="robot">#REF!</definedName>
    <definedName name="Rock">'[60]cot cal'!$W$23</definedName>
    <definedName name="rosid">#REF!</definedName>
    <definedName name="routed_flood">'[105]routing (2)'!$D$305</definedName>
    <definedName name="routed_HFL">'[105]HFL Calculation (routed)'!$E$1157</definedName>
    <definedName name="Routing">'[71]Ele-Capacity'!$K$57:$M$507</definedName>
    <definedName name="routing_1">'[53]Ele-Capacity'!$B$57:$L$507</definedName>
    <definedName name="Routing_Discharge">MAX([125]Routing!$I$24:$I$92)</definedName>
    <definedName name="rr">[22]A!#REF!</definedName>
    <definedName name="rrcost">#N/A</definedName>
    <definedName name="Rright">#REF!</definedName>
    <definedName name="rrrrr">#REF!</definedName>
    <definedName name="rrrrrr">#REF!</definedName>
    <definedName name="rrrrrrrrrrrrrrrrrrrrrrrrrrr">#VALUE!</definedName>
    <definedName name="rrrrrrrrrrrrrrrrrrrrrrrrrrrrrrrrrrrr">#REF!</definedName>
    <definedName name="rt">#REF!</definedName>
    <definedName name="rth">#REF!</definedName>
    <definedName name="RTL">#REF!</definedName>
    <definedName name="RTR">#REF!</definedName>
    <definedName name="Runoff_Yeild_75">[104]Rainfall_Jobat_Rainfall_Runoff!$FF$87</definedName>
    <definedName name="Runoff_Yield_Maxi_Rainfall">[104]Rainfall_Jobat_Rainfall_Runoff!$F$98</definedName>
    <definedName name="Runoff_Yield_Mean">[104]Rainfall_Jobat_Rainfall_Runoff!$FF$91</definedName>
    <definedName name="RUPESH">[73]Labour!$D$19</definedName>
    <definedName name="RYR">[62]Binnies!$E$29</definedName>
    <definedName name="S" hidden="1">{"Daily Survey Report",#N/A,FALSE,"Daily"}</definedName>
    <definedName name="sacb">#REF!</definedName>
    <definedName name="sacc">#REF!</definedName>
    <definedName name="sajid">#REF!</definedName>
    <definedName name="SAM">#REF!</definedName>
    <definedName name="sarkna">#REF!</definedName>
    <definedName name="SBC">#REF!</definedName>
    <definedName name="SBC___0">"$'BASE SLAB _ EARTH_WATER'.$#REF!$#REF!"</definedName>
    <definedName name="SBC___8">"$'BASE SLAB _ NO WATER'.$#REF!$#REF!"</definedName>
    <definedName name="SBC___9">"$'BASE SLAB _ NO SOIL'.$#REF!$#REF!"</definedName>
    <definedName name="sbt">#REF!</definedName>
    <definedName name="SBT___0">"$'BASE SLAB _ EARTH_WATER'.$#REF!$#REF!"</definedName>
    <definedName name="SBT___11">"$UPLIFT.$#REF!$#REF!"</definedName>
    <definedName name="SBT___8">"$'BASE SLAB _ NO WATER'.$#REF!$#REF!"</definedName>
    <definedName name="SBT___9">"$'BASE SLAB _ NO SOIL'.$#REF!$#REF!"</definedName>
    <definedName name="SC">#REF!</definedName>
    <definedName name="scbc">#REF!</definedName>
    <definedName name="Scheme">'[135]Basic Data Sheet'!$F$2</definedName>
    <definedName name="schools">#REF!</definedName>
    <definedName name="Sclearspan">#REF!</definedName>
    <definedName name="SCOTT" hidden="1">{"wwww",#N/A,FALSE,"Final_ RATE ANALYSIS "}</definedName>
    <definedName name="sd">#REF!</definedName>
    <definedName name="Sdate">#REF!</definedName>
    <definedName name="sdo">[19]Sheet4!$D$6</definedName>
    <definedName name="Sds">#REF!</definedName>
    <definedName name="SEASONAL_CORRECTION_FACTOR">#REF!</definedName>
    <definedName name="secline">#REF!</definedName>
    <definedName name="Seepage">#REF!</definedName>
    <definedName name="SETT1">#REF!</definedName>
    <definedName name="SETT2">#REF!</definedName>
    <definedName name="SETTT1">#REF!</definedName>
    <definedName name="sevenline">#REF!</definedName>
    <definedName name="sfs">#REF!</definedName>
    <definedName name="sfwtabove">#REF!</definedName>
    <definedName name="sgFgh" hidden="1">#REF!</definedName>
    <definedName name="shape">#REF!</definedName>
    <definedName name="shear">#REF!</definedName>
    <definedName name="sheararea">#REF!</definedName>
    <definedName name="shearareaz">#REF!</definedName>
    <definedName name="shearnegx1">#REF!</definedName>
    <definedName name="shearnegz1">#REF!</definedName>
    <definedName name="shearnot">#REF!</definedName>
    <definedName name="shearnot1">#REF!</definedName>
    <definedName name="shearnot2">#REF!</definedName>
    <definedName name="shearnot3">#REF!</definedName>
    <definedName name="shearposx1">#REF!</definedName>
    <definedName name="shearposz1">#REF!</definedName>
    <definedName name="shearvalue">#REF!</definedName>
    <definedName name="SHEARY">#REF!</definedName>
    <definedName name="SHEARY1">#REF!</definedName>
    <definedName name="SHEARZ">#REF!</definedName>
    <definedName name="SHEARZ1">#REF!</definedName>
    <definedName name="SHEET1">"$#REF!.$G$4"</definedName>
    <definedName name="sheet2">#REF!</definedName>
    <definedName name="shutarea">#REF!</definedName>
    <definedName name="SIDE_SLOPE">'[71]Spill channel'!#REF!</definedName>
    <definedName name="side_solpe">[136]CALC_2R!$P$2:$P$3</definedName>
    <definedName name="sigmacbc">#REF!</definedName>
    <definedName name="sigmact">#REF!</definedName>
    <definedName name="sigmast">#REF!</definedName>
    <definedName name="Sill_Dead_Storage">[64]Fixations_Principal_level!$F$17</definedName>
    <definedName name="sixline">#REF!</definedName>
    <definedName name="sjsggsgs">#REF!</definedName>
    <definedName name="sl">#REF!</definedName>
    <definedName name="sla">'[137]Pile cap'!#REF!</definedName>
    <definedName name="SLh.slab">#REF!</definedName>
    <definedName name="SLP">#REF!</definedName>
    <definedName name="slr">#REF!</definedName>
    <definedName name="smx">#REF!</definedName>
    <definedName name="smy">#REF!</definedName>
    <definedName name="Soil___Material_Investigations">#REF!</definedName>
    <definedName name="soil_dens">#REF!</definedName>
    <definedName name="soil_sub">#REF!</definedName>
    <definedName name="soilden">#REF!</definedName>
    <definedName name="soilwt">'[57]Flocculator footing'!$F$22</definedName>
    <definedName name="SOWB">#REF!</definedName>
    <definedName name="Spacings">[138]Hydraulic!$V$494:$V$523</definedName>
    <definedName name="span">#REF!</definedName>
    <definedName name="SPANbearing1">'[123]SLAB DESIGN'!$E$40</definedName>
    <definedName name="Spates_B">[38]Waste_Weir!$C$18</definedName>
    <definedName name="Spates_n">[38]Waste_Weir!$AU$6</definedName>
    <definedName name="Spcbotmain">#REF!</definedName>
    <definedName name="SpecialPrice" hidden="1">#REF!</definedName>
    <definedName name="spill">#REF!</definedName>
    <definedName name="Spill_Design_Velocity">'[69]23_Design_Wast_weir_chanel'!$F$113</definedName>
    <definedName name="Spillway_Length">'[51]Capacity table'!$D$23</definedName>
    <definedName name="sqrtrat">#REF!</definedName>
    <definedName name="SRINU">#REF!</definedName>
    <definedName name="SS">'[139]Lavel DATA'!$D$10</definedName>
    <definedName name="SSA">#REF!</definedName>
    <definedName name="SSAFF">#REF!</definedName>
    <definedName name="SSAFW">#REF!</definedName>
    <definedName name="SSAR">#REF!</definedName>
    <definedName name="SSAW">#REF!</definedName>
    <definedName name="SSF">#REF!</definedName>
    <definedName name="SSP">#REF!</definedName>
    <definedName name="SSPF">#REF!</definedName>
    <definedName name="sss">[70]FIRST!$B$9</definedName>
    <definedName name="ssss" hidden="1">{"Daily Survey Report",#N/A,FALSE,"Daily"}</definedName>
    <definedName name="SSSSSS">[140]Labour!$D$17</definedName>
    <definedName name="sst">#REF!</definedName>
    <definedName name="sswt">#REF!</definedName>
    <definedName name="ST">#REF!</definedName>
    <definedName name="STAADappslabthk">'[141]ABUT MASTER'!$K$57</definedName>
    <definedName name="Start1">#REF!</definedName>
    <definedName name="Start10">#REF!</definedName>
    <definedName name="Start11">'[94]Side walls (earth)'!$H$1</definedName>
    <definedName name="Start12">'[94]AFFLUX CALC'!$H$1</definedName>
    <definedName name="Start13">[94]PROTECTION!$H$1</definedName>
    <definedName name="Start14">'[94]AFF DRAW'!$H$1</definedName>
    <definedName name="Start15">'[94]TEL CALC'!$H$1</definedName>
    <definedName name="Start16">'[94]NALA-LS'!$H$1</definedName>
    <definedName name="Start17">'[94]X-BOX HYD'!$H$1</definedName>
    <definedName name="Start18">'[94]X-TRAIL PIT DETAILS'!$H$1</definedName>
    <definedName name="Start19">'[94]X-BLOCK LEVELS'!$H$1</definedName>
    <definedName name="Start2">[94]INSTRUCT!$H$1</definedName>
    <definedName name="Start20">'[94]MACRO-BACK UP'!$H$1</definedName>
    <definedName name="Start21">'[94]Side walls (earth)'!$H$1</definedName>
    <definedName name="Start27">#REF!</definedName>
    <definedName name="Start28">#REF!</definedName>
    <definedName name="Start29">[142]Sheet11!#REF!</definedName>
    <definedName name="Start29_7">[143]Sheet11!#REF!</definedName>
    <definedName name="Start29_8">[143]Sheet11!#REF!</definedName>
    <definedName name="Start29_9">[143]Sheet11!#REF!</definedName>
    <definedName name="Start3">'[144]0+655'!#REF!</definedName>
    <definedName name="Start3_7">'[144]0+655'!#REF!</definedName>
    <definedName name="Start3_8">'[144]0+655'!#REF!</definedName>
    <definedName name="Start3_9">'[144]0+655'!#REF!</definedName>
    <definedName name="Start4">#REF!</definedName>
    <definedName name="Start5">#REF!</definedName>
    <definedName name="Start6">'[94]DS HFL '!$H$1</definedName>
    <definedName name="Start7">'[94]VENT DESIGN '!$H$1</definedName>
    <definedName name="Start8">'[94]Side walls-Slab'!$H$1</definedName>
    <definedName name="Start9">[94]TRANSITIONS!$H$1</definedName>
    <definedName name="Steel">#REF!</definedName>
    <definedName name="steelar">#REF!</definedName>
    <definedName name="steelcon">#REF!</definedName>
    <definedName name="steelgrades">#REF!</definedName>
    <definedName name="steelreq">#REF!</definedName>
    <definedName name="steelz">#REF!</definedName>
    <definedName name="STR">#REF!</definedName>
    <definedName name="StrID">#REF!</definedName>
    <definedName name="struct">'[13]Design basis-C'!$B$7</definedName>
    <definedName name="struct2">'[13]Design basis-C'!$B$7</definedName>
    <definedName name="struct4">'[13]Design basis-C'!$B$7</definedName>
    <definedName name="structure">#REF!</definedName>
    <definedName name="STT">"$#REF!.$#REF!$#REF!"</definedName>
    <definedName name="STT___0">"$'BASE SLAB _ EARTH_WATER'.$#REF!$#REF!"</definedName>
    <definedName name="STT___11">"$UPLIFT.$#REF!$#REF!"</definedName>
    <definedName name="STT___8">"$'BASE SLAB _ NO WATER'.$#REF!$#REF!"</definedName>
    <definedName name="STT___9">"$'BASE SLAB _ NO SOIL'.$#REF!$#REF!"</definedName>
    <definedName name="stuct1">'[13]Design basis-C'!$B$7</definedName>
    <definedName name="SUB">#REF!</definedName>
    <definedName name="Sub_Area_G">#REF!</definedName>
    <definedName name="Sub_Area_MDDL">[38]Fixation_Principal_Level!$AG$13</definedName>
    <definedName name="Sub_Area_MWL">[71]Waste_Weir!$K$10</definedName>
    <definedName name="sub_area_mwl_new">'[54]21_Waste_Weir New'!$D$24</definedName>
    <definedName name="sube">'[19]Unit I_flushbar'!$B$47</definedName>
    <definedName name="Subject">#REF!</definedName>
    <definedName name="Summer_Loss">0.9</definedName>
    <definedName name="Summer_WR">0</definedName>
    <definedName name="SUP_REACTION">#REF!</definedName>
    <definedName name="sur">#REF!</definedName>
    <definedName name="SURCH">#REF!</definedName>
    <definedName name="surcharge">#REF!</definedName>
    <definedName name="swe">'[145]Purlin(7m)'!#REF!</definedName>
    <definedName name="t">'[32]ATTERBERG LIMIT'!#REF!</definedName>
    <definedName name="T.B.L">[105]Fixation_Principal_Level!$M$14</definedName>
    <definedName name="T.O.mtsbed">#REF!</definedName>
    <definedName name="TA">#REF!</definedName>
    <definedName name="tab">#REF!</definedName>
    <definedName name="Table">#REF!</definedName>
    <definedName name="table\">#REF!</definedName>
    <definedName name="table_2">#REF!</definedName>
    <definedName name="table_22">#REF!</definedName>
    <definedName name="Table_Md">'[32]ATTERBERG LIMIT'!#REF!</definedName>
    <definedName name="Table_Wt">'[32]ATTERBERG LIMIT'!#REF!</definedName>
    <definedName name="table0">'[146]moments-table(tri)'!$A$746:$E$885</definedName>
    <definedName name="table0.2">'[146]moments-table(tri)'!$A$601:$E$740</definedName>
    <definedName name="table0.4">'[146]moments-table(tri)'!$A$456:$E$595</definedName>
    <definedName name="table0.6">'[146]moments-table(tri)'!$A$307:$E$446</definedName>
    <definedName name="table0.8">'[146]moments-table(tri)'!$A$162:$E$301</definedName>
    <definedName name="table1">'[147]Sheet1 '!$C$29:$W$30</definedName>
    <definedName name="Table10">[148]Table10!$A$1:$K$15</definedName>
    <definedName name="Table11">[149]Table11!$A$2:$B$15</definedName>
    <definedName name="table12">#REF!</definedName>
    <definedName name="Table1IS3370">[150]IS3370!$A$2:$D$7</definedName>
    <definedName name="table2">'[147]Sheet1 '!$C$34:$W$35</definedName>
    <definedName name="table22">#REF!</definedName>
    <definedName name="table3">#REF!</definedName>
    <definedName name="Table3SP16">#REF!</definedName>
    <definedName name="table4">#REF!</definedName>
    <definedName name="table5">#REF!</definedName>
    <definedName name="table6">#REF!</definedName>
    <definedName name="table7">#REF!</definedName>
    <definedName name="table8">#REF!</definedName>
    <definedName name="table9">#REF!</definedName>
    <definedName name="TableIS456">[150]IS456!$A$2:$B$7</definedName>
    <definedName name="TableP">#REF!</definedName>
    <definedName name="TableRange">#REF!</definedName>
    <definedName name="TABW">#REF!</definedName>
    <definedName name="TangentLength">#REF!</definedName>
    <definedName name="Tank_Name">'[151]Outlet Details'!$A$1</definedName>
    <definedName name="tanle2">#REF!</definedName>
    <definedName name="tauc">#REF!</definedName>
    <definedName name="taucz">#REF!</definedName>
    <definedName name="taup">#REF!</definedName>
    <definedName name="tauvx">#REF!</definedName>
    <definedName name="tauvz">#REF!</definedName>
    <definedName name="tav">#REF!</definedName>
    <definedName name="TBL">[53]Fixation_Principal_Level!$M$15</definedName>
    <definedName name="tbl_ProdInfo" hidden="1">#REF!</definedName>
    <definedName name="TBM_No.">#REF!</definedName>
    <definedName name="tbs">#REF!</definedName>
    <definedName name="tc">'[89]Pier Design(with offset)'!#REF!</definedName>
    <definedName name="tc_7">'[89]Pier Design(with offset)'!#REF!</definedName>
    <definedName name="tc_8">'[89]Pier Design(with offset)'!#REF!</definedName>
    <definedName name="tc_9">'[89]Pier Design(with offset)'!#REF!</definedName>
    <definedName name="tcol">#REF!</definedName>
    <definedName name="tcr">#REF!</definedName>
    <definedName name="tct">'[24]Pier Design(with offset)'!#REF!</definedName>
    <definedName name="tct_7">'[24]Pier Design(with offset)'!#REF!</definedName>
    <definedName name="tct_8">'[24]Pier Design(with offset)'!#REF!</definedName>
    <definedName name="tct_9">'[24]Pier Design(with offset)'!#REF!</definedName>
    <definedName name="tedge">#REF!</definedName>
    <definedName name="Tehsil">CONCATENATE('[76]Basic Data Sheet'!$A$11:$E$11," : ",'[76]Basic Data Sheet'!$F$11)</definedName>
    <definedName name="telephonepoles">'[25]08'!#REF!</definedName>
    <definedName name="teta">#REF!</definedName>
    <definedName name="Tf">#REF!</definedName>
    <definedName name="Th.Aapprpl">#REF!</definedName>
    <definedName name="Th.Abedpl">#REF!</definedName>
    <definedName name="Th.Abedpl.">#REF!</definedName>
    <definedName name="Th.appslab">#REF!</definedName>
    <definedName name="Th.base">#REF!</definedName>
    <definedName name="Th.cap">#REF!</definedName>
    <definedName name="Th.para.wall">#REF!</definedName>
    <definedName name="Th.slab">#REF!</definedName>
    <definedName name="thick">#REF!</definedName>
    <definedName name="thirdline">#REF!</definedName>
    <definedName name="ti">#REF!</definedName>
    <definedName name="tii">#REF!</definedName>
    <definedName name="Title">'[152]Civil Boq'!$D$3</definedName>
    <definedName name="Title1">#REF!</definedName>
    <definedName name="Title2">#REF!</definedName>
    <definedName name="titles">#REF!</definedName>
    <definedName name="to">#REF!</definedName>
    <definedName name="TOED1">#REF!</definedName>
    <definedName name="TOED2">#REF!</definedName>
    <definedName name="TOEHT">#REF!</definedName>
    <definedName name="tol">#REF!</definedName>
    <definedName name="topl">#REF!</definedName>
    <definedName name="topn">#REF!</definedName>
    <definedName name="TOPW">#REF!</definedName>
    <definedName name="TORSION">#REF!</definedName>
    <definedName name="TORSION1">#REF!</definedName>
    <definedName name="TOTAKBM1">#REF!</definedName>
    <definedName name="Total_CA">[153]Area_Capacity!$D$40</definedName>
    <definedName name="Total_Kharif_WR">[154]WR!$M$23/1000</definedName>
    <definedName name="Total_Rabi_WR">[154]WR!$M$24/1000</definedName>
    <definedName name="Total_WR_Iclu_Eva_Losses_1000_Ha">[64]Water_Planning!$J$36</definedName>
    <definedName name="TOTALBM">#REF!</definedName>
    <definedName name="TP">#REF!</definedName>
    <definedName name="TP___0">"$'BASE SLAB _ EARTH_WATER'.$#REF!$#REF!"</definedName>
    <definedName name="TP___11">"$UPLIFT.$#REF!$#REF!"</definedName>
    <definedName name="TP___8">"$'BASE SLAB _ NO WATER'.$#REF!$#REF!"</definedName>
    <definedName name="TP___9">"$'BASE SLAB _ NO SOIL'.$#REF!$#REF!"</definedName>
    <definedName name="tqcon">#REF!</definedName>
    <definedName name="tqsteel">#REF!</definedName>
    <definedName name="trtw" hidden="1">#REF!</definedName>
    <definedName name="tryeyteyeyeryeyey">#REF!</definedName>
    <definedName name="TT">'[155]P&amp;M'!$G$27</definedName>
    <definedName name="TT___0">"$'BASE SLAB _ EARTH_WATER'.$#REF!$#REF!"</definedName>
    <definedName name="TT___11">"$UPLIFT.$#REF!$#REF!"</definedName>
    <definedName name="TT___8">"$'BASE SLAB _ NO WATER'.$#REF!$#REF!"</definedName>
    <definedName name="TT___9">"$'BASE SLAB _ NO SOIL'.$#REF!$#REF!"</definedName>
    <definedName name="Tu">#REF!</definedName>
    <definedName name="Turfing">#REF!</definedName>
    <definedName name="tvalue">#REF!</definedName>
    <definedName name="TW">#REF!</definedName>
    <definedName name="twc">#REF!</definedName>
    <definedName name="TWL">#REF!</definedName>
    <definedName name="two">[156]Letter!#REF!</definedName>
    <definedName name="txdf">#REF!</definedName>
    <definedName name="ty">#REF!</definedName>
    <definedName name="type">#REF!</definedName>
    <definedName name="Typical">#REF!</definedName>
    <definedName name="u">'[157]Slab datas'!$E$6</definedName>
    <definedName name="ulenx">#REF!</definedName>
    <definedName name="uleny">#REF!</definedName>
    <definedName name="umaher" hidden="1">{"Daily Survey Report",#N/A,FALSE,"Daily"}</definedName>
    <definedName name="uniexp">#REF!</definedName>
    <definedName name="uniexp1">#REF!</definedName>
    <definedName name="unit">#REF!</definedName>
    <definedName name="UP">[158]Agriculture!$B$3:$D$4</definedName>
    <definedName name="uplift1">#REF!</definedName>
    <definedName name="uplift2">#REF!</definedName>
    <definedName name="uplift3">#REF!</definedName>
    <definedName name="uplift4">#REF!</definedName>
    <definedName name="uplift5">#REF!</definedName>
    <definedName name="uplift6">#REF!</definedName>
    <definedName name="uplift7">#REF!</definedName>
    <definedName name="upliftoutput">#REF!</definedName>
    <definedName name="US">#REF!</definedName>
    <definedName name="USCBL">#REF!</definedName>
    <definedName name="usfhskj">#REF!</definedName>
    <definedName name="USFSL">[91]Design!$J$26</definedName>
    <definedName name="USNSL">[91]Design!$J$30</definedName>
    <definedName name="USTBL">#REF!</definedName>
    <definedName name="USTEL">#REF!</definedName>
    <definedName name="uuuuuuuuuuuu">#REF!</definedName>
    <definedName name="UY">[62]Area_Capacity!$D$23</definedName>
    <definedName name="V">#REF!</definedName>
    <definedName name="v1o">'[24]Pier Design(with offset)'!#REF!</definedName>
    <definedName name="v1o_7">'[24]Pier Design(with offset)'!#REF!</definedName>
    <definedName name="v1o_8">'[24]Pier Design(with offset)'!#REF!</definedName>
    <definedName name="v1o_9">'[24]Pier Design(with offset)'!#REF!</definedName>
    <definedName name="v1oo">'[89]Pier Design(with offset)'!#REF!</definedName>
    <definedName name="v1oo_7">'[89]Pier Design(with offset)'!#REF!</definedName>
    <definedName name="v1oo_8">'[89]Pier Design(with offset)'!#REF!</definedName>
    <definedName name="v1oo_9">'[89]Pier Design(with offset)'!#REF!</definedName>
    <definedName name="VB">[134]Sheet1!#REF!</definedName>
    <definedName name="Vc">#REF!</definedName>
    <definedName name="VCV" hidden="1">{"Daily Survey Report",#N/A,FALSE,"Daily"}</definedName>
    <definedName name="Ve">#REF!</definedName>
    <definedName name="VEL">#REF!</definedName>
    <definedName name="velocity_Vf">#REF!</definedName>
    <definedName name="Vf">#REF!</definedName>
    <definedName name="VILG_U_COMD">#REF!</definedName>
    <definedName name="Vinst.">#REF!</definedName>
    <definedName name="Vm">#REF!</definedName>
    <definedName name="vnegx1">#REF!</definedName>
    <definedName name="vnegz1">#REF!</definedName>
    <definedName name="volume">'[51]Capacity table'!$J$5:$J$11</definedName>
    <definedName name="Volume_1">[159]Area_Capacity!$J$5:$J$34</definedName>
    <definedName name="Volume_G">[39]Sheet3!$E$26:$E$39</definedName>
    <definedName name="volume_New">[64]Water_Planning_conti..!$K$5:$K$30</definedName>
    <definedName name="vposx1">#REF!</definedName>
    <definedName name="vposz1">#REF!</definedName>
    <definedName name="vpu">#REF!</definedName>
    <definedName name="Vu">#REF!</definedName>
    <definedName name="VV">#VALUE!</definedName>
    <definedName name="vvv" hidden="1">{"Daily Survey Report",#N/A,FALSE,"Daily"}</definedName>
    <definedName name="VVVV">[62]Waste_Weir!$C$18</definedName>
    <definedName name="VVVVVV">[62]Waste_Weir!$AU$6</definedName>
    <definedName name="W" hidden="1">{"Daily Survey Report",#N/A,FALSE,"Daily"}</definedName>
    <definedName name="W_W_Length">[160]Waste_Weir!$K$13</definedName>
    <definedName name="W2forces">#REF!</definedName>
    <definedName name="wa">'[66]Unit I_L_WORK'!#REF!</definedName>
    <definedName name="Wabase">#REF!</definedName>
    <definedName name="wani">'[66]Unit I_L_WORK'!#REF!</definedName>
    <definedName name="Warning">#REF!</definedName>
    <definedName name="WasteWeirLength">'[161]Waste_Weir (2)'!$K$14</definedName>
    <definedName name="Water_Balance">#REF!</definedName>
    <definedName name="Wb">#REF!</definedName>
    <definedName name="Wba">#REF!</definedName>
    <definedName name="Wc">'[89]Pier Design(with offset)'!#REF!</definedName>
    <definedName name="wc_7">'[89]Pier Design(with offset)'!#REF!</definedName>
    <definedName name="wc_8">'[89]Pier Design(with offset)'!#REF!</definedName>
    <definedName name="wc_9">'[89]Pier Design(with offset)'!#REF!</definedName>
    <definedName name="wct">'[24]Pier Design(with offset)'!#REF!</definedName>
    <definedName name="wct_7">'[24]Pier Design(with offset)'!#REF!</definedName>
    <definedName name="wct_8">'[24]Pier Design(with offset)'!#REF!</definedName>
    <definedName name="wct_9">'[24]Pier Design(with offset)'!#REF!</definedName>
    <definedName name="Wcurb">#REF!</definedName>
    <definedName name="Wdapm">#REF!</definedName>
    <definedName name="Wdlipm">#REF!</definedName>
    <definedName name="Wdpm">#REF!</definedName>
    <definedName name="Wdps">#REF!</definedName>
    <definedName name="we">[16]rcd!#REF!</definedName>
    <definedName name="wee">#REF!</definedName>
    <definedName name="WEEKLY_TRAFFIC_SUMMARY">#REF!</definedName>
    <definedName name="WEIGHT">'[162]bar bending'!#REF!</definedName>
    <definedName name="Weirtype">#REF!</definedName>
    <definedName name="WF">#REF!</definedName>
    <definedName name="WH">"$#REF!.$#REF!$#REF!"</definedName>
    <definedName name="WH___0">"$'BASE SLAB _ EARTH_WATER'.$#REF!$#REF!"</definedName>
    <definedName name="WH___11">"$UPLIFT.$#REF!$#REF!"</definedName>
    <definedName name="WH___8">"$'BASE SLAB _ NO WATER'.$#REF!$#REF!"</definedName>
    <definedName name="WH___9">"$'BASE SLAB _ NO SOIL'.$#REF!$#REF!"</definedName>
    <definedName name="WHEAD">#REF!</definedName>
    <definedName name="whose">'[163]Pati_R-R Analysis (2)'!$M$25</definedName>
    <definedName name="width">#REF!</definedName>
    <definedName name="wingwall">#REF!</definedName>
    <definedName name="wingwall1">#REF!</definedName>
    <definedName name="Wkerb">[48]basdat!$D$8</definedName>
    <definedName name="woI">[164]tables!#REF!</definedName>
    <definedName name="WOII">[164]tables!#REF!</definedName>
    <definedName name="work">#REF!</definedName>
    <definedName name="WP">#REF!</definedName>
    <definedName name="Wparapet">#REF!</definedName>
    <definedName name="Wpdry">#REF!</definedName>
    <definedName name="Wpwet">#REF!</definedName>
    <definedName name="WR">'[89]Pier Design(with offset)'!#REF!</definedName>
    <definedName name="wr_7">'[89]Pier Design(with offset)'!#REF!</definedName>
    <definedName name="wr_8">'[89]Pier Design(with offset)'!#REF!</definedName>
    <definedName name="wr_9">'[89]Pier Design(with offset)'!#REF!</definedName>
    <definedName name="WR_Inc_Ev_Loss_1000_Ha">[159]Water_Planning!$I$35</definedName>
    <definedName name="wrn.Daily._.Survey._.Report." hidden="1">{"Daily Survey Report",#N/A,FALSE,"Daily"}</definedName>
    <definedName name="wrn.qqqq." hidden="1">{"wwww",#N/A,FALSE,"Final_ RATE ANALYSIS "}</definedName>
    <definedName name="ws">#REF!</definedName>
    <definedName name="Wt">#REF!</definedName>
    <definedName name="Wta">#REF!</definedName>
    <definedName name="wtdel1">#REF!</definedName>
    <definedName name="wtdelnot3">#REF!</definedName>
    <definedName name="wtnotdel1">#REF!</definedName>
    <definedName name="wtnotdel2">#REF!</definedName>
    <definedName name="wtnotdel3">#REF!</definedName>
    <definedName name="wtnotdel4">#REF!</definedName>
    <definedName name="wtnotdel5">#REF!</definedName>
    <definedName name="wtnotdel6">#REF!</definedName>
    <definedName name="wtnotdel7">#REF!</definedName>
    <definedName name="wtnotdel8">#REF!</definedName>
    <definedName name="wtnotdel9">#REF!</definedName>
    <definedName name="wtr">'[24]Pier Design(with offset)'!#REF!</definedName>
    <definedName name="wtr_7">'[24]Pier Design(with offset)'!#REF!</definedName>
    <definedName name="wtr_8">'[24]Pier Design(with offset)'!#REF!</definedName>
    <definedName name="wtr_9">'[24]Pier Design(with offset)'!#REF!</definedName>
    <definedName name="WV">#REF!</definedName>
    <definedName name="Wvdry">#REF!</definedName>
    <definedName name="Wvwet">#REF!</definedName>
    <definedName name="WW">#REF!</definedName>
    <definedName name="www">[22]A!$A$338</definedName>
    <definedName name="X">#REF!</definedName>
    <definedName name="xbdia">#REF!</definedName>
    <definedName name="xfx">#REF!</definedName>
    <definedName name="xi">#REF!</definedName>
    <definedName name="xii">#REF!</definedName>
    <definedName name="xiii">#REF!</definedName>
    <definedName name="xlval">#REF!</definedName>
    <definedName name="xtan">#REF!</definedName>
    <definedName name="xtdia">#REF!</definedName>
    <definedName name="xval1">#REF!</definedName>
    <definedName name="xval2">#REF!</definedName>
    <definedName name="xx" hidden="1">{"Daily Survey Report",#N/A,FALSE,"Daily"}</definedName>
    <definedName name="xxx">#REF!</definedName>
    <definedName name="xxxx">#REF!</definedName>
    <definedName name="xy">'[89]Pier Design(with offset)'!#REF!</definedName>
    <definedName name="XYA" hidden="1">#REF!</definedName>
    <definedName name="y">[71]Effective_Rainfall!$FA$86</definedName>
    <definedName name="Ybed">#REF!</definedName>
    <definedName name="ybval">#REF!</definedName>
    <definedName name="Yeild_75">[131]Binnies!$F$8</definedName>
    <definedName name="Yeild_75_Diminishing">[131]Binnies!$F$9</definedName>
    <definedName name="Yeild_Mean_Railfall">[131]Binnies!$F$11</definedName>
    <definedName name="Yfound">#REF!</definedName>
    <definedName name="Yfoundfrt">#REF!</definedName>
    <definedName name="yggn">#REF!</definedName>
    <definedName name="Yield">#REF!</definedName>
    <definedName name="Yield_75">#REF!</definedName>
    <definedName name="Yield_75_Diminishing">[165]Binnies!$E$18</definedName>
    <definedName name="Yield_75_Net_CA">'[64]Fixation_Principal_Level Bhelya'!$G$9</definedName>
    <definedName name="Yield_Mean_Railfall">[38]Binnies!$E$10</definedName>
    <definedName name="Yield_Mean_Rainfall">[154]Binnies!$E$21</definedName>
    <definedName name="YIELD_MEAN_RR">'[166] yield'!$E$11</definedName>
    <definedName name="YRY">[62]Binnies!$E$30</definedName>
    <definedName name="ytan">#REF!</definedName>
    <definedName name="YY">[62]Fixation_Principal_Level!$AG$13</definedName>
    <definedName name="YYY">[62]Waste_Weir!$K$10</definedName>
    <definedName name="YYYY">[62]Waste_Weir!$I$24</definedName>
    <definedName name="YYYYY">[62]Area_Capacity!$J$5:$J$15</definedName>
    <definedName name="z">#REF!</definedName>
    <definedName name="Z_4028B481_883B_4568_8248_A4A8F63BCE0B_.wvu.FilterData" hidden="1">#REF!</definedName>
    <definedName name="Z_4028B481_883B_4568_8248_A4A8F63BCE0B_.wvu.PrintArea" hidden="1">#REF!</definedName>
    <definedName name="Z_4028B481_883B_4568_8248_A4A8F63BCE0B_.wvu.PrintTitles" hidden="1">#REF!</definedName>
    <definedName name="Z_5161B42F_120B_436B_80F4_9BB578173AD5_.wvu.Cols" localSheetId="2" hidden="1">'C'!$F:$I</definedName>
    <definedName name="Z_5161B42F_120B_436B_80F4_9BB578173AD5_.wvu.Cols" localSheetId="11" hidden="1">CUTOFF3!$F:$G,CUTOFF3!$N:$O,CUTOFF3!$JB:$JC,CUTOFF3!$JJ:$JK,CUTOFF3!$SX:$SY,CUTOFF3!$TF:$TG,CUTOFF3!$ACT:$ACU,CUTOFF3!$ADB:$ADC,CUTOFF3!$AMP:$AMQ,CUTOFF3!$AMX:$AMY,CUTOFF3!$AWL:$AWM,CUTOFF3!$AWT:$AWU,CUTOFF3!$BGH:$BGI,CUTOFF3!$BGP:$BGQ,CUTOFF3!$BQD:$BQE,CUTOFF3!$BQL:$BQM,CUTOFF3!$BZZ:$CAA,CUTOFF3!$CAH:$CAI,CUTOFF3!$CJV:$CJW,CUTOFF3!$CKD:$CKE,CUTOFF3!$CTR:$CTS,CUTOFF3!$CTZ:$CUA,CUTOFF3!$DDN:$DDO,CUTOFF3!$DDV:$DDW,CUTOFF3!$DNJ:$DNK,CUTOFF3!$DNR:$DNS,CUTOFF3!$DXF:$DXG,CUTOFF3!$DXN:$DXO,CUTOFF3!$EHB:$EHC,CUTOFF3!$EHJ:$EHK,CUTOFF3!$EQX:$EQY,CUTOFF3!$ERF:$ERG,CUTOFF3!$FAT:$FAU,CUTOFF3!$FBB:$FBC,CUTOFF3!$FKP:$FKQ,CUTOFF3!$FKX:$FKY,CUTOFF3!$FUL:$FUM,CUTOFF3!$FUT:$FUU,CUTOFF3!$GEH:$GEI,CUTOFF3!$GEP:$GEQ,CUTOFF3!$GOD:$GOE,CUTOFF3!$GOL:$GOM,CUTOFF3!$GXZ:$GYA,CUTOFF3!$GYH:$GYI,CUTOFF3!$HHV:$HHW,CUTOFF3!$HID:$HIE,CUTOFF3!$HRR:$HRS,CUTOFF3!$HRZ:$HSA,CUTOFF3!$IBN:$IBO,CUTOFF3!$IBV:$IBW,CUTOFF3!$ILJ:$ILK,CUTOFF3!$ILR:$ILS,CUTOFF3!$IVF:$IVG,CUTOFF3!$IVN:$IVO,CUTOFF3!$JFB:$JFC,CUTOFF3!$JFJ:$JFK,CUTOFF3!$JOX:$JOY,CUTOFF3!$JPF:$JPG,CUTOFF3!$JYT:$JYU,CUTOFF3!$JZB:$JZC,CUTOFF3!$KIP:$KIQ,CUTOFF3!$KIX:$KIY,CUTOFF3!$KSL:$KSM,CUTOFF3!$KST:$KSU,CUTOFF3!$LCH:$LCI,CUTOFF3!$LCP:$LCQ,CUTOFF3!$LMD:$LME,CUTOFF3!$LML:$LMM,CUTOFF3!$LVZ:$LWA,CUTOFF3!$LWH:$LWI,CUTOFF3!$MFV:$MFW,CUTOFF3!$MGD:$MGE,CUTOFF3!$MPR:$MPS,CUTOFF3!$MPZ:$MQA,CUTOFF3!$MZN:$MZO,CUTOFF3!$MZV:$MZW,CUTOFF3!$NJJ:$NJK,CUTOFF3!$NJR:$NJS,CUTOFF3!$NTF:$NTG,CUTOFF3!$NTN:$NTO,CUTOFF3!$ODB:$ODC,CUTOFF3!$ODJ:$ODK,CUTOFF3!$OMX:$OMY,CUTOFF3!$ONF:$ONG,CUTOFF3!$OWT:$OWU,CUTOFF3!$OXB:$OXC,CUTOFF3!$PGP:$PGQ,CUTOFF3!$PGX:$PGY,CUTOFF3!$PQL:$PQM,CUTOFF3!$PQT:$PQU,CUTOFF3!$QAH:$QAI,CUTOFF3!$QAP:$QAQ,CUTOFF3!$QKD:$QKE,CUTOFF3!$QKL:$QKM,CUTOFF3!$QTZ:$QUA,CUTOFF3!$QUH:$QUI,CUTOFF3!$RDV:$RDW,CUTOFF3!$RED:$REE,CUTOFF3!$RNR:$RNS,CUTOFF3!$RNZ:$ROA,CUTOFF3!$RXN:$RXO,CUTOFF3!$RXV:$RXW,CUTOFF3!$SHJ:$SHK,CUTOFF3!$SHR:$SHS,CUTOFF3!$SRF:$SRG,CUTOFF3!$SRN:$SRO,CUTOFF3!$TBB:$TBC,CUTOFF3!$TBJ:$TBK,CUTOFF3!$TKX:$TKY,CUTOFF3!$TLF:$TLG,CUTOFF3!$TUT:$TUU,CUTOFF3!$TVB:$TVC,CUTOFF3!$UEP:$UEQ,CUTOFF3!$UEX:$UEY,CUTOFF3!$UOL:$UOM,CUTOFF3!$UOT:$UOU,CUTOFF3!$UYH:$UYI,CUTOFF3!$UYP:$UYQ,CUTOFF3!$VID:$VIE,CUTOFF3!$VIL:$VIM,CUTOFF3!$VRZ:$VSA,CUTOFF3!$VSH:$VSI,CUTOFF3!$WBV:$WBW,CUTOFF3!$WCD:$WCE,CUTOFF3!$WLR:$WLS,CUTOFF3!$WLZ:$WMA,CUTOFF3!$WVN:$WVO,CUTOFF3!$WVV:$WVW</definedName>
    <definedName name="Z_5161B42F_120B_436B_80F4_9BB578173AD5_.wvu.Cols" localSheetId="20" hidden="1">'Toe Drain Quantity'!$JJ:$JO,'Toe Drain Quantity'!$TF:$TK,'Toe Drain Quantity'!$ADB:$ADG,'Toe Drain Quantity'!$AMX:$ANC,'Toe Drain Quantity'!$AWT:$AWY,'Toe Drain Quantity'!$BGP:$BGU,'Toe Drain Quantity'!$BQL:$BQQ,'Toe Drain Quantity'!$CAH:$CAM,'Toe Drain Quantity'!$CKD:$CKI,'Toe Drain Quantity'!$CTZ:$CUE,'Toe Drain Quantity'!$DDV:$DEA,'Toe Drain Quantity'!$DNR:$DNW,'Toe Drain Quantity'!$DXN:$DXS,'Toe Drain Quantity'!$EHJ:$EHO,'Toe Drain Quantity'!$ERF:$ERK,'Toe Drain Quantity'!$FBB:$FBG,'Toe Drain Quantity'!$FKX:$FLC,'Toe Drain Quantity'!$FUT:$FUY,'Toe Drain Quantity'!$GEP:$GEU,'Toe Drain Quantity'!$GOL:$GOQ,'Toe Drain Quantity'!$GYH:$GYM,'Toe Drain Quantity'!$HID:$HII,'Toe Drain Quantity'!$HRZ:$HSE,'Toe Drain Quantity'!$IBV:$ICA,'Toe Drain Quantity'!$ILR:$ILW,'Toe Drain Quantity'!$IVN:$IVS,'Toe Drain Quantity'!$JFJ:$JFO,'Toe Drain Quantity'!$JPF:$JPK,'Toe Drain Quantity'!$JZB:$JZG,'Toe Drain Quantity'!$KIX:$KJC,'Toe Drain Quantity'!$KST:$KSY,'Toe Drain Quantity'!$LCP:$LCU,'Toe Drain Quantity'!$LML:$LMQ,'Toe Drain Quantity'!$LWH:$LWM,'Toe Drain Quantity'!$MGD:$MGI,'Toe Drain Quantity'!$MPZ:$MQE,'Toe Drain Quantity'!$MZV:$NAA,'Toe Drain Quantity'!$NJR:$NJW,'Toe Drain Quantity'!$NTN:$NTS,'Toe Drain Quantity'!$ODJ:$ODO,'Toe Drain Quantity'!$ONF:$ONK,'Toe Drain Quantity'!$OXB:$OXG,'Toe Drain Quantity'!$PGX:$PHC,'Toe Drain Quantity'!$PQT:$PQY,'Toe Drain Quantity'!$QAP:$QAU,'Toe Drain Quantity'!$QKL:$QKQ,'Toe Drain Quantity'!$QUH:$QUM,'Toe Drain Quantity'!$RED:$REI,'Toe Drain Quantity'!$RNZ:$ROE,'Toe Drain Quantity'!$RXV:$RYA,'Toe Drain Quantity'!$SHR:$SHW,'Toe Drain Quantity'!$SRN:$SRS,'Toe Drain Quantity'!$TBJ:$TBO,'Toe Drain Quantity'!$TLF:$TLK,'Toe Drain Quantity'!$TVB:$TVG,'Toe Drain Quantity'!$UEX:$UFC,'Toe Drain Quantity'!$UOT:$UOY,'Toe Drain Quantity'!$UYP:$UYU,'Toe Drain Quantity'!$VIL:$VIQ,'Toe Drain Quantity'!$VSH:$VSM,'Toe Drain Quantity'!$WCD:$WCI,'Toe Drain Quantity'!$WLZ:$WME,'Toe Drain Quantity'!$WVV:$WWA</definedName>
    <definedName name="Z_5161B42F_120B_436B_80F4_9BB578173AD5_.wvu.PrintArea" localSheetId="18" hidden="1">'(Extended filter)'!$A$1:$L$56</definedName>
    <definedName name="Z_5161B42F_120B_436B_80F4_9BB578173AD5_.wvu.PrintArea" localSheetId="3" hidden="1">'(Vertcal) (2)'!$A$1:$I$76</definedName>
    <definedName name="Z_5161B42F_120B_436B_80F4_9BB578173AD5_.wvu.PrintArea" localSheetId="1" hidden="1">'Abt (3)'!$A$1:$G$46</definedName>
    <definedName name="Z_5161B42F_120B_436B_80F4_9BB578173AD5_.wvu.PrintArea" localSheetId="10" hidden="1">B.T.!$A$1:$N$54</definedName>
    <definedName name="Z_5161B42F_120B_436B_80F4_9BB578173AD5_.wvu.PrintArea" localSheetId="2" hidden="1">'C'!$A$1:$K$19</definedName>
    <definedName name="Z_5161B42F_120B_436B_80F4_9BB578173AD5_.wvu.PrintArea" localSheetId="0" hidden="1">'Cover Page'!$A$1:$I$27</definedName>
    <definedName name="Z_5161B42F_120B_436B_80F4_9BB578173AD5_.wvu.PrintArea" localSheetId="11" hidden="1">CUTOFF3!$A$1:$O$59</definedName>
    <definedName name="Z_5161B42F_120B_436B_80F4_9BB578173AD5_.wvu.PrintArea" localSheetId="7" hidden="1">'Detail &amp; Abs'!$A$1:$G$69</definedName>
    <definedName name="Z_5161B42F_120B_436B_80F4_9BB578173AD5_.wvu.PrintArea" localSheetId="4" hidden="1">'Detail (2)'!$A$1:$H$128</definedName>
    <definedName name="Z_5161B42F_120B_436B_80F4_9BB578173AD5_.wvu.PrintArea" localSheetId="9" hidden="1">'e-w'!$A$1:$Y$89</definedName>
    <definedName name="Z_5161B42F_120B_436B_80F4_9BB578173AD5_.wvu.PrintArea" localSheetId="19" hidden="1">'EX, For filter'!$A$1:$G$57</definedName>
    <definedName name="Z_5161B42F_120B_436B_80F4_9BB578173AD5_.wvu.PrintArea" localSheetId="6" hidden="1">'Excvtn (2)'!$A$1:$L$72</definedName>
    <definedName name="Z_5161B42F_120B_436B_80F4_9BB578173AD5_.wvu.PrintArea" localSheetId="22" hidden="1">Grouting!$A$1:$H$52</definedName>
    <definedName name="Z_5161B42F_120B_436B_80F4_9BB578173AD5_.wvu.PrintArea" localSheetId="16" hidden="1">'inclind filter above BT'!$A$1:$L$56</definedName>
    <definedName name="Z_5161B42F_120B_436B_80F4_9BB578173AD5_.wvu.PrintArea" localSheetId="17" hidden="1">'inclined Filetr above hearting'!$A$1:$L$55</definedName>
    <definedName name="Z_5161B42F_120B_436B_80F4_9BB578173AD5_.wvu.PrintArea" localSheetId="14" hidden="1">J.C!$A$1:$J$56</definedName>
    <definedName name="Z_5161B42F_120B_436B_80F4_9BB578173AD5_.wvu.PrintArea" localSheetId="15" hidden="1">pich!$A$1:$N$65</definedName>
    <definedName name="Z_5161B42F_120B_436B_80F4_9BB578173AD5_.wvu.PrintArea" localSheetId="5" hidden="1">QTTY!$A$1:$P$34</definedName>
    <definedName name="Z_5161B42F_120B_436B_80F4_9BB578173AD5_.wvu.PrintArea" localSheetId="21" hidden="1">'Toe Drain Ex'!$A$1:$L$63</definedName>
    <definedName name="Z_5161B42F_120B_436B_80F4_9BB578173AD5_.wvu.PrintArea" localSheetId="20" hidden="1">'Toe Drain Quantity'!$A$1:$Y$56</definedName>
    <definedName name="Z_5161B42F_120B_436B_80F4_9BB578173AD5_.wvu.PrintArea" localSheetId="12" hidden="1">Turf!$A$1:$G$49</definedName>
    <definedName name="Z_5161B42F_120B_436B_80F4_9BB578173AD5_.wvu.PrintArea" localSheetId="8" hidden="1">Util!$A$1:$I$30</definedName>
    <definedName name="Z_5161B42F_120B_436B_80F4_9BB578173AD5_.wvu.PrintArea" localSheetId="13" hidden="1">WIDTH!$A$1:$L$54</definedName>
    <definedName name="Z_5161B42F_120B_436B_80F4_9BB578173AD5_.wvu.Rows" localSheetId="2" hidden="1">'C'!$2:$2,'C'!$12:$13</definedName>
    <definedName name="Z_5161B42F_120B_436B_80F4_9BB578173AD5_.wvu.Rows" localSheetId="0" hidden="1">'Cover Page'!$11:$11</definedName>
    <definedName name="Z_5161B42F_120B_436B_80F4_9BB578173AD5_.wvu.Rows" localSheetId="11" hidden="1">CUTOFF3!$54:$55</definedName>
    <definedName name="Z_5161B42F_120B_436B_80F4_9BB578173AD5_.wvu.Rows" localSheetId="7" hidden="1">'Detail &amp; Abs'!$2:$2,'Detail &amp; Abs'!$37:$39,'Detail &amp; Abs'!$57:$64</definedName>
    <definedName name="Z_5161B42F_120B_436B_80F4_9BB578173AD5_.wvu.Rows" localSheetId="4" hidden="1">'Detail (2)'!$33:$35,'Detail (2)'!$44:$68,'Detail (2)'!$73:$92</definedName>
    <definedName name="Z_5161B42F_120B_436B_80F4_9BB578173AD5_.wvu.Rows" localSheetId="9" hidden="1">'e-w'!$5:$11,'e-w'!$71:$71</definedName>
    <definedName name="Z_5161B42F_120B_436B_80F4_9BB578173AD5_.wvu.Rows" localSheetId="6" hidden="1">'Excvtn (2)'!$8:$12,'Excvtn (2)'!$26:$41,'Excvtn (2)'!$44:$48,'Excvtn (2)'!$63:$65</definedName>
    <definedName name="Z_5161B42F_120B_436B_80F4_9BB578173AD5_.wvu.Rows" localSheetId="5" hidden="1">QTTY!$6:$9,QTTY!$11:$13,QTTY!$16:$17,QTTY!$20:$20</definedName>
    <definedName name="Z_5161B42F_120B_436B_80F4_9BB578173AD5_.wvu.Rows" localSheetId="8" hidden="1">Util!$24:$24</definedName>
    <definedName name="Z_619A5DA1_4892_46E7_8AF2_4E30CE5A1C8A_.wvu.FilterData" hidden="1">#REF!</definedName>
    <definedName name="Z_619A5DA1_4892_46E7_8AF2_4E30CE5A1C8A_.wvu.PrintArea" hidden="1">#REF!</definedName>
    <definedName name="Z_619A5DA1_4892_46E7_8AF2_4E30CE5A1C8A_.wvu.PrintTitles" hidden="1">#REF!</definedName>
    <definedName name="Z_998EDDBC_12CC_4323_8599_E64062AB40EB_.wvu.FilterData" hidden="1">#REF!</definedName>
    <definedName name="Z_998EDDBC_12CC_4323_8599_E64062AB40EB_.wvu.PrintArea" hidden="1">#REF!</definedName>
    <definedName name="Z_998EDDBC_12CC_4323_8599_E64062AB40EB_.wvu.PrintTitles" hidden="1">#REF!</definedName>
    <definedName name="Z_A59EC63B_16D4_4B1E_80D8_4D8316A82407_.wvu.FilterData" hidden="1">#REF!</definedName>
    <definedName name="Z_A59EC63B_16D4_4B1E_80D8_4D8316A82407_.wvu.PrintArea" hidden="1">#REF!</definedName>
    <definedName name="Z_A59EC63B_16D4_4B1E_80D8_4D8316A82407_.wvu.PrintTitles" hidden="1">#REF!</definedName>
    <definedName name="zbdia">#REF!</definedName>
    <definedName name="Zo">#REF!</definedName>
    <definedName name="zonedel">#REF!</definedName>
    <definedName name="Zoning_Scheme">#REF!</definedName>
    <definedName name="ztdia">#REF!</definedName>
    <definedName name="zval1">#REF!</definedName>
    <definedName name="zval2">#REF!</definedName>
    <definedName name="zxgsdfg" hidden="1">{"'Bill No. 7'!$A$1:$G$32"}</definedName>
    <definedName name="zz">[22]A!#REF!</definedName>
  </definedNames>
  <calcPr calcId="162913"/>
  <customWorkbookViews>
    <customWorkbookView name="FSD" guid="{5161B42F-120B-436B-80F4-9BB578173AD5}" maximized="1" xWindow="-9" yWindow="-9" windowWidth="1938" windowHeight="1038" activeSheetId="2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4" l="1"/>
  <c r="K28" i="4"/>
  <c r="J28" i="4"/>
  <c r="J27" i="4"/>
  <c r="J26" i="4"/>
  <c r="D18" i="5" l="1"/>
  <c r="E27" i="9"/>
  <c r="E26" i="9"/>
  <c r="E22" i="9"/>
  <c r="E23" i="9" s="1"/>
  <c r="E18" i="9"/>
  <c r="E19" i="9" s="1"/>
  <c r="K4" i="17" l="1"/>
  <c r="K5" i="24"/>
  <c r="B32" i="1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 r="B66" i="11" s="1"/>
  <c r="B67" i="11" s="1"/>
  <c r="B68" i="11" s="1"/>
  <c r="A1" i="6" l="1"/>
  <c r="A1" i="3" l="1"/>
  <c r="A1" i="2" s="1"/>
  <c r="E111" i="5"/>
  <c r="E110" i="5"/>
  <c r="E109" i="5"/>
  <c r="F8" i="7" l="1"/>
  <c r="H8" i="7"/>
  <c r="I8" i="7"/>
  <c r="K8" i="7"/>
  <c r="N8" i="7"/>
  <c r="B9" i="7"/>
  <c r="C9" i="7"/>
  <c r="N9" i="7" s="1"/>
  <c r="D9" i="7"/>
  <c r="E9" i="7"/>
  <c r="H9" i="7" s="1"/>
  <c r="I9" i="7" s="1"/>
  <c r="J9" i="7" s="1"/>
  <c r="K9" i="7" s="1"/>
  <c r="F9" i="7"/>
  <c r="O9" i="7"/>
  <c r="F11" i="7"/>
  <c r="H11" i="7"/>
  <c r="I11" i="7"/>
  <c r="J11" i="7"/>
  <c r="K11" i="7"/>
  <c r="N11" i="7"/>
  <c r="C12" i="7"/>
  <c r="N12" i="7" s="1"/>
  <c r="D12" i="7"/>
  <c r="E12" i="7"/>
  <c r="M12" i="7" s="1"/>
  <c r="A9" i="12"/>
  <c r="C9" i="12"/>
  <c r="D9" i="12"/>
  <c r="F9" i="12" s="1"/>
  <c r="J9" i="12"/>
  <c r="K9" i="12"/>
  <c r="A10" i="12"/>
  <c r="C10" i="12"/>
  <c r="D10" i="12" s="1"/>
  <c r="A11" i="12"/>
  <c r="B11" i="12"/>
  <c r="C11" i="12"/>
  <c r="A12" i="12"/>
  <c r="C12" i="12"/>
  <c r="D12" i="12" s="1"/>
  <c r="J12" i="12"/>
  <c r="K12" i="12"/>
  <c r="A13" i="12"/>
  <c r="C13" i="12"/>
  <c r="D13" i="12" s="1"/>
  <c r="A14" i="12"/>
  <c r="C14" i="12"/>
  <c r="D14" i="12" s="1"/>
  <c r="A15" i="12"/>
  <c r="C15" i="12"/>
  <c r="D15" i="12"/>
  <c r="J15" i="12"/>
  <c r="K15" i="12" s="1"/>
  <c r="A16" i="12"/>
  <c r="B16" i="12" s="1"/>
  <c r="C16" i="12"/>
  <c r="D16" i="12" s="1"/>
  <c r="E16" i="12" s="1"/>
  <c r="A17" i="12"/>
  <c r="C17" i="12"/>
  <c r="A18" i="12"/>
  <c r="B18" i="12" s="1"/>
  <c r="C18" i="12"/>
  <c r="A19" i="12"/>
  <c r="C19" i="12"/>
  <c r="D19" i="12" s="1"/>
  <c r="A20" i="12"/>
  <c r="C20" i="12"/>
  <c r="D20" i="12"/>
  <c r="F20" i="12" s="1"/>
  <c r="A21" i="12"/>
  <c r="C21" i="12"/>
  <c r="D21" i="12"/>
  <c r="E21" i="12" s="1"/>
  <c r="A22" i="12"/>
  <c r="C22" i="12"/>
  <c r="D22" i="12" s="1"/>
  <c r="A23" i="12"/>
  <c r="C23" i="12"/>
  <c r="A24" i="12"/>
  <c r="C24" i="12"/>
  <c r="A25" i="12"/>
  <c r="C25" i="12"/>
  <c r="A26" i="12"/>
  <c r="C26" i="12"/>
  <c r="D26" i="12"/>
  <c r="F26" i="12" s="1"/>
  <c r="A27" i="12"/>
  <c r="C27" i="12"/>
  <c r="D27" i="12" s="1"/>
  <c r="F27" i="12" s="1"/>
  <c r="J27" i="12"/>
  <c r="K27" i="12" s="1"/>
  <c r="A28" i="12"/>
  <c r="C28" i="12"/>
  <c r="D28" i="12"/>
  <c r="A29" i="12"/>
  <c r="C29" i="12"/>
  <c r="D29" i="12" s="1"/>
  <c r="A30" i="12"/>
  <c r="C30" i="12"/>
  <c r="A31" i="12"/>
  <c r="C31" i="12"/>
  <c r="D31" i="12" s="1"/>
  <c r="A32" i="12"/>
  <c r="B32" i="12" s="1"/>
  <c r="C32" i="12"/>
  <c r="D32" i="12" s="1"/>
  <c r="F32" i="12" s="1"/>
  <c r="A33" i="12"/>
  <c r="C33" i="12"/>
  <c r="A34" i="12"/>
  <c r="C34" i="12"/>
  <c r="A35" i="12"/>
  <c r="C35" i="12"/>
  <c r="D35" i="12"/>
  <c r="E35" i="12" s="1"/>
  <c r="A36" i="12"/>
  <c r="C36" i="12"/>
  <c r="J36" i="12"/>
  <c r="K36" i="12"/>
  <c r="A37" i="12"/>
  <c r="C37" i="12"/>
  <c r="D37" i="12" s="1"/>
  <c r="A38" i="12"/>
  <c r="C38" i="12"/>
  <c r="D38" i="12" s="1"/>
  <c r="F38" i="12" s="1"/>
  <c r="A39" i="12"/>
  <c r="C39" i="12"/>
  <c r="A40" i="12"/>
  <c r="C40" i="12"/>
  <c r="D40" i="12" s="1"/>
  <c r="F40" i="12" s="1"/>
  <c r="A41" i="12"/>
  <c r="C41" i="12"/>
  <c r="D41" i="12"/>
  <c r="A42" i="12"/>
  <c r="C42" i="12"/>
  <c r="D42" i="12" s="1"/>
  <c r="A43" i="12"/>
  <c r="C43" i="12"/>
  <c r="A44" i="12"/>
  <c r="C44" i="12"/>
  <c r="D44" i="12" s="1"/>
  <c r="F44" i="12" s="1"/>
  <c r="D37" i="4"/>
  <c r="H37" i="4" s="1"/>
  <c r="A8" i="24"/>
  <c r="B8" i="24"/>
  <c r="A9" i="24"/>
  <c r="B9" i="24"/>
  <c r="A10" i="24"/>
  <c r="B10" i="24"/>
  <c r="A11" i="24"/>
  <c r="B11" i="24"/>
  <c r="A12" i="24"/>
  <c r="B12" i="24"/>
  <c r="A13" i="24"/>
  <c r="B13" i="24"/>
  <c r="A14" i="24"/>
  <c r="B14" i="24"/>
  <c r="A15" i="24"/>
  <c r="B15" i="24"/>
  <c r="A16" i="24"/>
  <c r="B16" i="24"/>
  <c r="A17" i="24"/>
  <c r="B17" i="24"/>
  <c r="A18" i="24"/>
  <c r="B18" i="24"/>
  <c r="A19" i="24"/>
  <c r="B19" i="24"/>
  <c r="A20" i="24"/>
  <c r="B20" i="24"/>
  <c r="A21" i="24"/>
  <c r="B21" i="24"/>
  <c r="A22" i="24"/>
  <c r="B22" i="24"/>
  <c r="A23" i="24"/>
  <c r="B23" i="24"/>
  <c r="A24" i="24"/>
  <c r="B24" i="24"/>
  <c r="A25" i="24"/>
  <c r="B25" i="24"/>
  <c r="A26" i="24"/>
  <c r="B26" i="24"/>
  <c r="A27" i="24"/>
  <c r="B27" i="24"/>
  <c r="A28" i="24"/>
  <c r="B28" i="24"/>
  <c r="A29" i="24"/>
  <c r="B29" i="24"/>
  <c r="A30" i="24"/>
  <c r="B30" i="24"/>
  <c r="A31" i="24"/>
  <c r="B31" i="24"/>
  <c r="A32" i="24"/>
  <c r="B32" i="24"/>
  <c r="A33" i="24"/>
  <c r="B33" i="24"/>
  <c r="A34" i="24"/>
  <c r="B34" i="24"/>
  <c r="A35" i="24"/>
  <c r="B35" i="24"/>
  <c r="A36" i="24"/>
  <c r="B36" i="24"/>
  <c r="A37" i="24"/>
  <c r="B37" i="24"/>
  <c r="A38" i="24"/>
  <c r="B38" i="24"/>
  <c r="A39" i="24"/>
  <c r="B39" i="24"/>
  <c r="A40" i="24"/>
  <c r="B40" i="24"/>
  <c r="A41" i="24"/>
  <c r="B41" i="24"/>
  <c r="A42" i="24"/>
  <c r="B42" i="24"/>
  <c r="A43" i="24"/>
  <c r="B43" i="24"/>
  <c r="C16" i="23"/>
  <c r="C22" i="23"/>
  <c r="C25" i="23"/>
  <c r="C27" i="23"/>
  <c r="C29" i="23"/>
  <c r="E29" i="23" s="1"/>
  <c r="F29" i="23" s="1"/>
  <c r="D29" i="23"/>
  <c r="C36" i="23"/>
  <c r="E36" i="23" s="1"/>
  <c r="F36" i="23" s="1"/>
  <c r="C40" i="23"/>
  <c r="A11" i="22"/>
  <c r="A9" i="23" s="1"/>
  <c r="C11" i="22"/>
  <c r="G11" i="22"/>
  <c r="K11" i="22" s="1"/>
  <c r="O11" i="22"/>
  <c r="A12" i="22"/>
  <c r="A10" i="23" s="1"/>
  <c r="C12" i="22"/>
  <c r="N12" i="22" s="1"/>
  <c r="D12" i="22"/>
  <c r="E12" i="22"/>
  <c r="F12" i="22" s="1"/>
  <c r="G12" i="22"/>
  <c r="H12" i="22"/>
  <c r="I12" i="22"/>
  <c r="O12" i="22"/>
  <c r="A13" i="22"/>
  <c r="C13" i="22"/>
  <c r="T13" i="22" s="1"/>
  <c r="N13" i="22"/>
  <c r="O13" i="22"/>
  <c r="A14" i="22"/>
  <c r="C14" i="22"/>
  <c r="D14" i="22" s="1"/>
  <c r="E14" i="22"/>
  <c r="F14" i="22" s="1"/>
  <c r="G14" i="22"/>
  <c r="O14" i="22"/>
  <c r="A15" i="22"/>
  <c r="C15" i="22"/>
  <c r="J13" i="12" s="1"/>
  <c r="K13" i="12" s="1"/>
  <c r="D15" i="22"/>
  <c r="O15" i="22"/>
  <c r="A16" i="22"/>
  <c r="A14" i="23" s="1"/>
  <c r="C16" i="22"/>
  <c r="D16" i="22"/>
  <c r="O16" i="22"/>
  <c r="A17" i="22"/>
  <c r="C17" i="22"/>
  <c r="C15" i="23" s="1"/>
  <c r="D15" i="23" s="1"/>
  <c r="D17" i="22"/>
  <c r="E17" i="22"/>
  <c r="F17" i="22" s="1"/>
  <c r="N17" i="22"/>
  <c r="O17" i="22"/>
  <c r="A18" i="22"/>
  <c r="A16" i="23" s="1"/>
  <c r="C18" i="22"/>
  <c r="J16" i="12" s="1"/>
  <c r="K16" i="12" s="1"/>
  <c r="I18" i="22"/>
  <c r="O18" i="22"/>
  <c r="A19" i="22"/>
  <c r="A17" i="23" s="1"/>
  <c r="C19" i="22"/>
  <c r="H19" i="22" s="1"/>
  <c r="O19" i="22"/>
  <c r="A20" i="22"/>
  <c r="A18" i="23" s="1"/>
  <c r="C20" i="22"/>
  <c r="O20" i="22"/>
  <c r="A21" i="22"/>
  <c r="A19" i="23" s="1"/>
  <c r="C21" i="22"/>
  <c r="E21" i="22" s="1"/>
  <c r="F21" i="22" s="1"/>
  <c r="O21" i="22"/>
  <c r="A22" i="22"/>
  <c r="A20" i="23" s="1"/>
  <c r="C22" i="22"/>
  <c r="N22" i="22" s="1"/>
  <c r="E22" i="22"/>
  <c r="F22" i="22" s="1"/>
  <c r="G22" i="22"/>
  <c r="K22" i="22" s="1"/>
  <c r="H22" i="22"/>
  <c r="I22" i="22"/>
  <c r="J22" i="22" s="1"/>
  <c r="O22" i="22"/>
  <c r="A23" i="22"/>
  <c r="A21" i="23" s="1"/>
  <c r="C23" i="22"/>
  <c r="O23" i="22"/>
  <c r="A24" i="22"/>
  <c r="C24" i="22"/>
  <c r="D24" i="22" s="1"/>
  <c r="G24" i="22"/>
  <c r="K24" i="22" s="1"/>
  <c r="O24" i="22"/>
  <c r="A25" i="22"/>
  <c r="A23" i="23" s="1"/>
  <c r="C25" i="22"/>
  <c r="I25" i="22" s="1"/>
  <c r="G25" i="22"/>
  <c r="H25" i="22"/>
  <c r="N25" i="22"/>
  <c r="O25" i="22"/>
  <c r="A26" i="22"/>
  <c r="A24" i="23" s="1"/>
  <c r="C26" i="22"/>
  <c r="C24" i="23" s="1"/>
  <c r="E26" i="22"/>
  <c r="F26" i="22" s="1"/>
  <c r="G26" i="22"/>
  <c r="O26" i="22"/>
  <c r="A27" i="22"/>
  <c r="A25" i="23" s="1"/>
  <c r="C27" i="22"/>
  <c r="J25" i="12" s="1"/>
  <c r="K25" i="12" s="1"/>
  <c r="O27" i="22"/>
  <c r="A28" i="22"/>
  <c r="C28" i="22"/>
  <c r="D28" i="22"/>
  <c r="O28" i="22"/>
  <c r="A29" i="22"/>
  <c r="A27" i="23" s="1"/>
  <c r="C29" i="22"/>
  <c r="D29" i="22"/>
  <c r="O29" i="22"/>
  <c r="A30" i="22"/>
  <c r="A28" i="23" s="1"/>
  <c r="C30" i="22"/>
  <c r="D30" i="22"/>
  <c r="O30" i="22"/>
  <c r="A31" i="22"/>
  <c r="A29" i="23" s="1"/>
  <c r="C31" i="22"/>
  <c r="I31" i="22" s="1"/>
  <c r="D31" i="22"/>
  <c r="H31" i="22"/>
  <c r="O31" i="22"/>
  <c r="A32" i="22"/>
  <c r="A30" i="23" s="1"/>
  <c r="C32" i="22"/>
  <c r="G32" i="22"/>
  <c r="O32" i="22"/>
  <c r="A33" i="22"/>
  <c r="A31" i="23" s="1"/>
  <c r="C33" i="22"/>
  <c r="E33" i="22" s="1"/>
  <c r="F33" i="22" s="1"/>
  <c r="O33" i="22"/>
  <c r="A34" i="22"/>
  <c r="A32" i="23" s="1"/>
  <c r="C34" i="22"/>
  <c r="C32" i="23" s="1"/>
  <c r="O34" i="22"/>
  <c r="A35" i="22"/>
  <c r="C35" i="22"/>
  <c r="C33" i="23" s="1"/>
  <c r="D33" i="23" s="1"/>
  <c r="O35" i="22"/>
  <c r="A36" i="22"/>
  <c r="A34" i="23" s="1"/>
  <c r="C36" i="22"/>
  <c r="J34" i="12" s="1"/>
  <c r="K34" i="12" s="1"/>
  <c r="O36" i="22"/>
  <c r="A37" i="22"/>
  <c r="C37" i="22"/>
  <c r="T37" i="22" s="1"/>
  <c r="O37" i="22"/>
  <c r="A38" i="22"/>
  <c r="C38" i="22"/>
  <c r="N38" i="22" s="1"/>
  <c r="D38" i="22"/>
  <c r="G38" i="22"/>
  <c r="H38" i="22"/>
  <c r="I38" i="22"/>
  <c r="J38" i="22" s="1"/>
  <c r="O38" i="22"/>
  <c r="A39" i="22"/>
  <c r="A37" i="23" s="1"/>
  <c r="C39" i="22"/>
  <c r="I39" i="22" s="1"/>
  <c r="O39" i="22"/>
  <c r="A40" i="22"/>
  <c r="A38" i="23" s="1"/>
  <c r="C40" i="22"/>
  <c r="D40" i="22" s="1"/>
  <c r="O40" i="22"/>
  <c r="A41" i="22"/>
  <c r="C41" i="22"/>
  <c r="D41" i="22" s="1"/>
  <c r="O41" i="22"/>
  <c r="A42" i="22"/>
  <c r="A40" i="23" s="1"/>
  <c r="C42" i="22"/>
  <c r="G42" i="22" s="1"/>
  <c r="K42" i="22" s="1"/>
  <c r="E42" i="22"/>
  <c r="F42" i="22" s="1"/>
  <c r="H42" i="22"/>
  <c r="Q42" i="22" s="1"/>
  <c r="I42" i="22"/>
  <c r="J42" i="22" s="1"/>
  <c r="O42" i="22"/>
  <c r="A43" i="22"/>
  <c r="C43" i="22"/>
  <c r="J41" i="12" s="1"/>
  <c r="K41" i="12" s="1"/>
  <c r="O43" i="22"/>
  <c r="A44" i="22"/>
  <c r="A42" i="23" s="1"/>
  <c r="C44" i="22"/>
  <c r="J42" i="12" s="1"/>
  <c r="K42" i="12" s="1"/>
  <c r="N44" i="22"/>
  <c r="O44" i="22"/>
  <c r="A45" i="22"/>
  <c r="A43" i="23" s="1"/>
  <c r="C45" i="22"/>
  <c r="I45" i="22"/>
  <c r="N45" i="22"/>
  <c r="P45" i="22" s="1"/>
  <c r="U45" i="22" s="1"/>
  <c r="O45" i="22"/>
  <c r="A46" i="22"/>
  <c r="A44" i="23" s="1"/>
  <c r="C46" i="22"/>
  <c r="D46" i="22"/>
  <c r="O46" i="22"/>
  <c r="A9" i="21"/>
  <c r="D9" i="21"/>
  <c r="A10" i="21"/>
  <c r="D10" i="21"/>
  <c r="A11" i="21"/>
  <c r="D11" i="21"/>
  <c r="A12" i="21"/>
  <c r="D12" i="21"/>
  <c r="A13" i="21"/>
  <c r="D13" i="21"/>
  <c r="A14" i="21"/>
  <c r="D14" i="21"/>
  <c r="A15" i="21"/>
  <c r="D15" i="21"/>
  <c r="A16" i="21"/>
  <c r="D16" i="21"/>
  <c r="A17" i="21"/>
  <c r="D17" i="21"/>
  <c r="A18" i="21"/>
  <c r="D18" i="21"/>
  <c r="A19" i="21"/>
  <c r="D19" i="21"/>
  <c r="A20" i="21"/>
  <c r="D20" i="21"/>
  <c r="A21" i="21"/>
  <c r="D21" i="21"/>
  <c r="A22" i="21"/>
  <c r="D22" i="21"/>
  <c r="A23" i="21"/>
  <c r="D23" i="21"/>
  <c r="A24" i="21"/>
  <c r="D24" i="21"/>
  <c r="A25" i="21"/>
  <c r="D25" i="21"/>
  <c r="A26" i="21"/>
  <c r="D26" i="21"/>
  <c r="A27" i="21"/>
  <c r="D27" i="21"/>
  <c r="A28" i="21"/>
  <c r="D28" i="21"/>
  <c r="A29" i="21"/>
  <c r="D29" i="21"/>
  <c r="A30" i="21"/>
  <c r="D30" i="21"/>
  <c r="A31" i="21"/>
  <c r="D31" i="21"/>
  <c r="A32" i="21"/>
  <c r="D32" i="21"/>
  <c r="A33" i="21"/>
  <c r="D33" i="21"/>
  <c r="A34" i="21"/>
  <c r="D34" i="21"/>
  <c r="A35" i="21"/>
  <c r="D35" i="21"/>
  <c r="A36" i="21"/>
  <c r="D36" i="21"/>
  <c r="A37" i="21"/>
  <c r="D37" i="21"/>
  <c r="A38" i="21"/>
  <c r="D38" i="21"/>
  <c r="A39" i="21"/>
  <c r="D39" i="21"/>
  <c r="A40" i="21"/>
  <c r="D40" i="21"/>
  <c r="A41" i="21"/>
  <c r="D41" i="21"/>
  <c r="A42" i="21"/>
  <c r="D42" i="21"/>
  <c r="A43" i="21"/>
  <c r="D43" i="21"/>
  <c r="A44" i="21"/>
  <c r="D44" i="21"/>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11" i="19"/>
  <c r="A12" i="19"/>
  <c r="A13" i="19"/>
  <c r="A14" i="19"/>
  <c r="A15" i="19"/>
  <c r="B15" i="19" s="1"/>
  <c r="A16" i="19"/>
  <c r="A17" i="19"/>
  <c r="A18" i="19"/>
  <c r="A19" i="19"/>
  <c r="B19" i="19" s="1"/>
  <c r="A20" i="19"/>
  <c r="A21" i="19"/>
  <c r="B21" i="19" s="1"/>
  <c r="A22" i="19"/>
  <c r="A23" i="19"/>
  <c r="A24" i="19"/>
  <c r="A25" i="19"/>
  <c r="A26" i="19"/>
  <c r="A27" i="19"/>
  <c r="A28" i="19"/>
  <c r="B28" i="19" s="1"/>
  <c r="A29" i="19"/>
  <c r="B29" i="19" s="1"/>
  <c r="A30" i="19"/>
  <c r="A31" i="19"/>
  <c r="A32" i="19"/>
  <c r="A33" i="19"/>
  <c r="A34" i="19"/>
  <c r="A35" i="19"/>
  <c r="A36" i="19"/>
  <c r="A37" i="19"/>
  <c r="A38" i="19"/>
  <c r="B38" i="19" s="1"/>
  <c r="A39" i="19"/>
  <c r="B39" i="19" s="1"/>
  <c r="A40" i="19"/>
  <c r="B40" i="19" s="1"/>
  <c r="A41" i="19"/>
  <c r="A42" i="19"/>
  <c r="A43" i="19"/>
  <c r="A44" i="19"/>
  <c r="B45" i="19" s="1"/>
  <c r="A45" i="19"/>
  <c r="A46" i="19"/>
  <c r="L3" i="19"/>
  <c r="A12" i="18"/>
  <c r="I12" i="18"/>
  <c r="A13" i="18"/>
  <c r="B13" i="18" s="1"/>
  <c r="I13" i="18"/>
  <c r="A14" i="18"/>
  <c r="I14" i="18"/>
  <c r="A15" i="18"/>
  <c r="I15" i="18"/>
  <c r="A16" i="18"/>
  <c r="I16" i="18"/>
  <c r="A17" i="18"/>
  <c r="I17" i="18"/>
  <c r="A18" i="18"/>
  <c r="B18" i="18"/>
  <c r="I18" i="18"/>
  <c r="A19" i="18"/>
  <c r="I19" i="18"/>
  <c r="A20" i="18"/>
  <c r="I20" i="18"/>
  <c r="A21" i="18"/>
  <c r="I21" i="18"/>
  <c r="A22" i="18"/>
  <c r="B22" i="18" s="1"/>
  <c r="I22" i="18"/>
  <c r="A23" i="18"/>
  <c r="I23" i="18"/>
  <c r="A24" i="18"/>
  <c r="I24" i="18"/>
  <c r="A25" i="18"/>
  <c r="I25" i="18"/>
  <c r="A26" i="18"/>
  <c r="I26" i="18"/>
  <c r="A27" i="18"/>
  <c r="I27" i="18"/>
  <c r="A28" i="18"/>
  <c r="I28" i="18"/>
  <c r="A29" i="18"/>
  <c r="I29" i="18"/>
  <c r="A30" i="18"/>
  <c r="B30" i="18" s="1"/>
  <c r="I30" i="18"/>
  <c r="A31" i="18"/>
  <c r="I31" i="18"/>
  <c r="A32" i="18"/>
  <c r="B32" i="18" s="1"/>
  <c r="I32" i="18"/>
  <c r="A33" i="18"/>
  <c r="I33" i="18"/>
  <c r="A34" i="18"/>
  <c r="I34" i="18"/>
  <c r="A35" i="18"/>
  <c r="I35" i="18"/>
  <c r="A36" i="18"/>
  <c r="I36" i="18"/>
  <c r="A37" i="18"/>
  <c r="I37" i="18"/>
  <c r="A38" i="18"/>
  <c r="B38" i="18" s="1"/>
  <c r="I38" i="18"/>
  <c r="A39" i="18"/>
  <c r="I39" i="18"/>
  <c r="A40" i="18"/>
  <c r="I40" i="18"/>
  <c r="A41" i="18"/>
  <c r="I41" i="18"/>
  <c r="A42" i="18"/>
  <c r="I42" i="18"/>
  <c r="A43" i="18"/>
  <c r="I43" i="18"/>
  <c r="A44" i="18"/>
  <c r="I44" i="18"/>
  <c r="A45" i="18"/>
  <c r="I45" i="18"/>
  <c r="A46" i="18"/>
  <c r="I46" i="18"/>
  <c r="A47" i="18"/>
  <c r="I47" i="18"/>
  <c r="B16" i="17"/>
  <c r="C16" i="17"/>
  <c r="H16" i="17" s="1"/>
  <c r="I16" i="17"/>
  <c r="K16" i="17"/>
  <c r="B17" i="17"/>
  <c r="C17" i="17"/>
  <c r="H17" i="17" s="1"/>
  <c r="I17" i="17"/>
  <c r="K17" i="17"/>
  <c r="B18" i="17"/>
  <c r="C18" i="17"/>
  <c r="I18" i="17"/>
  <c r="K18" i="17"/>
  <c r="B19" i="17"/>
  <c r="C19" i="17"/>
  <c r="H19" i="17" s="1"/>
  <c r="I19" i="17"/>
  <c r="K19" i="17"/>
  <c r="B20" i="17"/>
  <c r="C20" i="17"/>
  <c r="H20" i="17" s="1"/>
  <c r="I20" i="17"/>
  <c r="K20" i="17"/>
  <c r="B21" i="17"/>
  <c r="C21" i="17"/>
  <c r="H21" i="17" s="1"/>
  <c r="I21" i="17"/>
  <c r="K21" i="17"/>
  <c r="B22" i="17"/>
  <c r="C22" i="17"/>
  <c r="H22" i="17" s="1"/>
  <c r="I22" i="17"/>
  <c r="K22" i="17"/>
  <c r="B23" i="17"/>
  <c r="C23" i="17"/>
  <c r="H23" i="17" s="1"/>
  <c r="I23" i="17"/>
  <c r="K23" i="17"/>
  <c r="B24" i="17"/>
  <c r="C24" i="17"/>
  <c r="H24" i="17" s="1"/>
  <c r="I24" i="17"/>
  <c r="K24" i="17"/>
  <c r="B25" i="17"/>
  <c r="C25" i="17"/>
  <c r="H25" i="17" s="1"/>
  <c r="I25" i="17"/>
  <c r="K25" i="17"/>
  <c r="B26" i="17"/>
  <c r="C26" i="17"/>
  <c r="H26" i="17" s="1"/>
  <c r="I26" i="17"/>
  <c r="K26" i="17"/>
  <c r="B27" i="17"/>
  <c r="C27" i="17"/>
  <c r="H27" i="17" s="1"/>
  <c r="I27" i="17"/>
  <c r="K27" i="17"/>
  <c r="B28" i="17"/>
  <c r="C28" i="17"/>
  <c r="H28" i="17" s="1"/>
  <c r="I28" i="17"/>
  <c r="K28" i="17"/>
  <c r="B29" i="17"/>
  <c r="C29" i="17"/>
  <c r="H29" i="17" s="1"/>
  <c r="I29" i="17"/>
  <c r="K29" i="17"/>
  <c r="B30" i="17"/>
  <c r="C30" i="17"/>
  <c r="I30" i="17"/>
  <c r="K30" i="17"/>
  <c r="B31" i="17"/>
  <c r="C31" i="17"/>
  <c r="H31" i="17" s="1"/>
  <c r="I31" i="17"/>
  <c r="K31" i="17"/>
  <c r="B32" i="17"/>
  <c r="C32" i="17"/>
  <c r="H32" i="17" s="1"/>
  <c r="I32" i="17"/>
  <c r="K32" i="17"/>
  <c r="B33" i="17"/>
  <c r="C33" i="17"/>
  <c r="H33" i="17" s="1"/>
  <c r="I33" i="17"/>
  <c r="K33" i="17"/>
  <c r="B34" i="17"/>
  <c r="C34" i="17"/>
  <c r="H34" i="17" s="1"/>
  <c r="I34" i="17"/>
  <c r="K34" i="17"/>
  <c r="B35" i="17"/>
  <c r="C35" i="17"/>
  <c r="H35" i="17" s="1"/>
  <c r="I35" i="17"/>
  <c r="K35" i="17"/>
  <c r="B36" i="17"/>
  <c r="C36" i="17"/>
  <c r="H36" i="17" s="1"/>
  <c r="I36" i="17"/>
  <c r="K36" i="17"/>
  <c r="B37" i="17"/>
  <c r="C37" i="17"/>
  <c r="H37" i="17" s="1"/>
  <c r="I37" i="17"/>
  <c r="K37" i="17"/>
  <c r="B38" i="17"/>
  <c r="C38" i="17"/>
  <c r="H38" i="17" s="1"/>
  <c r="I38" i="17"/>
  <c r="K38" i="17"/>
  <c r="B39" i="17"/>
  <c r="C39" i="17"/>
  <c r="H39" i="17" s="1"/>
  <c r="I39" i="17"/>
  <c r="K39" i="17"/>
  <c r="B40" i="17"/>
  <c r="C40" i="17"/>
  <c r="H40" i="17" s="1"/>
  <c r="I40" i="17"/>
  <c r="K40" i="17"/>
  <c r="B41" i="17"/>
  <c r="C41" i="17"/>
  <c r="I41" i="17"/>
  <c r="K41" i="17"/>
  <c r="B42" i="17"/>
  <c r="C42" i="17"/>
  <c r="I42" i="17"/>
  <c r="K42" i="17"/>
  <c r="B43" i="17"/>
  <c r="C43" i="17"/>
  <c r="H43" i="17" s="1"/>
  <c r="I43" i="17"/>
  <c r="K43" i="17"/>
  <c r="B44" i="17"/>
  <c r="C44" i="17"/>
  <c r="H44" i="17" s="1"/>
  <c r="I44" i="17"/>
  <c r="K44" i="17"/>
  <c r="B45" i="17"/>
  <c r="C45" i="17"/>
  <c r="H45" i="17" s="1"/>
  <c r="I45" i="17"/>
  <c r="K45" i="17"/>
  <c r="B46" i="17"/>
  <c r="C46" i="17"/>
  <c r="H46" i="17" s="1"/>
  <c r="I46" i="17"/>
  <c r="K46" i="17"/>
  <c r="B47" i="17"/>
  <c r="C47" i="17"/>
  <c r="I47" i="17"/>
  <c r="K47" i="17"/>
  <c r="B48" i="17"/>
  <c r="C48" i="17"/>
  <c r="H48" i="17"/>
  <c r="I48" i="17"/>
  <c r="K48" i="17"/>
  <c r="B49" i="17"/>
  <c r="C49" i="17"/>
  <c r="H49" i="17" s="1"/>
  <c r="I49" i="17"/>
  <c r="K49" i="17"/>
  <c r="B50" i="17"/>
  <c r="C50" i="17"/>
  <c r="H50" i="17" s="1"/>
  <c r="I50" i="17"/>
  <c r="K50" i="17"/>
  <c r="B51" i="17"/>
  <c r="C51" i="17"/>
  <c r="H51" i="17" s="1"/>
  <c r="I51" i="17"/>
  <c r="K51" i="17"/>
  <c r="A10" i="16"/>
  <c r="C10" i="16"/>
  <c r="G10" i="16" s="1"/>
  <c r="D10" i="16"/>
  <c r="A11" i="16"/>
  <c r="C11" i="16"/>
  <c r="D11" i="16"/>
  <c r="A12" i="16"/>
  <c r="C12" i="16"/>
  <c r="D12" i="16"/>
  <c r="A13" i="16"/>
  <c r="C13" i="16"/>
  <c r="D13" i="16"/>
  <c r="A14" i="16"/>
  <c r="C14" i="16"/>
  <c r="G14" i="16" s="1"/>
  <c r="D14" i="16"/>
  <c r="A15" i="16"/>
  <c r="C15" i="16"/>
  <c r="D15" i="16"/>
  <c r="A16" i="16"/>
  <c r="C16" i="16"/>
  <c r="G16" i="16" s="1"/>
  <c r="D16" i="16"/>
  <c r="A17" i="16"/>
  <c r="C17" i="16"/>
  <c r="E17" i="16" s="1"/>
  <c r="D17" i="16"/>
  <c r="G17" i="16"/>
  <c r="A18" i="16"/>
  <c r="C18" i="16"/>
  <c r="D18" i="16"/>
  <c r="A19" i="16"/>
  <c r="C19" i="16"/>
  <c r="G19" i="16" s="1"/>
  <c r="D19" i="16"/>
  <c r="A20" i="16"/>
  <c r="C20" i="16"/>
  <c r="G20" i="16" s="1"/>
  <c r="D20" i="16"/>
  <c r="A21" i="16"/>
  <c r="C21" i="16"/>
  <c r="G21" i="16" s="1"/>
  <c r="D21" i="16"/>
  <c r="A22" i="16"/>
  <c r="C22" i="16"/>
  <c r="G22" i="16" s="1"/>
  <c r="D22" i="16"/>
  <c r="A23" i="16"/>
  <c r="C23" i="16"/>
  <c r="G23" i="16" s="1"/>
  <c r="D23" i="16"/>
  <c r="A24" i="16"/>
  <c r="C24" i="16"/>
  <c r="D24" i="16"/>
  <c r="A25" i="16"/>
  <c r="C25" i="16"/>
  <c r="D25" i="16"/>
  <c r="A26" i="16"/>
  <c r="C26" i="16"/>
  <c r="G26" i="16" s="1"/>
  <c r="D26" i="16"/>
  <c r="A27" i="16"/>
  <c r="C27" i="16"/>
  <c r="D27" i="16"/>
  <c r="A28" i="16"/>
  <c r="C28" i="16"/>
  <c r="G28" i="16" s="1"/>
  <c r="D28" i="16"/>
  <c r="A29" i="16"/>
  <c r="C29" i="16"/>
  <c r="E29" i="16" s="1"/>
  <c r="D29" i="16"/>
  <c r="A30" i="16"/>
  <c r="C30" i="16"/>
  <c r="D30" i="16"/>
  <c r="A31" i="16"/>
  <c r="C31" i="16"/>
  <c r="G31" i="16" s="1"/>
  <c r="D31" i="16"/>
  <c r="A32" i="16"/>
  <c r="C32" i="16"/>
  <c r="G32" i="16" s="1"/>
  <c r="D32" i="16"/>
  <c r="A33" i="16"/>
  <c r="C33" i="16"/>
  <c r="D33" i="16"/>
  <c r="E33" i="16"/>
  <c r="G33" i="16"/>
  <c r="A34" i="16"/>
  <c r="C34" i="16"/>
  <c r="G34" i="16" s="1"/>
  <c r="D34" i="16"/>
  <c r="A35" i="16"/>
  <c r="C35" i="16"/>
  <c r="D35" i="16"/>
  <c r="A36" i="16"/>
  <c r="C36" i="16"/>
  <c r="D36" i="16"/>
  <c r="A37" i="16"/>
  <c r="C37" i="16"/>
  <c r="D37" i="16"/>
  <c r="A38" i="16"/>
  <c r="C38" i="16"/>
  <c r="G38" i="16" s="1"/>
  <c r="D38" i="16"/>
  <c r="A39" i="16"/>
  <c r="C39" i="16"/>
  <c r="G39" i="16" s="1"/>
  <c r="D39" i="16"/>
  <c r="A40" i="16"/>
  <c r="C40" i="16"/>
  <c r="G40" i="16" s="1"/>
  <c r="D40" i="16"/>
  <c r="A41" i="16"/>
  <c r="C41" i="16"/>
  <c r="G41" i="16" s="1"/>
  <c r="D41" i="16"/>
  <c r="A42" i="16"/>
  <c r="C42" i="16"/>
  <c r="D42" i="16"/>
  <c r="A43" i="16"/>
  <c r="C43" i="16"/>
  <c r="D43" i="16"/>
  <c r="A44" i="16"/>
  <c r="C44" i="16"/>
  <c r="G44" i="16" s="1"/>
  <c r="D44" i="16"/>
  <c r="E44" i="16"/>
  <c r="A45" i="16"/>
  <c r="C45" i="16"/>
  <c r="G45" i="16" s="1"/>
  <c r="D45" i="16"/>
  <c r="B11" i="15"/>
  <c r="C11" i="15"/>
  <c r="D11" i="15" s="1"/>
  <c r="K12" i="15" s="1"/>
  <c r="B12" i="15"/>
  <c r="C12" i="15"/>
  <c r="D12" i="15" s="1"/>
  <c r="B13" i="15"/>
  <c r="C13" i="15"/>
  <c r="B14" i="15"/>
  <c r="C14" i="15"/>
  <c r="D14" i="15" s="1"/>
  <c r="B15" i="15"/>
  <c r="C15" i="15"/>
  <c r="D15" i="15"/>
  <c r="B16" i="15"/>
  <c r="C16" i="15"/>
  <c r="D16" i="15" s="1"/>
  <c r="B17" i="15"/>
  <c r="C17" i="15"/>
  <c r="D17" i="15" s="1"/>
  <c r="B18" i="15"/>
  <c r="C18" i="15"/>
  <c r="B19" i="15"/>
  <c r="C19" i="15"/>
  <c r="D19" i="15" s="1"/>
  <c r="B20" i="15"/>
  <c r="C20" i="15"/>
  <c r="B21" i="15"/>
  <c r="C21" i="15"/>
  <c r="D21" i="15"/>
  <c r="B22" i="15"/>
  <c r="C22" i="15"/>
  <c r="D22" i="15" s="1"/>
  <c r="K23" i="15" s="1"/>
  <c r="B23" i="15"/>
  <c r="C23" i="15"/>
  <c r="D23" i="15" s="1"/>
  <c r="B24" i="15"/>
  <c r="C24" i="15"/>
  <c r="D24" i="15" s="1"/>
  <c r="K25" i="15" s="1"/>
  <c r="B25" i="15"/>
  <c r="C25" i="15"/>
  <c r="B26" i="15"/>
  <c r="C26" i="15"/>
  <c r="B27" i="15"/>
  <c r="C27" i="15"/>
  <c r="D27" i="15" s="1"/>
  <c r="B28" i="15"/>
  <c r="C28" i="15"/>
  <c r="D28" i="15" s="1"/>
  <c r="B29" i="15"/>
  <c r="C29" i="15"/>
  <c r="D29" i="15" s="1"/>
  <c r="B30" i="15"/>
  <c r="C30" i="15"/>
  <c r="D30" i="15" s="1"/>
  <c r="B31" i="15"/>
  <c r="C31" i="15"/>
  <c r="D31" i="15" s="1"/>
  <c r="B32" i="15"/>
  <c r="C32" i="15"/>
  <c r="D32" i="15" s="1"/>
  <c r="K33" i="15" s="1"/>
  <c r="B33" i="15"/>
  <c r="C33" i="15"/>
  <c r="D33" i="15" s="1"/>
  <c r="B34" i="15"/>
  <c r="C34" i="15"/>
  <c r="D34" i="15" s="1"/>
  <c r="B35" i="15"/>
  <c r="C35" i="15"/>
  <c r="B36" i="15"/>
  <c r="C36" i="15"/>
  <c r="D36" i="15" s="1"/>
  <c r="K37" i="15" s="1"/>
  <c r="B37" i="15"/>
  <c r="C37" i="15"/>
  <c r="B38" i="15"/>
  <c r="C38" i="15"/>
  <c r="D38" i="15" s="1"/>
  <c r="B39" i="15"/>
  <c r="C39" i="15"/>
  <c r="D39" i="15" s="1"/>
  <c r="B40" i="15"/>
  <c r="C40" i="15"/>
  <c r="D40" i="15" s="1"/>
  <c r="B41" i="15"/>
  <c r="C41" i="15"/>
  <c r="D41" i="15" s="1"/>
  <c r="B42" i="15"/>
  <c r="C42" i="15"/>
  <c r="D42" i="15" s="1"/>
  <c r="B43" i="15"/>
  <c r="C43" i="15"/>
  <c r="D43" i="15" s="1"/>
  <c r="B44" i="15"/>
  <c r="C44" i="15"/>
  <c r="D44" i="15" s="1"/>
  <c r="K45" i="15" s="1"/>
  <c r="B45" i="15"/>
  <c r="C45" i="15"/>
  <c r="D45" i="15" s="1"/>
  <c r="B46" i="15"/>
  <c r="C46" i="15"/>
  <c r="D46" i="15" s="1"/>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L5" i="13"/>
  <c r="B11" i="13"/>
  <c r="C11" i="13"/>
  <c r="E11" i="13" s="1"/>
  <c r="B12" i="13"/>
  <c r="C12" i="13"/>
  <c r="D12" i="13" s="1"/>
  <c r="B13" i="13"/>
  <c r="A12" i="14" s="1"/>
  <c r="C13" i="13"/>
  <c r="C12" i="14" s="1"/>
  <c r="B14" i="13"/>
  <c r="C14" i="13"/>
  <c r="C13" i="14" s="1"/>
  <c r="B15" i="13"/>
  <c r="A14" i="14" s="1"/>
  <c r="C15" i="13"/>
  <c r="C14" i="14" s="1"/>
  <c r="B16" i="13"/>
  <c r="A15" i="14" s="1"/>
  <c r="C16" i="13"/>
  <c r="D16" i="13" s="1"/>
  <c r="M16" i="13" s="1"/>
  <c r="B17" i="13"/>
  <c r="A16" i="14" s="1"/>
  <c r="C17" i="13"/>
  <c r="C16" i="14" s="1"/>
  <c r="B18" i="13"/>
  <c r="C18" i="13"/>
  <c r="B19" i="13"/>
  <c r="C19" i="13"/>
  <c r="B20" i="13"/>
  <c r="C20" i="13"/>
  <c r="B21" i="13"/>
  <c r="A20" i="14" s="1"/>
  <c r="C21" i="13"/>
  <c r="C20" i="14" s="1"/>
  <c r="B22" i="13"/>
  <c r="A21" i="14" s="1"/>
  <c r="C22" i="13"/>
  <c r="D22" i="13" s="1"/>
  <c r="M22" i="13" s="1"/>
  <c r="B23" i="13"/>
  <c r="A22" i="14" s="1"/>
  <c r="C23" i="13"/>
  <c r="D23" i="13" s="1"/>
  <c r="M23" i="13" s="1"/>
  <c r="B24" i="13"/>
  <c r="C24" i="13"/>
  <c r="B25" i="13"/>
  <c r="A24" i="14" s="1"/>
  <c r="C25" i="13"/>
  <c r="B26" i="13"/>
  <c r="A25" i="14" s="1"/>
  <c r="C26" i="13"/>
  <c r="B27" i="13"/>
  <c r="A26" i="14" s="1"/>
  <c r="C27" i="13"/>
  <c r="C26" i="14" s="1"/>
  <c r="B28" i="13"/>
  <c r="C28" i="13"/>
  <c r="D28" i="13" s="1"/>
  <c r="M28" i="13" s="1"/>
  <c r="B29" i="13"/>
  <c r="A28" i="14" s="1"/>
  <c r="C29" i="13"/>
  <c r="E29" i="13" s="1"/>
  <c r="B30" i="13"/>
  <c r="C30" i="13"/>
  <c r="B31" i="13"/>
  <c r="A30" i="14" s="1"/>
  <c r="C31" i="13"/>
  <c r="C30" i="14" s="1"/>
  <c r="B32" i="13"/>
  <c r="A31" i="14" s="1"/>
  <c r="C32" i="13"/>
  <c r="C31" i="14" s="1"/>
  <c r="B33" i="13"/>
  <c r="C33" i="13"/>
  <c r="C32" i="14" s="1"/>
  <c r="E33" i="13"/>
  <c r="B34" i="13"/>
  <c r="C34" i="13"/>
  <c r="D34" i="13" s="1"/>
  <c r="M34" i="13" s="1"/>
  <c r="B35" i="13"/>
  <c r="C35" i="13"/>
  <c r="B36" i="13"/>
  <c r="C36" i="13"/>
  <c r="B37" i="13"/>
  <c r="C37" i="13"/>
  <c r="B38" i="13"/>
  <c r="A37" i="14" s="1"/>
  <c r="C38" i="13"/>
  <c r="C37" i="14" s="1"/>
  <c r="B39" i="13"/>
  <c r="C39" i="13"/>
  <c r="D39" i="13" s="1"/>
  <c r="B40" i="13"/>
  <c r="C40" i="13"/>
  <c r="B41" i="13"/>
  <c r="A40" i="14" s="1"/>
  <c r="C41" i="13"/>
  <c r="B42" i="13"/>
  <c r="C42" i="13"/>
  <c r="B43" i="13"/>
  <c r="C43" i="13"/>
  <c r="C42" i="14" s="1"/>
  <c r="D43" i="13"/>
  <c r="B44" i="13"/>
  <c r="C44" i="13"/>
  <c r="C43" i="14" s="1"/>
  <c r="B45" i="13"/>
  <c r="C45" i="13"/>
  <c r="D45" i="13" s="1"/>
  <c r="B46" i="13"/>
  <c r="A45" i="14" s="1"/>
  <c r="C46" i="13"/>
  <c r="D33" i="11"/>
  <c r="E11" i="15" s="1"/>
  <c r="D34" i="11"/>
  <c r="E12" i="15" s="1"/>
  <c r="D35" i="11"/>
  <c r="E13" i="15" s="1"/>
  <c r="D36" i="11"/>
  <c r="E14" i="15" s="1"/>
  <c r="D37" i="11"/>
  <c r="E15" i="15" s="1"/>
  <c r="D38" i="11"/>
  <c r="E16" i="15" s="1"/>
  <c r="D39" i="11"/>
  <c r="E17" i="15" s="1"/>
  <c r="D40" i="11"/>
  <c r="E18" i="15" s="1"/>
  <c r="D41" i="11"/>
  <c r="E19" i="15" s="1"/>
  <c r="D42" i="11"/>
  <c r="E20" i="15" s="1"/>
  <c r="D43" i="11"/>
  <c r="E21" i="15" s="1"/>
  <c r="D44" i="11"/>
  <c r="E22" i="15" s="1"/>
  <c r="D45" i="11"/>
  <c r="E23" i="15" s="1"/>
  <c r="D46" i="11"/>
  <c r="E24" i="15" s="1"/>
  <c r="D47" i="11"/>
  <c r="E25" i="15" s="1"/>
  <c r="D48" i="11"/>
  <c r="M48" i="11" s="1"/>
  <c r="D49" i="11"/>
  <c r="E27" i="15" s="1"/>
  <c r="D50" i="11"/>
  <c r="E28" i="15" s="1"/>
  <c r="D51" i="11"/>
  <c r="E29" i="15" s="1"/>
  <c r="D52" i="11"/>
  <c r="E30" i="15" s="1"/>
  <c r="D53" i="11"/>
  <c r="E31" i="15" s="1"/>
  <c r="D54" i="11"/>
  <c r="E32" i="15" s="1"/>
  <c r="D55" i="11"/>
  <c r="E33" i="15" s="1"/>
  <c r="D56" i="11"/>
  <c r="E34" i="15" s="1"/>
  <c r="D57" i="11"/>
  <c r="E35" i="15" s="1"/>
  <c r="D58" i="11"/>
  <c r="E36" i="15" s="1"/>
  <c r="D59" i="11"/>
  <c r="E37" i="15" s="1"/>
  <c r="D60" i="11"/>
  <c r="E38" i="15" s="1"/>
  <c r="D61" i="11"/>
  <c r="E39" i="15" s="1"/>
  <c r="D62" i="11"/>
  <c r="E40" i="15" s="1"/>
  <c r="D63" i="11"/>
  <c r="E41" i="15" s="1"/>
  <c r="D64" i="11"/>
  <c r="E42" i="15" s="1"/>
  <c r="D65" i="11"/>
  <c r="E43" i="15" s="1"/>
  <c r="D66" i="11"/>
  <c r="E44" i="15" s="1"/>
  <c r="D67" i="11"/>
  <c r="E45" i="15" s="1"/>
  <c r="D68" i="11"/>
  <c r="E46" i="15" s="1"/>
  <c r="A60" i="7"/>
  <c r="B60" i="7" s="1"/>
  <c r="A57" i="7"/>
  <c r="B57" i="7" s="1"/>
  <c r="A51" i="7"/>
  <c r="B51" i="7" s="1"/>
  <c r="A16" i="7"/>
  <c r="A17" i="7" s="1"/>
  <c r="A18" i="7" s="1"/>
  <c r="A19" i="7" s="1"/>
  <c r="A20" i="7" s="1"/>
  <c r="A21" i="7" s="1"/>
  <c r="A22" i="7" s="1"/>
  <c r="A23" i="7" s="1"/>
  <c r="B15" i="7"/>
  <c r="E9" i="12" l="1"/>
  <c r="C23" i="23"/>
  <c r="D23" i="23" s="1"/>
  <c r="E40" i="22"/>
  <c r="F40" i="22" s="1"/>
  <c r="T35" i="22"/>
  <c r="J35" i="12"/>
  <c r="K35" i="12" s="1"/>
  <c r="E38" i="22"/>
  <c r="F38" i="22" s="1"/>
  <c r="N19" i="22"/>
  <c r="P19" i="22" s="1"/>
  <c r="U19" i="22" s="1"/>
  <c r="C35" i="23"/>
  <c r="D35" i="23" s="1"/>
  <c r="C20" i="23"/>
  <c r="E20" i="23" s="1"/>
  <c r="J39" i="12"/>
  <c r="K39" i="12" s="1"/>
  <c r="T31" i="22"/>
  <c r="G21" i="22"/>
  <c r="C12" i="23"/>
  <c r="E12" i="23" s="1"/>
  <c r="P38" i="22"/>
  <c r="U38" i="22" s="1"/>
  <c r="D42" i="22"/>
  <c r="H39" i="22"/>
  <c r="J39" i="22" s="1"/>
  <c r="N31" i="22"/>
  <c r="P31" i="22" s="1"/>
  <c r="U31" i="22" s="1"/>
  <c r="V31" i="22" s="1"/>
  <c r="H29" i="23" s="1"/>
  <c r="C31" i="23"/>
  <c r="E31" i="23" s="1"/>
  <c r="F31" i="23" s="1"/>
  <c r="C11" i="23"/>
  <c r="D11" i="23" s="1"/>
  <c r="J24" i="12"/>
  <c r="K24" i="12" s="1"/>
  <c r="C34" i="23"/>
  <c r="J29" i="12"/>
  <c r="K29" i="12" s="1"/>
  <c r="D39" i="22"/>
  <c r="D37" i="22"/>
  <c r="C10" i="23"/>
  <c r="D10" i="23" s="1"/>
  <c r="J33" i="12"/>
  <c r="K33" i="12" s="1"/>
  <c r="J31" i="22"/>
  <c r="B36" i="19"/>
  <c r="E35" i="16"/>
  <c r="E11" i="16"/>
  <c r="E27" i="16"/>
  <c r="E45" i="13"/>
  <c r="B22" i="12"/>
  <c r="D32" i="13"/>
  <c r="M32" i="13" s="1"/>
  <c r="D42" i="13"/>
  <c r="M42" i="13" s="1"/>
  <c r="D36" i="13"/>
  <c r="M36" i="13" s="1"/>
  <c r="D25" i="13"/>
  <c r="M25" i="13" s="1"/>
  <c r="D19" i="13"/>
  <c r="E13" i="13"/>
  <c r="D37" i="13"/>
  <c r="D46" i="13"/>
  <c r="M46" i="13" s="1"/>
  <c r="E41" i="13"/>
  <c r="D35" i="13"/>
  <c r="M35" i="13" s="1"/>
  <c r="D13" i="13"/>
  <c r="D30" i="13"/>
  <c r="M30" i="13" s="1"/>
  <c r="D24" i="13"/>
  <c r="M24" i="13" s="1"/>
  <c r="D18" i="13"/>
  <c r="M18" i="13" s="1"/>
  <c r="D40" i="13"/>
  <c r="M40" i="13" s="1"/>
  <c r="E24" i="23"/>
  <c r="F24" i="23" s="1"/>
  <c r="D24" i="23"/>
  <c r="E16" i="22"/>
  <c r="F16" i="22" s="1"/>
  <c r="G16" i="22"/>
  <c r="J14" i="12"/>
  <c r="K14" i="12" s="1"/>
  <c r="H32" i="22"/>
  <c r="I32" i="22"/>
  <c r="J32" i="22" s="1"/>
  <c r="C30" i="23"/>
  <c r="N21" i="22"/>
  <c r="P21" i="22" s="1"/>
  <c r="U21" i="22" s="1"/>
  <c r="J19" i="12"/>
  <c r="K19" i="12" s="1"/>
  <c r="D21" i="22"/>
  <c r="E30" i="22"/>
  <c r="F30" i="22" s="1"/>
  <c r="J28" i="12"/>
  <c r="K28" i="12" s="1"/>
  <c r="C28" i="23"/>
  <c r="E39" i="13"/>
  <c r="H39" i="13" s="1"/>
  <c r="I39" i="13" s="1"/>
  <c r="E23" i="13"/>
  <c r="H23" i="13" s="1"/>
  <c r="I23" i="13" s="1"/>
  <c r="P44" i="22"/>
  <c r="U44" i="22" s="1"/>
  <c r="D36" i="23"/>
  <c r="C19" i="23"/>
  <c r="E19" i="23" s="1"/>
  <c r="N20" i="22"/>
  <c r="P20" i="22" s="1"/>
  <c r="U20" i="22" s="1"/>
  <c r="G20" i="22"/>
  <c r="K20" i="22" s="1"/>
  <c r="H20" i="22"/>
  <c r="T44" i="22"/>
  <c r="C42" i="23"/>
  <c r="B18" i="23"/>
  <c r="C18" i="23"/>
  <c r="Q12" i="22"/>
  <c r="K12" i="22"/>
  <c r="D40" i="23"/>
  <c r="E40" i="23"/>
  <c r="F40" i="23" s="1"/>
  <c r="E35" i="23"/>
  <c r="F35" i="23" s="1"/>
  <c r="D16" i="23"/>
  <c r="J30" i="12"/>
  <c r="K30" i="12" s="1"/>
  <c r="N28" i="22"/>
  <c r="P28" i="22" s="1"/>
  <c r="U28" i="22" s="1"/>
  <c r="G28" i="22"/>
  <c r="K28" i="22" s="1"/>
  <c r="D32" i="23"/>
  <c r="E32" i="23"/>
  <c r="F32" i="23" s="1"/>
  <c r="C29" i="14"/>
  <c r="I24" i="22"/>
  <c r="J22" i="12"/>
  <c r="K22" i="12" s="1"/>
  <c r="J26" i="12"/>
  <c r="K26" i="12" s="1"/>
  <c r="D22" i="23"/>
  <c r="D27" i="23"/>
  <c r="E27" i="23"/>
  <c r="F27" i="23" s="1"/>
  <c r="N11" i="22"/>
  <c r="P11" i="22" s="1"/>
  <c r="U11" i="22" s="1"/>
  <c r="V11" i="22" s="1"/>
  <c r="H9" i="23" s="1"/>
  <c r="H11" i="22"/>
  <c r="X11" i="22" s="1"/>
  <c r="I11" i="22"/>
  <c r="J11" i="22" s="1"/>
  <c r="C9" i="23"/>
  <c r="C26" i="23"/>
  <c r="D11" i="13"/>
  <c r="M11" i="13" s="1"/>
  <c r="D20" i="15"/>
  <c r="K21" i="15" s="1"/>
  <c r="N46" i="22"/>
  <c r="P46" i="22" s="1"/>
  <c r="U46" i="22" s="1"/>
  <c r="E46" i="22"/>
  <c r="F46" i="22" s="1"/>
  <c r="G46" i="22"/>
  <c r="H46" i="22"/>
  <c r="R46" i="22" s="1"/>
  <c r="J44" i="12"/>
  <c r="K44" i="12" s="1"/>
  <c r="I46" i="22"/>
  <c r="E43" i="22"/>
  <c r="F43" i="22" s="1"/>
  <c r="D43" i="22"/>
  <c r="G43" i="22"/>
  <c r="H43" i="22"/>
  <c r="I43" i="22"/>
  <c r="C41" i="23"/>
  <c r="T26" i="22"/>
  <c r="H26" i="22"/>
  <c r="Q26" i="22" s="1"/>
  <c r="I26" i="22"/>
  <c r="N26" i="22"/>
  <c r="P26" i="22" s="1"/>
  <c r="U26" i="22" s="1"/>
  <c r="I21" i="22"/>
  <c r="J18" i="12"/>
  <c r="K18" i="12" s="1"/>
  <c r="N23" i="22"/>
  <c r="P23" i="22" s="1"/>
  <c r="U23" i="22" s="1"/>
  <c r="D23" i="22"/>
  <c r="E23" i="22"/>
  <c r="F23" i="22" s="1"/>
  <c r="C21" i="23"/>
  <c r="G23" i="22"/>
  <c r="H23" i="22"/>
  <c r="I23" i="22"/>
  <c r="C14" i="23"/>
  <c r="C38" i="23"/>
  <c r="D38" i="23" s="1"/>
  <c r="J38" i="12"/>
  <c r="K38" i="12" s="1"/>
  <c r="T45" i="22"/>
  <c r="V45" i="22" s="1"/>
  <c r="H43" i="23" s="1"/>
  <c r="J43" i="12"/>
  <c r="K43" i="12" s="1"/>
  <c r="D45" i="22"/>
  <c r="E45" i="22"/>
  <c r="F45" i="22" s="1"/>
  <c r="G45" i="22"/>
  <c r="K45" i="22" s="1"/>
  <c r="H45" i="22"/>
  <c r="C43" i="23"/>
  <c r="N34" i="22"/>
  <c r="P34" i="22" s="1"/>
  <c r="U34" i="22" s="1"/>
  <c r="J32" i="12"/>
  <c r="K32" i="12" s="1"/>
  <c r="B27" i="18"/>
  <c r="N40" i="22"/>
  <c r="P40" i="22" s="1"/>
  <c r="U40" i="22" s="1"/>
  <c r="G33" i="22"/>
  <c r="K33" i="22" s="1"/>
  <c r="J31" i="12"/>
  <c r="K31" i="12" s="1"/>
  <c r="D33" i="22"/>
  <c r="E28" i="22"/>
  <c r="F28" i="22" s="1"/>
  <c r="H21" i="22"/>
  <c r="R21" i="22" s="1"/>
  <c r="H14" i="22"/>
  <c r="R14" i="22" s="1"/>
  <c r="I14" i="22"/>
  <c r="J14" i="22" s="1"/>
  <c r="N14" i="22"/>
  <c r="P14" i="22" s="1"/>
  <c r="U14" i="22" s="1"/>
  <c r="T14" i="22"/>
  <c r="C44" i="23"/>
  <c r="D44" i="23" s="1"/>
  <c r="G29" i="23"/>
  <c r="F17" i="24"/>
  <c r="G17" i="24" s="1"/>
  <c r="J21" i="12"/>
  <c r="K21" i="12" s="1"/>
  <c r="E14" i="16"/>
  <c r="B20" i="19"/>
  <c r="P25" i="22"/>
  <c r="U25" i="22" s="1"/>
  <c r="P13" i="22"/>
  <c r="U13" i="22" s="1"/>
  <c r="V13" i="22" s="1"/>
  <c r="H11" i="23" s="1"/>
  <c r="C39" i="23"/>
  <c r="J23" i="12"/>
  <c r="K23" i="12" s="1"/>
  <c r="J20" i="12"/>
  <c r="K20" i="12" s="1"/>
  <c r="J11" i="12"/>
  <c r="K11" i="12" s="1"/>
  <c r="B18" i="19"/>
  <c r="I35" i="22"/>
  <c r="D22" i="22"/>
  <c r="I13" i="22"/>
  <c r="J17" i="12"/>
  <c r="K17" i="12" s="1"/>
  <c r="G39" i="22"/>
  <c r="H35" i="22"/>
  <c r="G33" i="23" s="1"/>
  <c r="J37" i="12"/>
  <c r="K37" i="12" s="1"/>
  <c r="E39" i="22"/>
  <c r="F39" i="22" s="1"/>
  <c r="E18" i="22"/>
  <c r="F18" i="22" s="1"/>
  <c r="C17" i="23"/>
  <c r="C13" i="23"/>
  <c r="J10" i="12"/>
  <c r="K10" i="12" s="1"/>
  <c r="B35" i="18"/>
  <c r="E25" i="22"/>
  <c r="F25" i="22" s="1"/>
  <c r="D18" i="22"/>
  <c r="C37" i="23"/>
  <c r="D37" i="23" s="1"/>
  <c r="J40" i="12"/>
  <c r="K40" i="12" s="1"/>
  <c r="E23" i="16"/>
  <c r="B47" i="18"/>
  <c r="B39" i="22"/>
  <c r="L41" i="17"/>
  <c r="M41" i="17" s="1"/>
  <c r="K33" i="13"/>
  <c r="B27" i="19"/>
  <c r="B46" i="18"/>
  <c r="B34" i="18"/>
  <c r="B28" i="18"/>
  <c r="F37" i="24"/>
  <c r="G37" i="24" s="1"/>
  <c r="F19" i="24"/>
  <c r="G19" i="24" s="1"/>
  <c r="B23" i="18"/>
  <c r="L17" i="17"/>
  <c r="M17" i="17" s="1"/>
  <c r="B26" i="19"/>
  <c r="B16" i="22"/>
  <c r="B10" i="23"/>
  <c r="B23" i="20"/>
  <c r="B37" i="19"/>
  <c r="F16" i="24"/>
  <c r="G16" i="24" s="1"/>
  <c r="F10" i="24"/>
  <c r="G10" i="24" s="1"/>
  <c r="B19" i="12"/>
  <c r="B33" i="18"/>
  <c r="B17" i="18"/>
  <c r="B16" i="19"/>
  <c r="K14" i="13"/>
  <c r="K29" i="13"/>
  <c r="B43" i="19"/>
  <c r="B15" i="12"/>
  <c r="K23" i="13"/>
  <c r="B42" i="19"/>
  <c r="B32" i="19"/>
  <c r="B13" i="19"/>
  <c r="B38" i="12"/>
  <c r="B22" i="19"/>
  <c r="E31" i="13"/>
  <c r="D21" i="13"/>
  <c r="M21" i="13" s="1"/>
  <c r="C36" i="14"/>
  <c r="C15" i="14"/>
  <c r="D15" i="13"/>
  <c r="M15" i="13" s="1"/>
  <c r="D44" i="13"/>
  <c r="M44" i="13" s="1"/>
  <c r="C44" i="14"/>
  <c r="E26" i="15"/>
  <c r="E41" i="12"/>
  <c r="E14" i="13"/>
  <c r="E27" i="12"/>
  <c r="E43" i="13"/>
  <c r="H43" i="13" s="1"/>
  <c r="I43" i="13" s="1"/>
  <c r="D14" i="13"/>
  <c r="M14" i="13" s="1"/>
  <c r="C21" i="14"/>
  <c r="E41" i="16"/>
  <c r="D39" i="12"/>
  <c r="F39" i="12" s="1"/>
  <c r="R39" i="12" s="1"/>
  <c r="G39" i="12" s="1"/>
  <c r="E29" i="12"/>
  <c r="F29" i="12"/>
  <c r="R29" i="12" s="1"/>
  <c r="G29" i="12" s="1"/>
  <c r="E14" i="12"/>
  <c r="F14" i="12"/>
  <c r="E21" i="16"/>
  <c r="F41" i="12"/>
  <c r="R41" i="12" s="1"/>
  <c r="G41" i="12" s="1"/>
  <c r="E44" i="13"/>
  <c r="E32" i="13"/>
  <c r="E15" i="13"/>
  <c r="C38" i="14"/>
  <c r="C22" i="14"/>
  <c r="C35" i="14"/>
  <c r="E22" i="12"/>
  <c r="E17" i="13"/>
  <c r="K13" i="15"/>
  <c r="E26" i="16"/>
  <c r="E42" i="12"/>
  <c r="C28" i="14"/>
  <c r="E21" i="13"/>
  <c r="D17" i="13"/>
  <c r="M17" i="13" s="1"/>
  <c r="C17" i="14"/>
  <c r="G29" i="16"/>
  <c r="E19" i="16"/>
  <c r="F21" i="12"/>
  <c r="R21" i="12" s="1"/>
  <c r="G21" i="12" s="1"/>
  <c r="H45" i="13"/>
  <c r="I45" i="13" s="1"/>
  <c r="C33" i="14"/>
  <c r="G35" i="16"/>
  <c r="E37" i="13"/>
  <c r="D33" i="13"/>
  <c r="H33" i="13" s="1"/>
  <c r="I33" i="13" s="1"/>
  <c r="C40" i="14"/>
  <c r="E32" i="16"/>
  <c r="D41" i="13"/>
  <c r="M41" i="13" s="1"/>
  <c r="D29" i="13"/>
  <c r="M29" i="13" s="1"/>
  <c r="C23" i="14"/>
  <c r="E38" i="16"/>
  <c r="E25" i="13"/>
  <c r="C24" i="14"/>
  <c r="D17" i="12"/>
  <c r="F17" i="12" s="1"/>
  <c r="F42" i="12"/>
  <c r="C19" i="14"/>
  <c r="D20" i="13"/>
  <c r="M20" i="13" s="1"/>
  <c r="E20" i="13"/>
  <c r="D35" i="15"/>
  <c r="K36" i="15" s="1"/>
  <c r="E38" i="13"/>
  <c r="D31" i="13"/>
  <c r="M31" i="13" s="1"/>
  <c r="E27" i="13"/>
  <c r="C41" i="14"/>
  <c r="E45" i="16"/>
  <c r="E28" i="12"/>
  <c r="E15" i="12"/>
  <c r="G15" i="16"/>
  <c r="E15" i="16"/>
  <c r="G43" i="16"/>
  <c r="E43" i="16"/>
  <c r="E35" i="13"/>
  <c r="D38" i="13"/>
  <c r="M38" i="13" s="1"/>
  <c r="D27" i="13"/>
  <c r="M27" i="13" s="1"/>
  <c r="C34" i="14"/>
  <c r="C27" i="14"/>
  <c r="C11" i="14"/>
  <c r="D33" i="12"/>
  <c r="E33" i="12" s="1"/>
  <c r="E19" i="13"/>
  <c r="C18" i="14"/>
  <c r="G25" i="16"/>
  <c r="E25" i="16"/>
  <c r="C10" i="14"/>
  <c r="F22" i="12"/>
  <c r="R22" i="12" s="1"/>
  <c r="G22" i="12" s="1"/>
  <c r="E10" i="12"/>
  <c r="C25" i="14"/>
  <c r="D26" i="13"/>
  <c r="M26" i="13" s="1"/>
  <c r="E26" i="13"/>
  <c r="C45" i="14"/>
  <c r="C39" i="14"/>
  <c r="K24" i="15"/>
  <c r="E39" i="16"/>
  <c r="F28" i="12"/>
  <c r="F15" i="12"/>
  <c r="F10" i="12"/>
  <c r="E20" i="12"/>
  <c r="M39" i="13"/>
  <c r="K22" i="15"/>
  <c r="K34" i="15"/>
  <c r="E26" i="12"/>
  <c r="B44" i="23"/>
  <c r="B42" i="18"/>
  <c r="B17" i="19"/>
  <c r="B35" i="12"/>
  <c r="J40" i="15"/>
  <c r="J33" i="15"/>
  <c r="B33" i="16"/>
  <c r="K35" i="13"/>
  <c r="B43" i="18"/>
  <c r="B23" i="19"/>
  <c r="B14" i="19"/>
  <c r="B12" i="20"/>
  <c r="B24" i="22"/>
  <c r="B18" i="22"/>
  <c r="B30" i="12"/>
  <c r="K41" i="13"/>
  <c r="B17" i="16"/>
  <c r="L29" i="17"/>
  <c r="M29" i="17" s="1"/>
  <c r="B35" i="19"/>
  <c r="B10" i="21"/>
  <c r="A34" i="14"/>
  <c r="B25" i="21"/>
  <c r="B20" i="23"/>
  <c r="K42" i="13"/>
  <c r="L45" i="17"/>
  <c r="M45" i="17" s="1"/>
  <c r="L37" i="17"/>
  <c r="N37" i="17" s="1"/>
  <c r="B39" i="18"/>
  <c r="B44" i="19"/>
  <c r="B29" i="23"/>
  <c r="A39" i="14"/>
  <c r="B40" i="14" s="1"/>
  <c r="G40" i="14" s="1"/>
  <c r="B41" i="21"/>
  <c r="B13" i="22"/>
  <c r="B15" i="16"/>
  <c r="B27" i="12"/>
  <c r="B20" i="16"/>
  <c r="B43" i="21"/>
  <c r="B43" i="23"/>
  <c r="A22" i="23"/>
  <c r="B22" i="23" s="1"/>
  <c r="A15" i="23"/>
  <c r="B16" i="23" s="1"/>
  <c r="J20" i="15"/>
  <c r="L50" i="17"/>
  <c r="N50" i="17" s="1"/>
  <c r="L39" i="17"/>
  <c r="N39" i="17" s="1"/>
  <c r="B37" i="18"/>
  <c r="B14" i="20"/>
  <c r="F40" i="24"/>
  <c r="G40" i="24" s="1"/>
  <c r="B25" i="18"/>
  <c r="B31" i="19"/>
  <c r="B36" i="12"/>
  <c r="B31" i="12"/>
  <c r="B29" i="12"/>
  <c r="B23" i="12"/>
  <c r="B36" i="18"/>
  <c r="B31" i="18"/>
  <c r="B26" i="18"/>
  <c r="B46" i="19"/>
  <c r="B38" i="20"/>
  <c r="B29" i="21"/>
  <c r="F29" i="24"/>
  <c r="G29" i="24" s="1"/>
  <c r="A36" i="23"/>
  <c r="B37" i="23" s="1"/>
  <c r="B23" i="16"/>
  <c r="L47" i="17"/>
  <c r="N47" i="17" s="1"/>
  <c r="B44" i="12"/>
  <c r="K45" i="13"/>
  <c r="B38" i="16"/>
  <c r="B41" i="12"/>
  <c r="J44" i="15"/>
  <c r="B45" i="16"/>
  <c r="K15" i="13"/>
  <c r="J42" i="15"/>
  <c r="J35" i="15"/>
  <c r="B41" i="18"/>
  <c r="B12" i="19"/>
  <c r="B19" i="21"/>
  <c r="F31" i="24"/>
  <c r="G31" i="24" s="1"/>
  <c r="K39" i="13"/>
  <c r="K36" i="13"/>
  <c r="B32" i="20"/>
  <c r="A13" i="14"/>
  <c r="B13" i="14" s="1"/>
  <c r="G13" i="14" s="1"/>
  <c r="J18" i="15"/>
  <c r="B22" i="16"/>
  <c r="B30" i="19"/>
  <c r="B17" i="20"/>
  <c r="B17" i="12"/>
  <c r="J30" i="15"/>
  <c r="B11" i="16"/>
  <c r="B46" i="20"/>
  <c r="J23" i="15"/>
  <c r="B39" i="16"/>
  <c r="B41" i="16"/>
  <c r="B26" i="16"/>
  <c r="L25" i="17"/>
  <c r="M25" i="17" s="1"/>
  <c r="B36" i="20"/>
  <c r="B24" i="21"/>
  <c r="B24" i="23"/>
  <c r="F38" i="24"/>
  <c r="G38" i="24" s="1"/>
  <c r="F33" i="24"/>
  <c r="G33" i="24" s="1"/>
  <c r="F27" i="24"/>
  <c r="G27" i="24" s="1"/>
  <c r="B34" i="12"/>
  <c r="L27" i="17"/>
  <c r="M27" i="17" s="1"/>
  <c r="B14" i="18"/>
  <c r="B33" i="19"/>
  <c r="B39" i="20"/>
  <c r="B17" i="23"/>
  <c r="B27" i="16"/>
  <c r="B21" i="14"/>
  <c r="G21" i="14" s="1"/>
  <c r="K18" i="13"/>
  <c r="B19" i="18"/>
  <c r="B15" i="18"/>
  <c r="B25" i="19"/>
  <c r="B29" i="20"/>
  <c r="B22" i="20"/>
  <c r="B31" i="23"/>
  <c r="B37" i="12"/>
  <c r="K24" i="13"/>
  <c r="A23" i="14"/>
  <c r="B24" i="14" s="1"/>
  <c r="G24" i="14" s="1"/>
  <c r="N29" i="17"/>
  <c r="K43" i="13"/>
  <c r="A42" i="14"/>
  <c r="K37" i="13"/>
  <c r="A36" i="14"/>
  <c r="A17" i="14"/>
  <c r="A32" i="14"/>
  <c r="B32" i="14" s="1"/>
  <c r="G32" i="14" s="1"/>
  <c r="B41" i="20"/>
  <c r="A44" i="14"/>
  <c r="B45" i="14" s="1"/>
  <c r="G45" i="14" s="1"/>
  <c r="J21" i="15"/>
  <c r="B40" i="12"/>
  <c r="K17" i="13"/>
  <c r="J45" i="15"/>
  <c r="B41" i="19"/>
  <c r="B12" i="22"/>
  <c r="K22" i="13"/>
  <c r="K20" i="13"/>
  <c r="A19" i="14"/>
  <c r="B20" i="14" s="1"/>
  <c r="G20" i="14" s="1"/>
  <c r="K16" i="13"/>
  <c r="B31" i="14"/>
  <c r="G31" i="14" s="1"/>
  <c r="J36" i="15"/>
  <c r="B14" i="16"/>
  <c r="B13" i="16"/>
  <c r="B45" i="18"/>
  <c r="B40" i="18"/>
  <c r="B21" i="18"/>
  <c r="B16" i="18"/>
  <c r="B35" i="20"/>
  <c r="B34" i="21"/>
  <c r="B31" i="21"/>
  <c r="B28" i="12"/>
  <c r="B14" i="12"/>
  <c r="B19" i="23"/>
  <c r="B25" i="23"/>
  <c r="B10" i="12"/>
  <c r="L51" i="17"/>
  <c r="L38" i="17"/>
  <c r="B34" i="19"/>
  <c r="B28" i="21"/>
  <c r="A11" i="23"/>
  <c r="B11" i="23" s="1"/>
  <c r="F26" i="24"/>
  <c r="G26" i="24" s="1"/>
  <c r="F25" i="24"/>
  <c r="G25" i="24" s="1"/>
  <c r="K46" i="13"/>
  <c r="K28" i="13"/>
  <c r="K21" i="13"/>
  <c r="A35" i="14"/>
  <c r="A27" i="14"/>
  <c r="B27" i="14" s="1"/>
  <c r="G27" i="14" s="1"/>
  <c r="B41" i="22"/>
  <c r="A39" i="23"/>
  <c r="B39" i="23" s="1"/>
  <c r="A33" i="23"/>
  <c r="B33" i="23" s="1"/>
  <c r="B36" i="22"/>
  <c r="K30" i="13"/>
  <c r="A29" i="14"/>
  <c r="B29" i="14" s="1"/>
  <c r="G29" i="14" s="1"/>
  <c r="K12" i="13"/>
  <c r="A11" i="14"/>
  <c r="B12" i="14" s="1"/>
  <c r="G12" i="14" s="1"/>
  <c r="B15" i="23"/>
  <c r="B16" i="14"/>
  <c r="G16" i="14" s="1"/>
  <c r="A10" i="14"/>
  <c r="B18" i="16"/>
  <c r="B44" i="18"/>
  <c r="B20" i="18"/>
  <c r="A41" i="23"/>
  <c r="B42" i="23" s="1"/>
  <c r="B44" i="22"/>
  <c r="B37" i="22"/>
  <c r="A35" i="23"/>
  <c r="B35" i="23" s="1"/>
  <c r="A13" i="23"/>
  <c r="F23" i="24"/>
  <c r="G23" i="24" s="1"/>
  <c r="F12" i="24"/>
  <c r="G12" i="24" s="1"/>
  <c r="B26" i="14"/>
  <c r="G26" i="14" s="1"/>
  <c r="B25" i="14"/>
  <c r="G25" i="14" s="1"/>
  <c r="A41" i="14"/>
  <c r="B41" i="14" s="1"/>
  <c r="G41" i="14" s="1"/>
  <c r="B14" i="22"/>
  <c r="A12" i="23"/>
  <c r="B34" i="20"/>
  <c r="K40" i="13"/>
  <c r="K27" i="13"/>
  <c r="B16" i="16"/>
  <c r="B24" i="12"/>
  <c r="K34" i="13"/>
  <c r="A33" i="14"/>
  <c r="K25" i="13"/>
  <c r="B35" i="16"/>
  <c r="L28" i="17"/>
  <c r="K31" i="13"/>
  <c r="K19" i="13"/>
  <c r="A18" i="14"/>
  <c r="K13" i="13"/>
  <c r="A38" i="14"/>
  <c r="B38" i="14" s="1"/>
  <c r="G38" i="14" s="1"/>
  <c r="B21" i="16"/>
  <c r="B29" i="18"/>
  <c r="B24" i="18"/>
  <c r="B24" i="19"/>
  <c r="B12" i="21"/>
  <c r="B21" i="23"/>
  <c r="L49" i="17"/>
  <c r="M49" i="17" s="1"/>
  <c r="B20" i="20"/>
  <c r="B11" i="21"/>
  <c r="B20" i="22"/>
  <c r="B19" i="22"/>
  <c r="K44" i="13"/>
  <c r="J22" i="15"/>
  <c r="B44" i="20"/>
  <c r="B36" i="21"/>
  <c r="B26" i="21"/>
  <c r="B17" i="21"/>
  <c r="B45" i="22"/>
  <c r="B29" i="22"/>
  <c r="B12" i="16"/>
  <c r="L30" i="17"/>
  <c r="M30" i="17" s="1"/>
  <c r="K38" i="13"/>
  <c r="K32" i="13"/>
  <c r="K26" i="13"/>
  <c r="J46" i="15"/>
  <c r="J34" i="15"/>
  <c r="L40" i="17"/>
  <c r="M40" i="17" s="1"/>
  <c r="L26" i="17"/>
  <c r="M26" i="17" s="1"/>
  <c r="B28" i="20"/>
  <c r="B42" i="21"/>
  <c r="B23" i="21"/>
  <c r="B20" i="21"/>
  <c r="A26" i="23"/>
  <c r="B26" i="23" s="1"/>
  <c r="F32" i="24"/>
  <c r="G32" i="24" s="1"/>
  <c r="F11" i="24"/>
  <c r="G11" i="24" s="1"/>
  <c r="B26" i="12"/>
  <c r="B43" i="16"/>
  <c r="B15" i="20"/>
  <c r="B38" i="21"/>
  <c r="A43" i="14"/>
  <c r="J32" i="15"/>
  <c r="J12" i="15"/>
  <c r="B24" i="20"/>
  <c r="B27" i="22"/>
  <c r="B25" i="22"/>
  <c r="B12" i="12"/>
  <c r="F12" i="7"/>
  <c r="H12" i="7" s="1"/>
  <c r="I12" i="7" s="1"/>
  <c r="J12" i="7" s="1"/>
  <c r="K12" i="7" s="1"/>
  <c r="B16" i="7"/>
  <c r="A54" i="7"/>
  <c r="B54" i="7" s="1"/>
  <c r="D34" i="12"/>
  <c r="E34" i="12" s="1"/>
  <c r="B43" i="12"/>
  <c r="B42" i="12"/>
  <c r="D24" i="12"/>
  <c r="E24" i="12" s="1"/>
  <c r="D36" i="12"/>
  <c r="F36" i="12" s="1"/>
  <c r="R36" i="12" s="1"/>
  <c r="G36" i="12" s="1"/>
  <c r="D11" i="12"/>
  <c r="F11" i="12" s="1"/>
  <c r="D43" i="12"/>
  <c r="F43" i="12" s="1"/>
  <c r="R43" i="12" s="1"/>
  <c r="G43" i="12" s="1"/>
  <c r="B13" i="12"/>
  <c r="D25" i="12"/>
  <c r="E25" i="12" s="1"/>
  <c r="E13" i="12"/>
  <c r="F13" i="12"/>
  <c r="D23" i="12"/>
  <c r="F23" i="12" s="1"/>
  <c r="R23" i="12" s="1"/>
  <c r="G23" i="12" s="1"/>
  <c r="F35" i="12"/>
  <c r="B25" i="12"/>
  <c r="F16" i="12"/>
  <c r="D30" i="12"/>
  <c r="F30" i="12" s="1"/>
  <c r="R30" i="12" s="1"/>
  <c r="G30" i="12" s="1"/>
  <c r="B33" i="12"/>
  <c r="B21" i="12"/>
  <c r="B20" i="12"/>
  <c r="E40" i="12"/>
  <c r="D18" i="12"/>
  <c r="F18" i="12" s="1"/>
  <c r="E37" i="12"/>
  <c r="F37" i="12"/>
  <c r="E12" i="12"/>
  <c r="F12" i="12"/>
  <c r="B39" i="12"/>
  <c r="E19" i="12"/>
  <c r="F19" i="12"/>
  <c r="E31" i="12"/>
  <c r="F31" i="12"/>
  <c r="R31" i="12" s="1"/>
  <c r="G31" i="12" s="1"/>
  <c r="E44" i="12"/>
  <c r="E38" i="12"/>
  <c r="E32" i="12"/>
  <c r="F13" i="24"/>
  <c r="G13" i="24" s="1"/>
  <c r="F14" i="24"/>
  <c r="G14" i="24" s="1"/>
  <c r="F35" i="24"/>
  <c r="G35" i="24" s="1"/>
  <c r="F34" i="24"/>
  <c r="G34" i="24" s="1"/>
  <c r="F42" i="24"/>
  <c r="G42" i="24" s="1"/>
  <c r="F43" i="24"/>
  <c r="G43" i="24" s="1"/>
  <c r="F21" i="24"/>
  <c r="G21" i="24" s="1"/>
  <c r="F22" i="24"/>
  <c r="G22" i="24" s="1"/>
  <c r="F20" i="24"/>
  <c r="G20" i="24" s="1"/>
  <c r="F18" i="24"/>
  <c r="G18" i="24" s="1"/>
  <c r="F39" i="24"/>
  <c r="G39" i="24" s="1"/>
  <c r="F30" i="24"/>
  <c r="G30" i="24" s="1"/>
  <c r="F28" i="24"/>
  <c r="G28" i="24" s="1"/>
  <c r="F15" i="24"/>
  <c r="G15" i="24" s="1"/>
  <c r="F41" i="24"/>
  <c r="G41" i="24" s="1"/>
  <c r="F24" i="24"/>
  <c r="G24" i="24" s="1"/>
  <c r="F9" i="24"/>
  <c r="G9" i="24" s="1"/>
  <c r="F36" i="24"/>
  <c r="G36" i="24" s="1"/>
  <c r="B32" i="23"/>
  <c r="D25" i="23"/>
  <c r="E25" i="23"/>
  <c r="F25" i="23" s="1"/>
  <c r="B38" i="23"/>
  <c r="E33" i="23"/>
  <c r="F33" i="23" s="1"/>
  <c r="D31" i="23"/>
  <c r="D43" i="23"/>
  <c r="E43" i="23"/>
  <c r="F43" i="23" s="1"/>
  <c r="B28" i="23"/>
  <c r="E23" i="23"/>
  <c r="F23" i="23" s="1"/>
  <c r="E22" i="23"/>
  <c r="F22" i="23" s="1"/>
  <c r="E21" i="23"/>
  <c r="E18" i="23"/>
  <c r="E16" i="23"/>
  <c r="F16" i="23" s="1"/>
  <c r="E15" i="23"/>
  <c r="E14" i="23"/>
  <c r="E13" i="23"/>
  <c r="B30" i="23"/>
  <c r="J12" i="22"/>
  <c r="J45" i="22"/>
  <c r="B42" i="22"/>
  <c r="N33" i="22"/>
  <c r="P33" i="22" s="1"/>
  <c r="U33" i="22" s="1"/>
  <c r="B40" i="22"/>
  <c r="T38" i="22"/>
  <c r="V38" i="22" s="1"/>
  <c r="H36" i="23" s="1"/>
  <c r="I34" i="22"/>
  <c r="B30" i="22"/>
  <c r="T22" i="22"/>
  <c r="P17" i="22"/>
  <c r="U17" i="22" s="1"/>
  <c r="E11" i="22"/>
  <c r="T43" i="22"/>
  <c r="T42" i="22"/>
  <c r="G40" i="23" s="1"/>
  <c r="I41" i="22"/>
  <c r="T39" i="22"/>
  <c r="R38" i="22"/>
  <c r="H34" i="22"/>
  <c r="Q34" i="22" s="1"/>
  <c r="D26" i="22"/>
  <c r="T23" i="22"/>
  <c r="Q22" i="22"/>
  <c r="D11" i="22"/>
  <c r="T34" i="22"/>
  <c r="V34" i="22" s="1"/>
  <c r="H32" i="23" s="1"/>
  <c r="I33" i="22"/>
  <c r="N43" i="22"/>
  <c r="E41" i="22"/>
  <c r="F41" i="22" s="1"/>
  <c r="E34" i="22"/>
  <c r="F34" i="22" s="1"/>
  <c r="H33" i="22"/>
  <c r="B26" i="22"/>
  <c r="T11" i="22"/>
  <c r="T33" i="22"/>
  <c r="L46" i="22"/>
  <c r="B43" i="22"/>
  <c r="B38" i="22"/>
  <c r="G34" i="22"/>
  <c r="K34" i="22" s="1"/>
  <c r="B28" i="22"/>
  <c r="T21" i="22"/>
  <c r="V21" i="22" s="1"/>
  <c r="H19" i="23" s="1"/>
  <c r="T20" i="22"/>
  <c r="T12" i="22"/>
  <c r="G10" i="23" s="1"/>
  <c r="T46" i="22"/>
  <c r="N39" i="22"/>
  <c r="P39" i="22" s="1"/>
  <c r="U39" i="22" s="1"/>
  <c r="D34" i="22"/>
  <c r="B33" i="22"/>
  <c r="B17" i="22"/>
  <c r="B15" i="22"/>
  <c r="P12" i="22"/>
  <c r="U12" i="22" s="1"/>
  <c r="T36" i="22"/>
  <c r="G36" i="22"/>
  <c r="I36" i="22"/>
  <c r="K25" i="22"/>
  <c r="L25" i="22"/>
  <c r="X25" i="22"/>
  <c r="G18" i="22"/>
  <c r="H18" i="22"/>
  <c r="J18" i="22" s="1"/>
  <c r="T18" i="22"/>
  <c r="N18" i="22"/>
  <c r="P18" i="22" s="1"/>
  <c r="U18" i="22" s="1"/>
  <c r="E19" i="22"/>
  <c r="F19" i="22" s="1"/>
  <c r="G19" i="22"/>
  <c r="T19" i="22"/>
  <c r="D19" i="22"/>
  <c r="I19" i="22"/>
  <c r="J19" i="22" s="1"/>
  <c r="L45" i="22"/>
  <c r="Q45" i="22"/>
  <c r="R45" i="22"/>
  <c r="L22" i="22"/>
  <c r="B46" i="22"/>
  <c r="D44" i="22"/>
  <c r="E44" i="22"/>
  <c r="F44" i="22" s="1"/>
  <c r="H44" i="22"/>
  <c r="I44" i="22"/>
  <c r="G44" i="22"/>
  <c r="K38" i="22"/>
  <c r="Q38" i="22"/>
  <c r="G29" i="22"/>
  <c r="H29" i="22"/>
  <c r="T29" i="22"/>
  <c r="I29" i="22"/>
  <c r="E29" i="22"/>
  <c r="F29" i="22" s="1"/>
  <c r="N29" i="22"/>
  <c r="P29" i="22" s="1"/>
  <c r="U29" i="22" s="1"/>
  <c r="I37" i="22"/>
  <c r="N37" i="22"/>
  <c r="P37" i="22" s="1"/>
  <c r="U37" i="22" s="1"/>
  <c r="V37" i="22" s="1"/>
  <c r="H35" i="23" s="1"/>
  <c r="H37" i="22"/>
  <c r="I15" i="22"/>
  <c r="E15" i="22"/>
  <c r="F15" i="22" s="1"/>
  <c r="T15" i="22"/>
  <c r="H15" i="22"/>
  <c r="G15" i="22"/>
  <c r="N15" i="22"/>
  <c r="P15" i="22" s="1"/>
  <c r="U15" i="22" s="1"/>
  <c r="P22" i="22"/>
  <c r="U22" i="22" s="1"/>
  <c r="V22" i="22" s="1"/>
  <c r="H20" i="23" s="1"/>
  <c r="X22" i="22"/>
  <c r="Q21" i="22"/>
  <c r="K21" i="22"/>
  <c r="L21" i="22"/>
  <c r="H36" i="22"/>
  <c r="Q32" i="22"/>
  <c r="K32" i="22"/>
  <c r="Q23" i="22"/>
  <c r="R23" i="22"/>
  <c r="K23" i="22"/>
  <c r="L23" i="22"/>
  <c r="L42" i="22"/>
  <c r="E36" i="22"/>
  <c r="F36" i="22" s="1"/>
  <c r="D32" i="22"/>
  <c r="E32" i="22"/>
  <c r="F32" i="22" s="1"/>
  <c r="N32" i="22"/>
  <c r="P32" i="22" s="1"/>
  <c r="U32" i="22" s="1"/>
  <c r="T32" i="22"/>
  <c r="G30" i="22"/>
  <c r="H30" i="22"/>
  <c r="T30" i="22"/>
  <c r="N30" i="22"/>
  <c r="P30" i="22" s="1"/>
  <c r="U30" i="22" s="1"/>
  <c r="I30" i="22"/>
  <c r="B31" i="22"/>
  <c r="B32" i="22"/>
  <c r="I27" i="22"/>
  <c r="G27" i="22"/>
  <c r="H27" i="22"/>
  <c r="D27" i="22"/>
  <c r="E27" i="22"/>
  <c r="F27" i="22" s="1"/>
  <c r="N27" i="22"/>
  <c r="P27" i="22" s="1"/>
  <c r="U27" i="22" s="1"/>
  <c r="K26" i="22"/>
  <c r="L26" i="22"/>
  <c r="G41" i="22"/>
  <c r="H41" i="22"/>
  <c r="T41" i="22"/>
  <c r="N41" i="22"/>
  <c r="P41" i="22" s="1"/>
  <c r="U41" i="22" s="1"/>
  <c r="V41" i="22" s="1"/>
  <c r="H39" i="23" s="1"/>
  <c r="N36" i="22"/>
  <c r="P36" i="22" s="1"/>
  <c r="U36" i="22" s="1"/>
  <c r="X45" i="22"/>
  <c r="G37" i="22"/>
  <c r="E37" i="22"/>
  <c r="F37" i="22" s="1"/>
  <c r="D36" i="22"/>
  <c r="T27" i="22"/>
  <c r="Q25" i="22"/>
  <c r="K14" i="22"/>
  <c r="L14" i="22"/>
  <c r="E13" i="22"/>
  <c r="F13" i="22" s="1"/>
  <c r="B34" i="22"/>
  <c r="B35" i="22"/>
  <c r="D25" i="22"/>
  <c r="D13" i="22"/>
  <c r="J25" i="22"/>
  <c r="H40" i="22"/>
  <c r="T40" i="22"/>
  <c r="I40" i="22"/>
  <c r="G40" i="22"/>
  <c r="R22" i="22"/>
  <c r="B21" i="22"/>
  <c r="D20" i="22"/>
  <c r="E20" i="22"/>
  <c r="F20" i="22" s="1"/>
  <c r="I20" i="22"/>
  <c r="L12" i="22"/>
  <c r="X12" i="22"/>
  <c r="R12" i="22"/>
  <c r="T25" i="22"/>
  <c r="G13" i="22"/>
  <c r="H13" i="22"/>
  <c r="K46" i="22"/>
  <c r="N35" i="22"/>
  <c r="P35" i="22" s="1"/>
  <c r="U35" i="22" s="1"/>
  <c r="V35" i="22" s="1"/>
  <c r="H33" i="23" s="1"/>
  <c r="D35" i="22"/>
  <c r="E35" i="22"/>
  <c r="F35" i="22" s="1"/>
  <c r="G35" i="22"/>
  <c r="J26" i="22"/>
  <c r="N24" i="22"/>
  <c r="P24" i="22" s="1"/>
  <c r="U24" i="22" s="1"/>
  <c r="E24" i="22"/>
  <c r="F24" i="22" s="1"/>
  <c r="T24" i="22"/>
  <c r="H24" i="22"/>
  <c r="H16" i="22"/>
  <c r="T16" i="22"/>
  <c r="I16" i="22"/>
  <c r="N16" i="22"/>
  <c r="P16" i="22" s="1"/>
  <c r="U16" i="22" s="1"/>
  <c r="R42" i="22"/>
  <c r="H28" i="22"/>
  <c r="T28" i="22"/>
  <c r="I28" i="22"/>
  <c r="J28" i="22" s="1"/>
  <c r="B22" i="22"/>
  <c r="B23" i="22"/>
  <c r="N42" i="22"/>
  <c r="E31" i="22"/>
  <c r="F31" i="22" s="1"/>
  <c r="G31" i="22"/>
  <c r="G17" i="22"/>
  <c r="H17" i="22"/>
  <c r="T17" i="22"/>
  <c r="I17" i="22"/>
  <c r="B33" i="21"/>
  <c r="B44" i="21"/>
  <c r="B30" i="21"/>
  <c r="B16" i="21"/>
  <c r="B13" i="21"/>
  <c r="B35" i="21"/>
  <c r="B21" i="21"/>
  <c r="B32" i="21"/>
  <c r="B18" i="21"/>
  <c r="B40" i="21"/>
  <c r="B37" i="21"/>
  <c r="B22" i="21"/>
  <c r="B14" i="21"/>
  <c r="B39" i="21"/>
  <c r="B27" i="21"/>
  <c r="B15" i="21"/>
  <c r="B19" i="20"/>
  <c r="B43" i="20"/>
  <c r="B16" i="20"/>
  <c r="B31" i="20"/>
  <c r="B40" i="20"/>
  <c r="B33" i="20"/>
  <c r="B21" i="20"/>
  <c r="B26" i="20"/>
  <c r="B18" i="20"/>
  <c r="B45" i="20"/>
  <c r="B42" i="20"/>
  <c r="B30" i="20"/>
  <c r="B37" i="20"/>
  <c r="B27" i="20"/>
  <c r="B25" i="20"/>
  <c r="B13" i="20"/>
  <c r="L35" i="17"/>
  <c r="M35" i="17" s="1"/>
  <c r="L33" i="17"/>
  <c r="M33" i="17" s="1"/>
  <c r="L24" i="17"/>
  <c r="N24" i="17" s="1"/>
  <c r="L20" i="17"/>
  <c r="M20" i="17" s="1"/>
  <c r="L48" i="17"/>
  <c r="N48" i="17" s="1"/>
  <c r="L42" i="17"/>
  <c r="M42" i="17" s="1"/>
  <c r="L36" i="17"/>
  <c r="M36" i="17" s="1"/>
  <c r="N17" i="17"/>
  <c r="L21" i="17"/>
  <c r="H47" i="17"/>
  <c r="L46" i="17"/>
  <c r="L34" i="17"/>
  <c r="H18" i="17"/>
  <c r="L43" i="17"/>
  <c r="L44" i="17"/>
  <c r="L32" i="17"/>
  <c r="L18" i="17"/>
  <c r="L31" i="17"/>
  <c r="L19" i="17"/>
  <c r="H42" i="17"/>
  <c r="H30" i="17"/>
  <c r="L22" i="17"/>
  <c r="H41" i="17"/>
  <c r="L23" i="17"/>
  <c r="E34" i="16"/>
  <c r="B34" i="16"/>
  <c r="E22" i="16"/>
  <c r="E16" i="16"/>
  <c r="G27" i="16"/>
  <c r="B42" i="16"/>
  <c r="E28" i="16"/>
  <c r="B24" i="16"/>
  <c r="B40" i="16"/>
  <c r="B28" i="16"/>
  <c r="E20" i="16"/>
  <c r="B29" i="16"/>
  <c r="B30" i="16"/>
  <c r="E10" i="16"/>
  <c r="E40" i="16"/>
  <c r="G11" i="16"/>
  <c r="B44" i="16"/>
  <c r="B37" i="16"/>
  <c r="B36" i="16"/>
  <c r="B19" i="16"/>
  <c r="E24" i="16"/>
  <c r="G24" i="16"/>
  <c r="G37" i="16"/>
  <c r="E37" i="16"/>
  <c r="B32" i="16"/>
  <c r="B31" i="16"/>
  <c r="G13" i="16"/>
  <c r="E13" i="16"/>
  <c r="E30" i="16"/>
  <c r="G30" i="16"/>
  <c r="E12" i="16"/>
  <c r="G12" i="16"/>
  <c r="E36" i="16"/>
  <c r="G36" i="16"/>
  <c r="E31" i="16"/>
  <c r="B25" i="16"/>
  <c r="E18" i="16"/>
  <c r="G18" i="16"/>
  <c r="E42" i="16"/>
  <c r="G42" i="16"/>
  <c r="K42" i="15"/>
  <c r="J19" i="15"/>
  <c r="J41" i="15"/>
  <c r="J31" i="15"/>
  <c r="J26" i="15"/>
  <c r="K46" i="15"/>
  <c r="K30" i="15"/>
  <c r="K18" i="15"/>
  <c r="K31" i="15"/>
  <c r="J43" i="15"/>
  <c r="J16" i="15"/>
  <c r="J29" i="15"/>
  <c r="J39" i="15"/>
  <c r="J24" i="15"/>
  <c r="K44" i="15"/>
  <c r="J28" i="15"/>
  <c r="K20" i="15"/>
  <c r="K32" i="15"/>
  <c r="J17" i="15"/>
  <c r="K43" i="15"/>
  <c r="K35" i="15"/>
  <c r="D18" i="15"/>
  <c r="K19" i="15" s="1"/>
  <c r="D13" i="15"/>
  <c r="K14" i="15" s="1"/>
  <c r="D37" i="15"/>
  <c r="K38" i="15" s="1"/>
  <c r="J37" i="15"/>
  <c r="K39" i="15"/>
  <c r="J38" i="15"/>
  <c r="K29" i="15"/>
  <c r="J13" i="15"/>
  <c r="K17" i="15"/>
  <c r="K41" i="15"/>
  <c r="K28" i="15"/>
  <c r="K15" i="15"/>
  <c r="D25" i="15"/>
  <c r="K26" i="15" s="1"/>
  <c r="K16" i="15"/>
  <c r="J27" i="15"/>
  <c r="J14" i="15"/>
  <c r="J25" i="15"/>
  <c r="K40" i="15"/>
  <c r="D26" i="15"/>
  <c r="K27" i="15" s="1"/>
  <c r="J15" i="15"/>
  <c r="B22" i="14"/>
  <c r="G22" i="14" s="1"/>
  <c r="B15" i="14"/>
  <c r="G15" i="14" s="1"/>
  <c r="M43" i="13"/>
  <c r="M45" i="13"/>
  <c r="M33" i="13"/>
  <c r="M37" i="13"/>
  <c r="M19" i="13"/>
  <c r="E46" i="13"/>
  <c r="E40" i="13"/>
  <c r="H40" i="13" s="1"/>
  <c r="I40" i="13" s="1"/>
  <c r="E34" i="13"/>
  <c r="H34" i="13" s="1"/>
  <c r="I34" i="13" s="1"/>
  <c r="E28" i="13"/>
  <c r="H28" i="13" s="1"/>
  <c r="I28" i="13" s="1"/>
  <c r="E22" i="13"/>
  <c r="H22" i="13" s="1"/>
  <c r="I22" i="13" s="1"/>
  <c r="E16" i="13"/>
  <c r="H16" i="13" s="1"/>
  <c r="I16" i="13" s="1"/>
  <c r="M12" i="13"/>
  <c r="E42" i="13"/>
  <c r="E36" i="13"/>
  <c r="E30" i="13"/>
  <c r="E24" i="13"/>
  <c r="E18" i="13"/>
  <c r="H18" i="13" s="1"/>
  <c r="I18" i="13" s="1"/>
  <c r="E12" i="13"/>
  <c r="H12" i="13" s="1"/>
  <c r="I12" i="13" s="1"/>
  <c r="R27" i="12"/>
  <c r="G27" i="12" s="1"/>
  <c r="R44" i="12"/>
  <c r="G44" i="12" s="1"/>
  <c r="R40" i="12"/>
  <c r="G40" i="12" s="1"/>
  <c r="R38" i="12"/>
  <c r="G38" i="12" s="1"/>
  <c r="X37" i="11"/>
  <c r="X33" i="11"/>
  <c r="M33" i="11"/>
  <c r="M34" i="11"/>
  <c r="M42" i="11"/>
  <c r="X36" i="11"/>
  <c r="M67" i="11"/>
  <c r="X35" i="11"/>
  <c r="X34" i="11"/>
  <c r="M49" i="11"/>
  <c r="M55" i="11"/>
  <c r="M63" i="11"/>
  <c r="M51" i="11"/>
  <c r="M52" i="11"/>
  <c r="M66" i="11"/>
  <c r="M61" i="11"/>
  <c r="M41" i="11"/>
  <c r="M43" i="11"/>
  <c r="M39" i="11"/>
  <c r="M59" i="11"/>
  <c r="M57" i="11"/>
  <c r="M47" i="11"/>
  <c r="M36" i="11"/>
  <c r="M56" i="11"/>
  <c r="M65" i="11"/>
  <c r="M46" i="11"/>
  <c r="M37" i="11"/>
  <c r="M60" i="11"/>
  <c r="M40" i="11"/>
  <c r="M45" i="11"/>
  <c r="M35" i="11"/>
  <c r="M53" i="11"/>
  <c r="X40" i="11"/>
  <c r="M50" i="11"/>
  <c r="M68" i="11"/>
  <c r="M62" i="11"/>
  <c r="X39" i="11"/>
  <c r="M58" i="11"/>
  <c r="M44" i="11"/>
  <c r="M38" i="11"/>
  <c r="M54" i="11"/>
  <c r="M64" i="11"/>
  <c r="C4" i="6"/>
  <c r="H25" i="13" l="1"/>
  <c r="I25" i="13" s="1"/>
  <c r="E10" i="23"/>
  <c r="F10" i="23" s="1"/>
  <c r="E37" i="23"/>
  <c r="F37" i="23" s="1"/>
  <c r="D12" i="23"/>
  <c r="G37" i="23"/>
  <c r="G27" i="23"/>
  <c r="J33" i="22"/>
  <c r="J41" i="22"/>
  <c r="X23" i="22"/>
  <c r="V33" i="22"/>
  <c r="H31" i="23" s="1"/>
  <c r="G20" i="23"/>
  <c r="I20" i="23" s="1"/>
  <c r="J20" i="23" s="1"/>
  <c r="R39" i="22"/>
  <c r="D20" i="23"/>
  <c r="D34" i="23"/>
  <c r="E34" i="23"/>
  <c r="F34" i="23" s="1"/>
  <c r="G43" i="23"/>
  <c r="I43" i="23" s="1"/>
  <c r="J43" i="23" s="1"/>
  <c r="X26" i="22"/>
  <c r="V46" i="22"/>
  <c r="H44" i="23" s="1"/>
  <c r="L38" i="22"/>
  <c r="V19" i="22"/>
  <c r="H17" i="23" s="1"/>
  <c r="X43" i="22"/>
  <c r="X38" i="22"/>
  <c r="G22" i="23"/>
  <c r="V30" i="22"/>
  <c r="H28" i="23" s="1"/>
  <c r="G35" i="23"/>
  <c r="I35" i="23" s="1"/>
  <c r="J35" i="23" s="1"/>
  <c r="V23" i="22"/>
  <c r="H21" i="23" s="1"/>
  <c r="J44" i="22"/>
  <c r="L34" i="22"/>
  <c r="E11" i="23"/>
  <c r="F11" i="23" s="1"/>
  <c r="J43" i="22"/>
  <c r="G12" i="23"/>
  <c r="Q46" i="22"/>
  <c r="G15" i="23"/>
  <c r="R11" i="22"/>
  <c r="Q43" i="22"/>
  <c r="J20" i="22"/>
  <c r="V14" i="22"/>
  <c r="H12" i="23" s="1"/>
  <c r="I12" i="23" s="1"/>
  <c r="J12" i="23" s="1"/>
  <c r="G25" i="23"/>
  <c r="V39" i="22"/>
  <c r="H37" i="23" s="1"/>
  <c r="Q14" i="22"/>
  <c r="S14" i="22" s="1"/>
  <c r="X21" i="22"/>
  <c r="G34" i="23"/>
  <c r="G32" i="23"/>
  <c r="I32" i="23" s="1"/>
  <c r="J32" i="23" s="1"/>
  <c r="J23" i="22"/>
  <c r="V12" i="22"/>
  <c r="H10" i="23" s="1"/>
  <c r="I10" i="23" s="1"/>
  <c r="J10" i="23" s="1"/>
  <c r="V26" i="22"/>
  <c r="H24" i="23" s="1"/>
  <c r="I24" i="23" s="1"/>
  <c r="J24" i="23" s="1"/>
  <c r="Q11" i="22"/>
  <c r="R26" i="22"/>
  <c r="S26" i="22" s="1"/>
  <c r="J29" i="22"/>
  <c r="J46" i="22"/>
  <c r="M50" i="17"/>
  <c r="N41" i="17"/>
  <c r="H11" i="13"/>
  <c r="I11" i="13" s="1"/>
  <c r="B30" i="14"/>
  <c r="G30" i="14" s="1"/>
  <c r="H24" i="13"/>
  <c r="I24" i="13" s="1"/>
  <c r="J25" i="13" s="1"/>
  <c r="L25" i="13" s="1"/>
  <c r="H13" i="13"/>
  <c r="I13" i="13" s="1"/>
  <c r="E39" i="12"/>
  <c r="E17" i="12"/>
  <c r="H30" i="13"/>
  <c r="I30" i="13" s="1"/>
  <c r="H35" i="13"/>
  <c r="I35" i="13" s="1"/>
  <c r="J35" i="13" s="1"/>
  <c r="L35" i="13" s="1"/>
  <c r="H32" i="13"/>
  <c r="I32" i="13" s="1"/>
  <c r="J33" i="13" s="1"/>
  <c r="L33" i="13" s="1"/>
  <c r="H31" i="13"/>
  <c r="I31" i="13" s="1"/>
  <c r="J32" i="13" s="1"/>
  <c r="L32" i="13" s="1"/>
  <c r="M13" i="13"/>
  <c r="H46" i="13"/>
  <c r="I46" i="13" s="1"/>
  <c r="J46" i="13" s="1"/>
  <c r="L46" i="13" s="1"/>
  <c r="H36" i="13"/>
  <c r="I36" i="13" s="1"/>
  <c r="H20" i="13"/>
  <c r="I20" i="13" s="1"/>
  <c r="H44" i="13"/>
  <c r="I44" i="13" s="1"/>
  <c r="J45" i="13" s="1"/>
  <c r="L45" i="13" s="1"/>
  <c r="H42" i="13"/>
  <c r="I42" i="13" s="1"/>
  <c r="J43" i="13" s="1"/>
  <c r="L43" i="13" s="1"/>
  <c r="H19" i="13"/>
  <c r="I19" i="13" s="1"/>
  <c r="J19" i="13" s="1"/>
  <c r="L19" i="13" s="1"/>
  <c r="H37" i="13"/>
  <c r="I37" i="13" s="1"/>
  <c r="D17" i="23"/>
  <c r="G17" i="23"/>
  <c r="X46" i="22"/>
  <c r="H21" i="13"/>
  <c r="I21" i="13" s="1"/>
  <c r="D18" i="23"/>
  <c r="G18" i="23"/>
  <c r="X28" i="22"/>
  <c r="H14" i="13"/>
  <c r="I14" i="13" s="1"/>
  <c r="R43" i="22"/>
  <c r="Q39" i="22"/>
  <c r="E44" i="23"/>
  <c r="F44" i="23" s="1"/>
  <c r="G16" i="23"/>
  <c r="D19" i="23"/>
  <c r="G19" i="23"/>
  <c r="I19" i="23" s="1"/>
  <c r="J19" i="23" s="1"/>
  <c r="G36" i="23"/>
  <c r="I36" i="23" s="1"/>
  <c r="J36" i="23" s="1"/>
  <c r="L39" i="22"/>
  <c r="G24" i="23"/>
  <c r="E30" i="23"/>
  <c r="F30" i="23" s="1"/>
  <c r="D30" i="23"/>
  <c r="G30" i="23"/>
  <c r="V28" i="22"/>
  <c r="H26" i="23" s="1"/>
  <c r="R33" i="22"/>
  <c r="Q20" i="22"/>
  <c r="V40" i="22"/>
  <c r="H38" i="23" s="1"/>
  <c r="X39" i="22"/>
  <c r="R34" i="22"/>
  <c r="S34" i="22" s="1"/>
  <c r="V29" i="22"/>
  <c r="H27" i="23" s="1"/>
  <c r="L33" i="22"/>
  <c r="G38" i="23"/>
  <c r="E38" i="23"/>
  <c r="F38" i="23" s="1"/>
  <c r="D21" i="23"/>
  <c r="G21" i="23"/>
  <c r="Q33" i="22"/>
  <c r="V25" i="22"/>
  <c r="H23" i="23" s="1"/>
  <c r="G23" i="23"/>
  <c r="V27" i="22"/>
  <c r="H25" i="23" s="1"/>
  <c r="I25" i="23" s="1"/>
  <c r="J25" i="23" s="1"/>
  <c r="L28" i="22"/>
  <c r="M28" i="22" s="1"/>
  <c r="D14" i="23"/>
  <c r="G14" i="23"/>
  <c r="J21" i="22"/>
  <c r="M21" i="22" s="1"/>
  <c r="V44" i="22"/>
  <c r="H42" i="23" s="1"/>
  <c r="G28" i="23"/>
  <c r="E28" i="23"/>
  <c r="F28" i="23" s="1"/>
  <c r="D28" i="23"/>
  <c r="G31" i="23"/>
  <c r="D9" i="23"/>
  <c r="G9" i="23"/>
  <c r="E9" i="23"/>
  <c r="I9" i="23" s="1"/>
  <c r="J9" i="23" s="1"/>
  <c r="R28" i="22"/>
  <c r="K39" i="22"/>
  <c r="J30" i="22"/>
  <c r="G26" i="23"/>
  <c r="D26" i="23"/>
  <c r="E26" i="23"/>
  <c r="F26" i="23" s="1"/>
  <c r="K16" i="22"/>
  <c r="L16" i="22"/>
  <c r="I29" i="23"/>
  <c r="J29" i="23" s="1"/>
  <c r="L32" i="22"/>
  <c r="M32" i="22" s="1"/>
  <c r="L43" i="22"/>
  <c r="K43" i="22"/>
  <c r="M43" i="22" s="1"/>
  <c r="J13" i="22"/>
  <c r="G11" i="23"/>
  <c r="I11" i="23" s="1"/>
  <c r="J11" i="23" s="1"/>
  <c r="X14" i="22"/>
  <c r="J35" i="22"/>
  <c r="D41" i="23"/>
  <c r="G41" i="23"/>
  <c r="E41" i="23"/>
  <c r="F41" i="23" s="1"/>
  <c r="G44" i="23"/>
  <c r="E42" i="23"/>
  <c r="F42" i="23" s="1"/>
  <c r="D42" i="23"/>
  <c r="G42" i="23"/>
  <c r="R25" i="22"/>
  <c r="S25" i="22" s="1"/>
  <c r="M33" i="22"/>
  <c r="E17" i="23"/>
  <c r="F17" i="23" s="1"/>
  <c r="D13" i="23"/>
  <c r="G13" i="23"/>
  <c r="G39" i="23"/>
  <c r="E39" i="23"/>
  <c r="F39" i="23" s="1"/>
  <c r="D39" i="23"/>
  <c r="M39" i="17"/>
  <c r="B23" i="14"/>
  <c r="G23" i="14" s="1"/>
  <c r="N49" i="17"/>
  <c r="B33" i="14"/>
  <c r="G33" i="14" s="1"/>
  <c r="M45" i="22"/>
  <c r="N27" i="17"/>
  <c r="N25" i="17"/>
  <c r="M42" i="22"/>
  <c r="E23" i="12"/>
  <c r="J34" i="13"/>
  <c r="L34" i="13" s="1"/>
  <c r="H15" i="13"/>
  <c r="I15" i="13" s="1"/>
  <c r="J12" i="13"/>
  <c r="L12" i="13" s="1"/>
  <c r="E11" i="12"/>
  <c r="J13" i="13"/>
  <c r="L13" i="13" s="1"/>
  <c r="H41" i="13"/>
  <c r="I41" i="13" s="1"/>
  <c r="J42" i="13" s="1"/>
  <c r="L42" i="13" s="1"/>
  <c r="F34" i="12"/>
  <c r="R34" i="12" s="1"/>
  <c r="G34" i="12" s="1"/>
  <c r="H17" i="13"/>
  <c r="I17" i="13" s="1"/>
  <c r="J17" i="13" s="1"/>
  <c r="L17" i="13" s="1"/>
  <c r="H29" i="13"/>
  <c r="I29" i="13" s="1"/>
  <c r="J30" i="13" s="1"/>
  <c r="L30" i="13" s="1"/>
  <c r="E43" i="12"/>
  <c r="E18" i="12"/>
  <c r="E30" i="12"/>
  <c r="H27" i="13"/>
  <c r="I27" i="13" s="1"/>
  <c r="J28" i="13" s="1"/>
  <c r="L28" i="13" s="1"/>
  <c r="F33" i="12"/>
  <c r="R33" i="12" s="1"/>
  <c r="G33" i="12" s="1"/>
  <c r="C36" i="18" s="1"/>
  <c r="H38" i="13"/>
  <c r="I38" i="13" s="1"/>
  <c r="J39" i="13" s="1"/>
  <c r="L39" i="13" s="1"/>
  <c r="H26" i="13"/>
  <c r="I26" i="13" s="1"/>
  <c r="B35" i="14"/>
  <c r="G35" i="14" s="1"/>
  <c r="B14" i="14"/>
  <c r="G14" i="14" s="1"/>
  <c r="B43" i="14"/>
  <c r="G43" i="14" s="1"/>
  <c r="B36" i="14"/>
  <c r="G36" i="14" s="1"/>
  <c r="N45" i="17"/>
  <c r="M24" i="17"/>
  <c r="B42" i="14"/>
  <c r="G42" i="14" s="1"/>
  <c r="B13" i="23"/>
  <c r="S21" i="22"/>
  <c r="B23" i="23"/>
  <c r="M37" i="17"/>
  <c r="M47" i="17"/>
  <c r="B34" i="23"/>
  <c r="N36" i="17"/>
  <c r="B34" i="14"/>
  <c r="G34" i="14" s="1"/>
  <c r="M22" i="22"/>
  <c r="B37" i="14"/>
  <c r="G37" i="14" s="1"/>
  <c r="N35" i="17"/>
  <c r="S12" i="22"/>
  <c r="B36" i="23"/>
  <c r="B41" i="23"/>
  <c r="B12" i="23"/>
  <c r="N40" i="17"/>
  <c r="B28" i="14"/>
  <c r="G28" i="14" s="1"/>
  <c r="B39" i="14"/>
  <c r="G39" i="14" s="1"/>
  <c r="N28" i="17"/>
  <c r="M28" i="17"/>
  <c r="B11" i="14"/>
  <c r="G11" i="14" s="1"/>
  <c r="M48" i="17"/>
  <c r="N20" i="17"/>
  <c r="N26" i="17"/>
  <c r="B18" i="14"/>
  <c r="G18" i="14" s="1"/>
  <c r="B17" i="14"/>
  <c r="G17" i="14" s="1"/>
  <c r="N38" i="17"/>
  <c r="M38" i="17"/>
  <c r="M12" i="22"/>
  <c r="M51" i="17"/>
  <c r="N51" i="17"/>
  <c r="B40" i="23"/>
  <c r="B27" i="23"/>
  <c r="B44" i="14"/>
  <c r="G44" i="14" s="1"/>
  <c r="N30" i="17"/>
  <c r="B19" i="14"/>
  <c r="G19" i="14" s="1"/>
  <c r="N42" i="17"/>
  <c r="B14" i="23"/>
  <c r="H36" i="12"/>
  <c r="C39" i="18"/>
  <c r="H30" i="12"/>
  <c r="P30" i="12" s="1"/>
  <c r="E32" i="20" s="1"/>
  <c r="C33" i="18"/>
  <c r="H43" i="12"/>
  <c r="P43" i="12" s="1"/>
  <c r="E45" i="20" s="1"/>
  <c r="C46" i="18"/>
  <c r="C42" i="18"/>
  <c r="H39" i="12"/>
  <c r="H21" i="12"/>
  <c r="C24" i="18"/>
  <c r="H38" i="12"/>
  <c r="C41" i="18"/>
  <c r="H44" i="12"/>
  <c r="C47" i="18"/>
  <c r="H23" i="12"/>
  <c r="C26" i="18"/>
  <c r="F24" i="12"/>
  <c r="R24" i="12" s="1"/>
  <c r="G24" i="12" s="1"/>
  <c r="Q24" i="12" s="1"/>
  <c r="H41" i="12"/>
  <c r="C44" i="18"/>
  <c r="H22" i="12"/>
  <c r="C25" i="18"/>
  <c r="H27" i="12"/>
  <c r="P27" i="12" s="1"/>
  <c r="E29" i="20" s="1"/>
  <c r="C30" i="18"/>
  <c r="F25" i="12"/>
  <c r="R25" i="12" s="1"/>
  <c r="G25" i="12" s="1"/>
  <c r="F32" i="17" s="1"/>
  <c r="G32" i="17" s="1"/>
  <c r="H31" i="12"/>
  <c r="C34" i="18"/>
  <c r="H40" i="12"/>
  <c r="P40" i="12" s="1"/>
  <c r="E42" i="20" s="1"/>
  <c r="C43" i="18"/>
  <c r="H29" i="12"/>
  <c r="P29" i="12" s="1"/>
  <c r="E31" i="20" s="1"/>
  <c r="C32" i="18"/>
  <c r="E36" i="12"/>
  <c r="F18" i="23"/>
  <c r="F13" i="23"/>
  <c r="F14" i="23"/>
  <c r="F15" i="23"/>
  <c r="F20" i="23"/>
  <c r="F12" i="23"/>
  <c r="F19" i="23"/>
  <c r="I33" i="23"/>
  <c r="J33" i="23" s="1"/>
  <c r="F21" i="23"/>
  <c r="V20" i="22"/>
  <c r="H18" i="23" s="1"/>
  <c r="X34" i="22"/>
  <c r="S38" i="22"/>
  <c r="P43" i="22"/>
  <c r="U43" i="22" s="1"/>
  <c r="V43" i="22" s="1"/>
  <c r="H41" i="23" s="1"/>
  <c r="M46" i="22"/>
  <c r="X33" i="22"/>
  <c r="J17" i="22"/>
  <c r="V15" i="22"/>
  <c r="H13" i="23" s="1"/>
  <c r="M38" i="22"/>
  <c r="J34" i="22"/>
  <c r="L11" i="22"/>
  <c r="F11" i="22"/>
  <c r="V17" i="22"/>
  <c r="H15" i="23" s="1"/>
  <c r="R20" i="22"/>
  <c r="J40" i="22"/>
  <c r="K41" i="22"/>
  <c r="L41" i="22"/>
  <c r="R41" i="22"/>
  <c r="Q41" i="22"/>
  <c r="X41" i="22"/>
  <c r="Q44" i="22"/>
  <c r="K44" i="22"/>
  <c r="L44" i="22"/>
  <c r="R44" i="22"/>
  <c r="X44" i="22"/>
  <c r="Q16" i="22"/>
  <c r="R16" i="22"/>
  <c r="Q19" i="22"/>
  <c r="R19" i="22"/>
  <c r="K19" i="22"/>
  <c r="L19" i="22"/>
  <c r="X19" i="22"/>
  <c r="X42" i="22"/>
  <c r="P42" i="22"/>
  <c r="J24" i="22"/>
  <c r="Q24" i="22"/>
  <c r="R24" i="22"/>
  <c r="M26" i="22"/>
  <c r="K15" i="22"/>
  <c r="X15" i="22"/>
  <c r="L15" i="22"/>
  <c r="Q15" i="22"/>
  <c r="R15" i="22"/>
  <c r="V36" i="22"/>
  <c r="H34" i="23" s="1"/>
  <c r="X16" i="22"/>
  <c r="M23" i="22"/>
  <c r="M25" i="22"/>
  <c r="M39" i="22"/>
  <c r="X29" i="22"/>
  <c r="K29" i="22"/>
  <c r="Q29" i="22"/>
  <c r="R29" i="22"/>
  <c r="L29" i="22"/>
  <c r="S45" i="22"/>
  <c r="L24" i="22"/>
  <c r="J15" i="22"/>
  <c r="K27" i="22"/>
  <c r="L27" i="22"/>
  <c r="X27" i="22"/>
  <c r="Q27" i="22"/>
  <c r="R27" i="22"/>
  <c r="Q28" i="22"/>
  <c r="R30" i="22"/>
  <c r="K30" i="22"/>
  <c r="L30" i="22"/>
  <c r="Q30" i="22"/>
  <c r="X30" i="22"/>
  <c r="V18" i="22"/>
  <c r="H16" i="23" s="1"/>
  <c r="M14" i="22"/>
  <c r="V16" i="22"/>
  <c r="H14" i="23" s="1"/>
  <c r="V24" i="22"/>
  <c r="H22" i="23" s="1"/>
  <c r="S23" i="22"/>
  <c r="J27" i="22"/>
  <c r="R35" i="22"/>
  <c r="X35" i="22"/>
  <c r="K35" i="22"/>
  <c r="L35" i="22"/>
  <c r="Q35" i="22"/>
  <c r="S35" i="22" s="1"/>
  <c r="L20" i="22"/>
  <c r="M20" i="22" s="1"/>
  <c r="S22" i="22"/>
  <c r="V32" i="22"/>
  <c r="H30" i="23" s="1"/>
  <c r="X32" i="22"/>
  <c r="R32" i="22"/>
  <c r="S32" i="22" s="1"/>
  <c r="Q31" i="22"/>
  <c r="R31" i="22"/>
  <c r="X31" i="22"/>
  <c r="K31" i="22"/>
  <c r="L31" i="22"/>
  <c r="L36" i="22"/>
  <c r="X36" i="22"/>
  <c r="Q36" i="22"/>
  <c r="R36" i="22"/>
  <c r="K36" i="22"/>
  <c r="X24" i="22"/>
  <c r="K37" i="22"/>
  <c r="L37" i="22"/>
  <c r="X37" i="22"/>
  <c r="Q37" i="22"/>
  <c r="R37" i="22"/>
  <c r="K13" i="22"/>
  <c r="L13" i="22"/>
  <c r="X13" i="22"/>
  <c r="Q13" i="22"/>
  <c r="R13" i="22"/>
  <c r="S46" i="22"/>
  <c r="R17" i="22"/>
  <c r="X17" i="22"/>
  <c r="Q17" i="22"/>
  <c r="K17" i="22"/>
  <c r="L17" i="22"/>
  <c r="J16" i="22"/>
  <c r="M16" i="22" s="1"/>
  <c r="X20" i="22"/>
  <c r="K40" i="22"/>
  <c r="X40" i="22"/>
  <c r="Q40" i="22"/>
  <c r="L40" i="22"/>
  <c r="R40" i="22"/>
  <c r="J37" i="22"/>
  <c r="R18" i="22"/>
  <c r="K18" i="22"/>
  <c r="L18" i="22"/>
  <c r="Q18" i="22"/>
  <c r="X18" i="22"/>
  <c r="J36" i="22"/>
  <c r="F36" i="17"/>
  <c r="G36" i="17" s="1"/>
  <c r="F37" i="17"/>
  <c r="G37" i="17" s="1"/>
  <c r="F48" i="17"/>
  <c r="G48" i="17" s="1"/>
  <c r="F38" i="17"/>
  <c r="G38" i="17" s="1"/>
  <c r="F47" i="17"/>
  <c r="G47" i="17" s="1"/>
  <c r="F43" i="17"/>
  <c r="G43" i="17" s="1"/>
  <c r="F28" i="17"/>
  <c r="G28" i="17" s="1"/>
  <c r="F50" i="17"/>
  <c r="G50" i="17" s="1"/>
  <c r="F51" i="17"/>
  <c r="G51" i="17" s="1"/>
  <c r="F30" i="17"/>
  <c r="G30" i="17" s="1"/>
  <c r="F45" i="17"/>
  <c r="G45" i="17" s="1"/>
  <c r="F29" i="17"/>
  <c r="G29" i="17" s="1"/>
  <c r="F46" i="17"/>
  <c r="G46" i="17" s="1"/>
  <c r="F34" i="17"/>
  <c r="G34" i="17" s="1"/>
  <c r="N33" i="17"/>
  <c r="M22" i="17"/>
  <c r="N22" i="17"/>
  <c r="M46" i="17"/>
  <c r="N46" i="17"/>
  <c r="M19" i="17"/>
  <c r="N19" i="17"/>
  <c r="M32" i="17"/>
  <c r="N32" i="17"/>
  <c r="M31" i="17"/>
  <c r="N31" i="17"/>
  <c r="M43" i="17"/>
  <c r="N43" i="17"/>
  <c r="M21" i="17"/>
  <c r="N21" i="17"/>
  <c r="M34" i="17"/>
  <c r="N34" i="17"/>
  <c r="N23" i="17"/>
  <c r="M23" i="17"/>
  <c r="M44" i="17"/>
  <c r="N44" i="17"/>
  <c r="N18" i="17"/>
  <c r="M18" i="17"/>
  <c r="J23" i="13"/>
  <c r="L23" i="13" s="1"/>
  <c r="J40" i="13"/>
  <c r="L40" i="13" s="1"/>
  <c r="R35" i="12"/>
  <c r="G35" i="12" s="1"/>
  <c r="R42" i="12"/>
  <c r="G42" i="12" s="1"/>
  <c r="Q43" i="12"/>
  <c r="R32" i="12"/>
  <c r="G32" i="12" s="1"/>
  <c r="Q44" i="12"/>
  <c r="R37" i="12"/>
  <c r="G37" i="12" s="1"/>
  <c r="Q31" i="12"/>
  <c r="Q38" i="12"/>
  <c r="Q40" i="12"/>
  <c r="Q41" i="12"/>
  <c r="Q39" i="12"/>
  <c r="R20" i="12"/>
  <c r="G20" i="12" s="1"/>
  <c r="Q36" i="12"/>
  <c r="Q27" i="12"/>
  <c r="Q29" i="12"/>
  <c r="Q22" i="12"/>
  <c r="Q30" i="12"/>
  <c r="Q23" i="12"/>
  <c r="R26" i="12"/>
  <c r="G26" i="12" s="1"/>
  <c r="R28" i="12"/>
  <c r="G28" i="12" s="1"/>
  <c r="X38" i="11"/>
  <c r="X41" i="11"/>
  <c r="B17" i="7"/>
  <c r="Q25" i="12" l="1"/>
  <c r="J20" i="13"/>
  <c r="L20" i="13" s="1"/>
  <c r="J14" i="13"/>
  <c r="L14" i="13" s="1"/>
  <c r="I17" i="23"/>
  <c r="J17" i="23" s="1"/>
  <c r="I16" i="23"/>
  <c r="J16" i="23" s="1"/>
  <c r="I37" i="23"/>
  <c r="J37" i="23" s="1"/>
  <c r="I31" i="23"/>
  <c r="J31" i="23" s="1"/>
  <c r="K32" i="23" s="1"/>
  <c r="L32" i="23" s="1"/>
  <c r="I27" i="23"/>
  <c r="J27" i="23" s="1"/>
  <c r="S28" i="22"/>
  <c r="I28" i="23"/>
  <c r="J28" i="23" s="1"/>
  <c r="K28" i="23" s="1"/>
  <c r="L28" i="23" s="1"/>
  <c r="S39" i="22"/>
  <c r="S43" i="22"/>
  <c r="I34" i="23"/>
  <c r="J34" i="23" s="1"/>
  <c r="K35" i="23" s="1"/>
  <c r="L35" i="23" s="1"/>
  <c r="I18" i="23"/>
  <c r="J18" i="23" s="1"/>
  <c r="K18" i="23" s="1"/>
  <c r="L18" i="23" s="1"/>
  <c r="S20" i="22"/>
  <c r="I21" i="23"/>
  <c r="J21" i="23" s="1"/>
  <c r="K21" i="23" s="1"/>
  <c r="L21" i="23" s="1"/>
  <c r="F9" i="23"/>
  <c r="I15" i="23"/>
  <c r="J15" i="23" s="1"/>
  <c r="K15" i="23" s="1"/>
  <c r="L15" i="23" s="1"/>
  <c r="I13" i="23"/>
  <c r="J13" i="23" s="1"/>
  <c r="K11" i="23"/>
  <c r="L11" i="23" s="1"/>
  <c r="M34" i="22"/>
  <c r="I23" i="23"/>
  <c r="J23" i="23" s="1"/>
  <c r="S33" i="22"/>
  <c r="I22" i="23"/>
  <c r="J22" i="23" s="1"/>
  <c r="K22" i="23" s="1"/>
  <c r="L22" i="23" s="1"/>
  <c r="I44" i="23"/>
  <c r="J44" i="23" s="1"/>
  <c r="S18" i="22"/>
  <c r="I41" i="23"/>
  <c r="J41" i="23" s="1"/>
  <c r="I14" i="23"/>
  <c r="J14" i="23" s="1"/>
  <c r="K14" i="23" s="1"/>
  <c r="L14" i="23" s="1"/>
  <c r="I30" i="23"/>
  <c r="J30" i="23" s="1"/>
  <c r="K30" i="23" s="1"/>
  <c r="L30" i="23" s="1"/>
  <c r="J24" i="13"/>
  <c r="L24" i="13" s="1"/>
  <c r="J31" i="13"/>
  <c r="L31" i="13" s="1"/>
  <c r="J44" i="13"/>
  <c r="L44" i="13" s="1"/>
  <c r="J36" i="13"/>
  <c r="L36" i="13" s="1"/>
  <c r="J21" i="13"/>
  <c r="L21" i="13" s="1"/>
  <c r="J29" i="13"/>
  <c r="L29" i="13" s="1"/>
  <c r="J37" i="13"/>
  <c r="L37" i="13" s="1"/>
  <c r="J18" i="13"/>
  <c r="L18" i="13" s="1"/>
  <c r="J15" i="13"/>
  <c r="L15" i="13" s="1"/>
  <c r="J16" i="13"/>
  <c r="L16" i="13" s="1"/>
  <c r="M29" i="22"/>
  <c r="J22" i="13"/>
  <c r="L22" i="13" s="1"/>
  <c r="S30" i="22"/>
  <c r="M44" i="22"/>
  <c r="S13" i="22"/>
  <c r="I38" i="23"/>
  <c r="J38" i="23" s="1"/>
  <c r="K38" i="23" s="1"/>
  <c r="L38" i="23" s="1"/>
  <c r="I39" i="23"/>
  <c r="J39" i="23" s="1"/>
  <c r="M36" i="22"/>
  <c r="S41" i="22"/>
  <c r="K36" i="23"/>
  <c r="L36" i="23" s="1"/>
  <c r="I42" i="23"/>
  <c r="J42" i="23" s="1"/>
  <c r="I26" i="23"/>
  <c r="J26" i="23" s="1"/>
  <c r="K26" i="23" s="1"/>
  <c r="L26" i="23" s="1"/>
  <c r="F40" i="17"/>
  <c r="G40" i="17" s="1"/>
  <c r="Q34" i="12"/>
  <c r="F41" i="17"/>
  <c r="G41" i="17" s="1"/>
  <c r="J27" i="13"/>
  <c r="L27" i="13" s="1"/>
  <c r="J26" i="13"/>
  <c r="L26" i="13" s="1"/>
  <c r="C37" i="18"/>
  <c r="H34" i="12"/>
  <c r="I34" i="12" s="1"/>
  <c r="E37" i="18" s="1"/>
  <c r="J41" i="13"/>
  <c r="L41" i="13" s="1"/>
  <c r="H33" i="12"/>
  <c r="I33" i="12" s="1"/>
  <c r="E36" i="18" s="1"/>
  <c r="Q33" i="12"/>
  <c r="J38" i="13"/>
  <c r="L38" i="13" s="1"/>
  <c r="H37" i="12"/>
  <c r="P37" i="12" s="1"/>
  <c r="E39" i="20" s="1"/>
  <c r="C40" i="18"/>
  <c r="I44" i="12"/>
  <c r="E47" i="18" s="1"/>
  <c r="L44" i="12"/>
  <c r="D47" i="18"/>
  <c r="D46" i="19" s="1"/>
  <c r="H42" i="12"/>
  <c r="C45" i="18"/>
  <c r="H35" i="12"/>
  <c r="C38" i="18"/>
  <c r="L38" i="12"/>
  <c r="I38" i="12"/>
  <c r="E41" i="18" s="1"/>
  <c r="D41" i="18"/>
  <c r="D40" i="19" s="1"/>
  <c r="L22" i="12"/>
  <c r="D25" i="18"/>
  <c r="D24" i="19" s="1"/>
  <c r="I22" i="12"/>
  <c r="E25" i="18" s="1"/>
  <c r="H24" i="12"/>
  <c r="P24" i="12" s="1"/>
  <c r="E26" i="20" s="1"/>
  <c r="C27" i="18"/>
  <c r="H32" i="12"/>
  <c r="C35" i="18"/>
  <c r="P22" i="12"/>
  <c r="E24" i="20" s="1"/>
  <c r="F31" i="17"/>
  <c r="G31" i="17" s="1"/>
  <c r="I27" i="12"/>
  <c r="E30" i="18" s="1"/>
  <c r="D30" i="18"/>
  <c r="D29" i="19" s="1"/>
  <c r="L27" i="12"/>
  <c r="I23" i="12"/>
  <c r="E26" i="18" s="1"/>
  <c r="L23" i="12"/>
  <c r="D26" i="18"/>
  <c r="D25" i="19" s="1"/>
  <c r="D24" i="18"/>
  <c r="D23" i="19" s="1"/>
  <c r="I21" i="12"/>
  <c r="E24" i="18" s="1"/>
  <c r="L21" i="12"/>
  <c r="I41" i="12"/>
  <c r="E44" i="18" s="1"/>
  <c r="L41" i="12"/>
  <c r="D44" i="18"/>
  <c r="D43" i="19" s="1"/>
  <c r="I29" i="12"/>
  <c r="E32" i="18" s="1"/>
  <c r="L29" i="12"/>
  <c r="D32" i="18"/>
  <c r="D31" i="19" s="1"/>
  <c r="L40" i="12"/>
  <c r="D43" i="18"/>
  <c r="D42" i="19" s="1"/>
  <c r="I40" i="12"/>
  <c r="E43" i="18" s="1"/>
  <c r="I30" i="12"/>
  <c r="E33" i="18" s="1"/>
  <c r="D33" i="18"/>
  <c r="D32" i="19" s="1"/>
  <c r="L30" i="12"/>
  <c r="H28" i="12"/>
  <c r="P28" i="12" s="1"/>
  <c r="E30" i="20" s="1"/>
  <c r="C31" i="18"/>
  <c r="I31" i="12"/>
  <c r="E34" i="18" s="1"/>
  <c r="D34" i="18"/>
  <c r="D33" i="19" s="1"/>
  <c r="L31" i="12"/>
  <c r="H20" i="12"/>
  <c r="C23" i="18"/>
  <c r="I43" i="12"/>
  <c r="E46" i="18" s="1"/>
  <c r="L43" i="12"/>
  <c r="D46" i="18"/>
  <c r="D45" i="19" s="1"/>
  <c r="L39" i="12"/>
  <c r="D42" i="18"/>
  <c r="D41" i="19" s="1"/>
  <c r="I39" i="12"/>
  <c r="E42" i="18" s="1"/>
  <c r="C29" i="18"/>
  <c r="H26" i="12"/>
  <c r="P26" i="12" s="1"/>
  <c r="E28" i="20" s="1"/>
  <c r="H25" i="12"/>
  <c r="C28" i="18"/>
  <c r="I36" i="12"/>
  <c r="E39" i="18" s="1"/>
  <c r="L36" i="12"/>
  <c r="D39" i="18"/>
  <c r="D38" i="19" s="1"/>
  <c r="K33" i="23"/>
  <c r="L33" i="23" s="1"/>
  <c r="K10" i="23"/>
  <c r="L10" i="23" s="1"/>
  <c r="K12" i="23"/>
  <c r="L12" i="23" s="1"/>
  <c r="K13" i="23"/>
  <c r="L13" i="23" s="1"/>
  <c r="K17" i="23"/>
  <c r="L17" i="23" s="1"/>
  <c r="K37" i="23"/>
  <c r="L37" i="23" s="1"/>
  <c r="K20" i="23"/>
  <c r="L20" i="23" s="1"/>
  <c r="K25" i="23"/>
  <c r="L25" i="23" s="1"/>
  <c r="S24" i="22"/>
  <c r="M17" i="22"/>
  <c r="S29" i="22"/>
  <c r="S44" i="22"/>
  <c r="M27" i="22"/>
  <c r="S15" i="22"/>
  <c r="M40" i="22"/>
  <c r="M30" i="22"/>
  <c r="M15" i="22"/>
  <c r="S16" i="22"/>
  <c r="M19" i="22"/>
  <c r="M41" i="22"/>
  <c r="S37" i="22"/>
  <c r="S40" i="22"/>
  <c r="M13" i="22"/>
  <c r="M37" i="22"/>
  <c r="M31" i="22"/>
  <c r="S27" i="22"/>
  <c r="M24" i="22"/>
  <c r="S19" i="22"/>
  <c r="S31" i="22"/>
  <c r="U42" i="22"/>
  <c r="V42" i="22" s="1"/>
  <c r="H40" i="23" s="1"/>
  <c r="I40" i="23" s="1"/>
  <c r="J40" i="23" s="1"/>
  <c r="S42" i="22"/>
  <c r="S36" i="22"/>
  <c r="M35" i="22"/>
  <c r="M18" i="22"/>
  <c r="S17" i="22"/>
  <c r="F35" i="17"/>
  <c r="G35" i="17" s="1"/>
  <c r="F33" i="17"/>
  <c r="G33" i="17" s="1"/>
  <c r="F49" i="17"/>
  <c r="G49" i="17" s="1"/>
  <c r="P36" i="12"/>
  <c r="E38" i="20" s="1"/>
  <c r="P39" i="12"/>
  <c r="E41" i="20" s="1"/>
  <c r="F39" i="17"/>
  <c r="G39" i="17" s="1"/>
  <c r="F27" i="17"/>
  <c r="G27" i="17" s="1"/>
  <c r="F42" i="17"/>
  <c r="G42" i="17" s="1"/>
  <c r="F44" i="17"/>
  <c r="G44" i="17" s="1"/>
  <c r="P44" i="12"/>
  <c r="E46" i="20" s="1"/>
  <c r="Q42" i="12"/>
  <c r="Q37" i="12"/>
  <c r="Q32" i="12"/>
  <c r="P41" i="12"/>
  <c r="E43" i="20" s="1"/>
  <c r="P38" i="12"/>
  <c r="E40" i="20" s="1"/>
  <c r="P31" i="12"/>
  <c r="E33" i="20" s="1"/>
  <c r="P23" i="12"/>
  <c r="E25" i="20" s="1"/>
  <c r="Q28" i="12"/>
  <c r="Q26" i="12"/>
  <c r="X42" i="11"/>
  <c r="B18" i="7"/>
  <c r="I27" i="6"/>
  <c r="G108" i="5"/>
  <c r="G109" i="5"/>
  <c r="G110" i="5"/>
  <c r="G111" i="5"/>
  <c r="G112" i="5"/>
  <c r="G113" i="5"/>
  <c r="G114" i="5"/>
  <c r="K29" i="23" l="1"/>
  <c r="L29" i="23" s="1"/>
  <c r="K23" i="23"/>
  <c r="L23" i="23" s="1"/>
  <c r="K19" i="23"/>
  <c r="L19" i="23" s="1"/>
  <c r="K34" i="23"/>
  <c r="L34" i="23" s="1"/>
  <c r="K40" i="23"/>
  <c r="L40" i="23" s="1"/>
  <c r="K44" i="23"/>
  <c r="L44" i="23" s="1"/>
  <c r="K24" i="23"/>
  <c r="L24" i="23" s="1"/>
  <c r="K16" i="23"/>
  <c r="L16" i="23" s="1"/>
  <c r="K42" i="23"/>
  <c r="L42" i="23" s="1"/>
  <c r="K31" i="23"/>
  <c r="L31" i="23" s="1"/>
  <c r="F34" i="18"/>
  <c r="K34" i="18" s="1"/>
  <c r="K27" i="23"/>
  <c r="L27" i="23" s="1"/>
  <c r="K41" i="23"/>
  <c r="L41" i="23" s="1"/>
  <c r="K43" i="23"/>
  <c r="L43" i="23" s="1"/>
  <c r="K39" i="23"/>
  <c r="L39" i="23" s="1"/>
  <c r="L34" i="12"/>
  <c r="P33" i="12"/>
  <c r="E35" i="20" s="1"/>
  <c r="D36" i="18"/>
  <c r="D35" i="19" s="1"/>
  <c r="E35" i="19" s="1"/>
  <c r="F32" i="18"/>
  <c r="K32" i="18" s="1"/>
  <c r="F36" i="18"/>
  <c r="K36" i="18" s="1"/>
  <c r="F25" i="18"/>
  <c r="K25" i="18" s="1"/>
  <c r="P34" i="12"/>
  <c r="E36" i="20" s="1"/>
  <c r="F42" i="18"/>
  <c r="K42" i="18" s="1"/>
  <c r="L33" i="12"/>
  <c r="D37" i="18"/>
  <c r="F44" i="18"/>
  <c r="K44" i="18" s="1"/>
  <c r="F24" i="18"/>
  <c r="K24" i="18" s="1"/>
  <c r="F43" i="18"/>
  <c r="M30" i="12"/>
  <c r="N30" i="12" s="1"/>
  <c r="F33" i="18"/>
  <c r="F47" i="18"/>
  <c r="K47" i="18" s="1"/>
  <c r="M22" i="12"/>
  <c r="N22" i="12" s="1"/>
  <c r="E38" i="19"/>
  <c r="I26" i="12"/>
  <c r="E29" i="18" s="1"/>
  <c r="L26" i="12"/>
  <c r="M27" i="12" s="1"/>
  <c r="N27" i="12" s="1"/>
  <c r="D29" i="18"/>
  <c r="D28" i="19" s="1"/>
  <c r="I42" i="12"/>
  <c r="E45" i="18" s="1"/>
  <c r="L42" i="12"/>
  <c r="M43" i="12" s="1"/>
  <c r="N43" i="12" s="1"/>
  <c r="D45" i="18"/>
  <c r="D44" i="19" s="1"/>
  <c r="I24" i="12"/>
  <c r="E27" i="18" s="1"/>
  <c r="L24" i="12"/>
  <c r="D27" i="18"/>
  <c r="D26" i="19" s="1"/>
  <c r="F26" i="18"/>
  <c r="E46" i="19"/>
  <c r="I35" i="12"/>
  <c r="E38" i="18" s="1"/>
  <c r="L35" i="12"/>
  <c r="M36" i="12" s="1"/>
  <c r="N36" i="12" s="1"/>
  <c r="D38" i="18"/>
  <c r="D37" i="19" s="1"/>
  <c r="L25" i="12"/>
  <c r="I25" i="12"/>
  <c r="E28" i="18" s="1"/>
  <c r="D28" i="18"/>
  <c r="D27" i="19" s="1"/>
  <c r="L32" i="12"/>
  <c r="D35" i="18"/>
  <c r="D34" i="19" s="1"/>
  <c r="I32" i="12"/>
  <c r="E35" i="18" s="1"/>
  <c r="F46" i="18"/>
  <c r="E40" i="19"/>
  <c r="E41" i="19"/>
  <c r="M44" i="12"/>
  <c r="N44" i="12" s="1"/>
  <c r="L28" i="12"/>
  <c r="M29" i="12" s="1"/>
  <c r="N29" i="12" s="1"/>
  <c r="I28" i="12"/>
  <c r="E31" i="18" s="1"/>
  <c r="D31" i="18"/>
  <c r="D30" i="19" s="1"/>
  <c r="M41" i="12"/>
  <c r="N41" i="12" s="1"/>
  <c r="E33" i="19"/>
  <c r="I20" i="12"/>
  <c r="E23" i="18" s="1"/>
  <c r="L20" i="12"/>
  <c r="M21" i="12" s="1"/>
  <c r="N21" i="12" s="1"/>
  <c r="D23" i="18"/>
  <c r="D22" i="19" s="1"/>
  <c r="E23" i="19"/>
  <c r="P25" i="12"/>
  <c r="E27" i="20" s="1"/>
  <c r="P32" i="12"/>
  <c r="E34" i="20" s="1"/>
  <c r="M40" i="12"/>
  <c r="N40" i="12" s="1"/>
  <c r="M31" i="12"/>
  <c r="N31" i="12" s="1"/>
  <c r="F41" i="18"/>
  <c r="G42" i="18" s="1"/>
  <c r="E24" i="19"/>
  <c r="M39" i="12"/>
  <c r="N39" i="12" s="1"/>
  <c r="E29" i="19"/>
  <c r="F30" i="18"/>
  <c r="E43" i="19"/>
  <c r="F39" i="18"/>
  <c r="E25" i="19"/>
  <c r="E45" i="19"/>
  <c r="E42" i="19"/>
  <c r="E32" i="19"/>
  <c r="E31" i="19"/>
  <c r="M23" i="12"/>
  <c r="N23" i="12" s="1"/>
  <c r="L37" i="12"/>
  <c r="M38" i="12" s="1"/>
  <c r="N38" i="12" s="1"/>
  <c r="I37" i="12"/>
  <c r="E40" i="18" s="1"/>
  <c r="D40" i="18"/>
  <c r="D39" i="19" s="1"/>
  <c r="P35" i="12"/>
  <c r="E37" i="20" s="1"/>
  <c r="P42" i="12"/>
  <c r="E44" i="20" s="1"/>
  <c r="Q35" i="12"/>
  <c r="X43" i="11"/>
  <c r="B19" i="7"/>
  <c r="A2" i="11"/>
  <c r="A2" i="18" s="1"/>
  <c r="A2" i="19" s="1"/>
  <c r="A2" i="20" s="1"/>
  <c r="A2" i="21" s="1"/>
  <c r="A2" i="22" s="1"/>
  <c r="G2" i="10"/>
  <c r="V2" i="11" s="1"/>
  <c r="I2" i="18" s="1"/>
  <c r="I2" i="19" s="1"/>
  <c r="I2" i="20" s="1"/>
  <c r="E2" i="21" s="1"/>
  <c r="U2" i="22" s="1"/>
  <c r="L2" i="12"/>
  <c r="J2" i="13" s="1"/>
  <c r="E2" i="14" s="1"/>
  <c r="I2" i="15" s="1"/>
  <c r="H2" i="16" s="1"/>
  <c r="A2" i="12"/>
  <c r="A2" i="13" s="1"/>
  <c r="A2" i="14" s="1"/>
  <c r="A2" i="15" s="1"/>
  <c r="A2" i="16" s="1"/>
  <c r="A2" i="10"/>
  <c r="G47" i="18" l="1"/>
  <c r="M26" i="12"/>
  <c r="N26" i="12" s="1"/>
  <c r="M34" i="12"/>
  <c r="N34" i="12" s="1"/>
  <c r="F45" i="18"/>
  <c r="K45" i="18" s="1"/>
  <c r="G34" i="18"/>
  <c r="G25" i="18"/>
  <c r="F38" i="18"/>
  <c r="G39" i="18" s="1"/>
  <c r="M33" i="12"/>
  <c r="N33" i="12" s="1"/>
  <c r="G43" i="18"/>
  <c r="H43" i="18" s="1"/>
  <c r="G44" i="18"/>
  <c r="D36" i="19"/>
  <c r="E36" i="19" s="1"/>
  <c r="F37" i="18"/>
  <c r="K43" i="18"/>
  <c r="G33" i="18"/>
  <c r="H34" i="18" s="1"/>
  <c r="K33" i="18"/>
  <c r="F27" i="18"/>
  <c r="K27" i="18" s="1"/>
  <c r="F28" i="18"/>
  <c r="K28" i="18" s="1"/>
  <c r="K30" i="18"/>
  <c r="K38" i="18"/>
  <c r="E28" i="19"/>
  <c r="M28" i="12"/>
  <c r="N28" i="12" s="1"/>
  <c r="E30" i="19"/>
  <c r="M25" i="12"/>
  <c r="N25" i="12" s="1"/>
  <c r="E39" i="19"/>
  <c r="E22" i="19"/>
  <c r="M32" i="12"/>
  <c r="N32" i="12" s="1"/>
  <c r="K46" i="18"/>
  <c r="E34" i="19"/>
  <c r="K41" i="18"/>
  <c r="E27" i="19"/>
  <c r="K26" i="18"/>
  <c r="G26" i="18"/>
  <c r="F29" i="18"/>
  <c r="G30" i="18" s="1"/>
  <c r="M42" i="12"/>
  <c r="N42" i="12" s="1"/>
  <c r="M24" i="12"/>
  <c r="N24" i="12" s="1"/>
  <c r="F40" i="18"/>
  <c r="F35" i="18"/>
  <c r="M37" i="12"/>
  <c r="N37" i="12" s="1"/>
  <c r="K39" i="18"/>
  <c r="F31" i="18"/>
  <c r="E37" i="19"/>
  <c r="E26" i="19"/>
  <c r="E44" i="19"/>
  <c r="F23" i="18"/>
  <c r="M35" i="12"/>
  <c r="N35" i="12" s="1"/>
  <c r="X44" i="11"/>
  <c r="B20" i="7"/>
  <c r="I46" i="24"/>
  <c r="G46" i="18" l="1"/>
  <c r="G38" i="18"/>
  <c r="G45" i="18"/>
  <c r="H45" i="18" s="1"/>
  <c r="J45" i="18" s="1"/>
  <c r="H26" i="18"/>
  <c r="H44" i="18"/>
  <c r="J44" i="18" s="1"/>
  <c r="G27" i="18"/>
  <c r="H27" i="18" s="1"/>
  <c r="L34" i="18"/>
  <c r="J34" i="18"/>
  <c r="G28" i="18"/>
  <c r="H28" i="18" s="1"/>
  <c r="J28" i="18" s="1"/>
  <c r="K37" i="18"/>
  <c r="G37" i="18"/>
  <c r="K40" i="18"/>
  <c r="G40" i="18"/>
  <c r="H40" i="18" s="1"/>
  <c r="K23" i="18"/>
  <c r="G24" i="18"/>
  <c r="H46" i="18"/>
  <c r="J43" i="18"/>
  <c r="L43" i="18"/>
  <c r="H39" i="18"/>
  <c r="L45" i="18"/>
  <c r="J26" i="18"/>
  <c r="L26" i="18"/>
  <c r="H47" i="18"/>
  <c r="K31" i="18"/>
  <c r="G31" i="18"/>
  <c r="H31" i="18" s="1"/>
  <c r="G32" i="18"/>
  <c r="K29" i="18"/>
  <c r="G29" i="18"/>
  <c r="G41" i="18"/>
  <c r="K35" i="18"/>
  <c r="G35" i="18"/>
  <c r="H35" i="18" s="1"/>
  <c r="G36" i="18"/>
  <c r="X45" i="11"/>
  <c r="B21" i="7"/>
  <c r="C22" i="11"/>
  <c r="C21" i="11"/>
  <c r="K9" i="17"/>
  <c r="K8" i="17"/>
  <c r="K7" i="17"/>
  <c r="K6" i="17"/>
  <c r="F8" i="16"/>
  <c r="C10" i="22"/>
  <c r="C9" i="22"/>
  <c r="C8" i="12"/>
  <c r="C7" i="12"/>
  <c r="D7" i="12" s="1"/>
  <c r="E40" i="3"/>
  <c r="H38" i="18" l="1"/>
  <c r="J38" i="18"/>
  <c r="L38" i="18"/>
  <c r="L44" i="18"/>
  <c r="L28" i="18"/>
  <c r="H29" i="18"/>
  <c r="L29" i="18" s="1"/>
  <c r="H30" i="18"/>
  <c r="L30" i="18" s="1"/>
  <c r="H41" i="18"/>
  <c r="H42" i="18"/>
  <c r="J39" i="18"/>
  <c r="L39" i="18"/>
  <c r="J27" i="18"/>
  <c r="L27" i="18"/>
  <c r="H25" i="18"/>
  <c r="J31" i="18"/>
  <c r="L31" i="18"/>
  <c r="J40" i="18"/>
  <c r="L40" i="18"/>
  <c r="J46" i="18"/>
  <c r="L46" i="18"/>
  <c r="H32" i="18"/>
  <c r="H33" i="18"/>
  <c r="H36" i="18"/>
  <c r="H37" i="18"/>
  <c r="J35" i="18"/>
  <c r="L35" i="18"/>
  <c r="J47" i="18"/>
  <c r="L47" i="18"/>
  <c r="P20" i="12"/>
  <c r="E22" i="20" s="1"/>
  <c r="Q20" i="12"/>
  <c r="Q21" i="12"/>
  <c r="P21" i="12"/>
  <c r="E23" i="20" s="1"/>
  <c r="X46" i="11"/>
  <c r="B22" i="7"/>
  <c r="I114" i="5"/>
  <c r="I113" i="5"/>
  <c r="I109" i="5"/>
  <c r="I110" i="5"/>
  <c r="I115" i="5"/>
  <c r="I108" i="5"/>
  <c r="J29" i="18" l="1"/>
  <c r="J30" i="18"/>
  <c r="L33" i="18"/>
  <c r="J33" i="18"/>
  <c r="J32" i="18"/>
  <c r="L32" i="18"/>
  <c r="J36" i="18"/>
  <c r="L36" i="18"/>
  <c r="J41" i="18"/>
  <c r="L41" i="18"/>
  <c r="L25" i="18"/>
  <c r="J25" i="18"/>
  <c r="J42" i="18"/>
  <c r="L42" i="18"/>
  <c r="J37" i="18"/>
  <c r="L37" i="18"/>
  <c r="X47" i="11"/>
  <c r="B24" i="7"/>
  <c r="B23" i="7"/>
  <c r="M19" i="6"/>
  <c r="C8" i="16"/>
  <c r="G3" i="14"/>
  <c r="A17" i="11"/>
  <c r="C50" i="7"/>
  <c r="C51" i="7" s="1"/>
  <c r="C53" i="7" s="1"/>
  <c r="C54" i="7" s="1"/>
  <c r="C59" i="7" s="1"/>
  <c r="C60" i="7" s="1"/>
  <c r="D13" i="14" l="1"/>
  <c r="D21" i="14"/>
  <c r="D29" i="14"/>
  <c r="D27" i="14"/>
  <c r="D43" i="14"/>
  <c r="D37" i="14"/>
  <c r="D17" i="14"/>
  <c r="D25" i="14"/>
  <c r="D45" i="14"/>
  <c r="D11" i="14"/>
  <c r="D19" i="14"/>
  <c r="D35" i="14"/>
  <c r="D33" i="14"/>
  <c r="D41" i="14"/>
  <c r="D24" i="14"/>
  <c r="D44" i="14"/>
  <c r="D39" i="14"/>
  <c r="D10" i="14"/>
  <c r="D36" i="14"/>
  <c r="D28" i="14"/>
  <c r="D18" i="14"/>
  <c r="D31" i="14"/>
  <c r="D40" i="14"/>
  <c r="D12" i="14"/>
  <c r="D32" i="14"/>
  <c r="D14" i="14"/>
  <c r="D16" i="14"/>
  <c r="D34" i="14"/>
  <c r="D30" i="14"/>
  <c r="D23" i="14"/>
  <c r="D15" i="14"/>
  <c r="D20" i="14"/>
  <c r="D26" i="14"/>
  <c r="D42" i="14"/>
  <c r="D38" i="14"/>
  <c r="D22" i="14"/>
  <c r="G67" i="11"/>
  <c r="G60" i="11"/>
  <c r="G42" i="11"/>
  <c r="G65" i="11"/>
  <c r="G52" i="11"/>
  <c r="G48" i="11"/>
  <c r="G37" i="11"/>
  <c r="G51" i="11"/>
  <c r="G58" i="11"/>
  <c r="G46" i="11"/>
  <c r="G34" i="11"/>
  <c r="G40" i="11"/>
  <c r="G66" i="11"/>
  <c r="G45" i="11"/>
  <c r="G61" i="11"/>
  <c r="G43" i="11"/>
  <c r="G57" i="11"/>
  <c r="G39" i="11"/>
  <c r="G63" i="11"/>
  <c r="G38" i="11"/>
  <c r="G47" i="11"/>
  <c r="G44" i="11"/>
  <c r="G54" i="11"/>
  <c r="G50" i="11"/>
  <c r="G33" i="11"/>
  <c r="G68" i="11"/>
  <c r="G36" i="11"/>
  <c r="G59" i="11"/>
  <c r="G49" i="11"/>
  <c r="G35" i="11"/>
  <c r="G55" i="11"/>
  <c r="G41" i="11"/>
  <c r="G53" i="11"/>
  <c r="G62" i="11"/>
  <c r="G56" i="11"/>
  <c r="G64" i="11"/>
  <c r="X48" i="11"/>
  <c r="C56" i="7"/>
  <c r="C57" i="7" s="1"/>
  <c r="C10" i="19"/>
  <c r="A1" i="9" l="1"/>
  <c r="X49" i="11"/>
  <c r="J8" i="12"/>
  <c r="C9" i="16"/>
  <c r="A8" i="16"/>
  <c r="A8" i="12"/>
  <c r="B9" i="12" s="1"/>
  <c r="A7" i="12"/>
  <c r="D57" i="13"/>
  <c r="X50" i="11" l="1"/>
  <c r="A9" i="16"/>
  <c r="B10" i="16" s="1"/>
  <c r="J56" i="23"/>
  <c r="B5" i="17"/>
  <c r="B6" i="17" s="1"/>
  <c r="B7" i="17" s="1"/>
  <c r="B8" i="17" s="1"/>
  <c r="B8" i="16"/>
  <c r="E23" i="11"/>
  <c r="E21" i="11"/>
  <c r="E20" i="11"/>
  <c r="E16" i="11"/>
  <c r="E15" i="11"/>
  <c r="D43" i="24" l="1"/>
  <c r="E43" i="24" s="1"/>
  <c r="D24" i="24"/>
  <c r="E24" i="24" s="1"/>
  <c r="D35" i="24"/>
  <c r="E35" i="24" s="1"/>
  <c r="D39" i="24"/>
  <c r="E39" i="24" s="1"/>
  <c r="D10" i="24"/>
  <c r="E10" i="24" s="1"/>
  <c r="D13" i="24"/>
  <c r="E13" i="24" s="1"/>
  <c r="D17" i="24"/>
  <c r="E17" i="24" s="1"/>
  <c r="D21" i="24"/>
  <c r="E21" i="24" s="1"/>
  <c r="D11" i="24"/>
  <c r="E11" i="24" s="1"/>
  <c r="D15" i="24"/>
  <c r="E15" i="24" s="1"/>
  <c r="D22" i="24"/>
  <c r="E22" i="24" s="1"/>
  <c r="D26" i="24"/>
  <c r="E26" i="24" s="1"/>
  <c r="D30" i="24"/>
  <c r="E30" i="24" s="1"/>
  <c r="D9" i="24"/>
  <c r="E9" i="24" s="1"/>
  <c r="D29" i="24"/>
  <c r="E29" i="24" s="1"/>
  <c r="D28" i="24"/>
  <c r="E28" i="24" s="1"/>
  <c r="D32" i="24"/>
  <c r="E32" i="24" s="1"/>
  <c r="D36" i="24"/>
  <c r="E36" i="24" s="1"/>
  <c r="D37" i="24"/>
  <c r="E37" i="24" s="1"/>
  <c r="D41" i="24"/>
  <c r="E41" i="24" s="1"/>
  <c r="D16" i="24"/>
  <c r="E16" i="24" s="1"/>
  <c r="D20" i="24"/>
  <c r="E20" i="24" s="1"/>
  <c r="D31" i="24"/>
  <c r="E31" i="24" s="1"/>
  <c r="D14" i="24"/>
  <c r="E14" i="24" s="1"/>
  <c r="D18" i="24"/>
  <c r="E18" i="24" s="1"/>
  <c r="D25" i="24"/>
  <c r="E25" i="24" s="1"/>
  <c r="D33" i="24"/>
  <c r="E33" i="24" s="1"/>
  <c r="D8" i="24"/>
  <c r="E8" i="24" s="1"/>
  <c r="D23" i="24"/>
  <c r="E23" i="24" s="1"/>
  <c r="D12" i="24"/>
  <c r="E12" i="24" s="1"/>
  <c r="D27" i="24"/>
  <c r="E27" i="24" s="1"/>
  <c r="D40" i="24"/>
  <c r="E40" i="24" s="1"/>
  <c r="D19" i="24"/>
  <c r="E19" i="24" s="1"/>
  <c r="D34" i="24"/>
  <c r="E34" i="24" s="1"/>
  <c r="D38" i="24"/>
  <c r="E38" i="24" s="1"/>
  <c r="D42" i="24"/>
  <c r="E42" i="24" s="1"/>
  <c r="D17" i="17"/>
  <c r="C13" i="19" s="1"/>
  <c r="D34" i="17"/>
  <c r="C30" i="19" s="1"/>
  <c r="F30" i="19" s="1"/>
  <c r="D16" i="17"/>
  <c r="C12" i="19" s="1"/>
  <c r="D35" i="17"/>
  <c r="C31" i="19" s="1"/>
  <c r="F31" i="19" s="1"/>
  <c r="D22" i="17"/>
  <c r="C18" i="19" s="1"/>
  <c r="D40" i="17"/>
  <c r="C36" i="19" s="1"/>
  <c r="F36" i="19" s="1"/>
  <c r="D19" i="17"/>
  <c r="C15" i="19" s="1"/>
  <c r="D21" i="17"/>
  <c r="C17" i="19" s="1"/>
  <c r="D39" i="17"/>
  <c r="C35" i="19" s="1"/>
  <c r="F35" i="19" s="1"/>
  <c r="D36" i="17"/>
  <c r="C32" i="19" s="1"/>
  <c r="F32" i="19" s="1"/>
  <c r="D20" i="17"/>
  <c r="C16" i="19" s="1"/>
  <c r="D45" i="17"/>
  <c r="C41" i="19" s="1"/>
  <c r="F41" i="19" s="1"/>
  <c r="D23" i="17"/>
  <c r="C19" i="19" s="1"/>
  <c r="D44" i="17"/>
  <c r="C40" i="19" s="1"/>
  <c r="F40" i="19" s="1"/>
  <c r="D51" i="17"/>
  <c r="D46" i="17"/>
  <c r="C42" i="19" s="1"/>
  <c r="F42" i="19" s="1"/>
  <c r="D48" i="17"/>
  <c r="C44" i="19" s="1"/>
  <c r="F44" i="19" s="1"/>
  <c r="D25" i="17"/>
  <c r="C21" i="19" s="1"/>
  <c r="D28" i="17"/>
  <c r="C24" i="19" s="1"/>
  <c r="F24" i="19" s="1"/>
  <c r="D31" i="17"/>
  <c r="C27" i="19" s="1"/>
  <c r="F27" i="19" s="1"/>
  <c r="D33" i="17"/>
  <c r="C29" i="19" s="1"/>
  <c r="F29" i="19" s="1"/>
  <c r="D27" i="17"/>
  <c r="C23" i="19" s="1"/>
  <c r="F23" i="19" s="1"/>
  <c r="D37" i="17"/>
  <c r="C33" i="19" s="1"/>
  <c r="F33" i="19" s="1"/>
  <c r="D43" i="17"/>
  <c r="C39" i="19" s="1"/>
  <c r="F39" i="19" s="1"/>
  <c r="D24" i="17"/>
  <c r="C20" i="19" s="1"/>
  <c r="D32" i="17"/>
  <c r="C28" i="19" s="1"/>
  <c r="F28" i="19" s="1"/>
  <c r="D49" i="17"/>
  <c r="C45" i="19" s="1"/>
  <c r="F45" i="19" s="1"/>
  <c r="D50" i="17"/>
  <c r="C46" i="19" s="1"/>
  <c r="F46" i="19" s="1"/>
  <c r="D18" i="17"/>
  <c r="C14" i="19" s="1"/>
  <c r="D29" i="17"/>
  <c r="C25" i="19" s="1"/>
  <c r="F25" i="19" s="1"/>
  <c r="D47" i="17"/>
  <c r="C43" i="19" s="1"/>
  <c r="F43" i="19" s="1"/>
  <c r="D30" i="17"/>
  <c r="C26" i="19" s="1"/>
  <c r="F26" i="19" s="1"/>
  <c r="D41" i="17"/>
  <c r="C37" i="19" s="1"/>
  <c r="F37" i="19" s="1"/>
  <c r="D26" i="17"/>
  <c r="C22" i="19" s="1"/>
  <c r="F22" i="19" s="1"/>
  <c r="D38" i="17"/>
  <c r="C34" i="19" s="1"/>
  <c r="F34" i="19" s="1"/>
  <c r="D42" i="17"/>
  <c r="C38" i="19" s="1"/>
  <c r="F38" i="19" s="1"/>
  <c r="R44" i="13"/>
  <c r="R45" i="13"/>
  <c r="R34" i="13"/>
  <c r="R46" i="13"/>
  <c r="R35" i="13"/>
  <c r="R36" i="13"/>
  <c r="R37" i="13"/>
  <c r="R38" i="13"/>
  <c r="R22" i="13"/>
  <c r="R23" i="13"/>
  <c r="R24" i="13"/>
  <c r="R25" i="13"/>
  <c r="R26" i="13"/>
  <c r="R27" i="13"/>
  <c r="R28" i="13"/>
  <c r="X51" i="11"/>
  <c r="B9" i="16"/>
  <c r="D8" i="12"/>
  <c r="E8" i="12" s="1"/>
  <c r="E96" i="5"/>
  <c r="K29" i="19" l="1"/>
  <c r="I29" i="19"/>
  <c r="I27" i="19"/>
  <c r="G27" i="19"/>
  <c r="K27" i="19"/>
  <c r="G35" i="19"/>
  <c r="G34" i="19"/>
  <c r="K34" i="19"/>
  <c r="I34" i="19"/>
  <c r="G45" i="19"/>
  <c r="I44" i="19"/>
  <c r="G44" i="19"/>
  <c r="H44" i="19" s="1"/>
  <c r="K44" i="19"/>
  <c r="K31" i="19"/>
  <c r="I31" i="19"/>
  <c r="K26" i="19"/>
  <c r="I26" i="19"/>
  <c r="G26" i="19"/>
  <c r="I43" i="19"/>
  <c r="K43" i="19"/>
  <c r="G43" i="19"/>
  <c r="G32" i="19"/>
  <c r="K32" i="19"/>
  <c r="I32" i="19"/>
  <c r="I36" i="19"/>
  <c r="K36" i="19"/>
  <c r="G36" i="19"/>
  <c r="I45" i="19"/>
  <c r="K45" i="19"/>
  <c r="G29" i="19"/>
  <c r="G28" i="19"/>
  <c r="K28" i="19"/>
  <c r="I28" i="19"/>
  <c r="K42" i="19"/>
  <c r="G42" i="19"/>
  <c r="H42" i="19" s="1"/>
  <c r="I42" i="19"/>
  <c r="K25" i="19"/>
  <c r="G25" i="19"/>
  <c r="I25" i="19"/>
  <c r="K33" i="19"/>
  <c r="I33" i="19"/>
  <c r="G33" i="19"/>
  <c r="G46" i="19"/>
  <c r="I46" i="19"/>
  <c r="K46" i="19"/>
  <c r="I24" i="19"/>
  <c r="K24" i="19"/>
  <c r="G24" i="19"/>
  <c r="I39" i="19"/>
  <c r="K39" i="19"/>
  <c r="G39" i="19"/>
  <c r="G23" i="19"/>
  <c r="K23" i="19"/>
  <c r="I23" i="19"/>
  <c r="I40" i="19"/>
  <c r="K40" i="19"/>
  <c r="G40" i="19"/>
  <c r="K22" i="19"/>
  <c r="I22" i="19"/>
  <c r="G38" i="19"/>
  <c r="G37" i="19"/>
  <c r="I37" i="19"/>
  <c r="K37" i="19"/>
  <c r="K35" i="19"/>
  <c r="I35" i="19"/>
  <c r="G31" i="19"/>
  <c r="K30" i="19"/>
  <c r="I30" i="19"/>
  <c r="G30" i="19"/>
  <c r="H30" i="19" s="1"/>
  <c r="K38" i="19"/>
  <c r="I38" i="19"/>
  <c r="I41" i="19"/>
  <c r="K41" i="19"/>
  <c r="G41" i="19"/>
  <c r="H42" i="24"/>
  <c r="C42" i="24"/>
  <c r="H30" i="24"/>
  <c r="C30" i="24"/>
  <c r="C37" i="24"/>
  <c r="H37" i="24"/>
  <c r="H35" i="24"/>
  <c r="C35" i="24"/>
  <c r="C13" i="24"/>
  <c r="H13" i="24"/>
  <c r="C16" i="24"/>
  <c r="H16" i="24"/>
  <c r="C33" i="24"/>
  <c r="H33" i="24"/>
  <c r="C19" i="24"/>
  <c r="H19" i="24"/>
  <c r="C22" i="24"/>
  <c r="H22" i="24"/>
  <c r="H27" i="24"/>
  <c r="C27" i="24"/>
  <c r="H15" i="24"/>
  <c r="C15" i="24"/>
  <c r="H32" i="24"/>
  <c r="C32" i="24"/>
  <c r="H29" i="24"/>
  <c r="C29" i="24"/>
  <c r="C20" i="24"/>
  <c r="H20" i="24"/>
  <c r="H38" i="24"/>
  <c r="C38" i="24"/>
  <c r="H41" i="24"/>
  <c r="C41" i="24"/>
  <c r="C25" i="24"/>
  <c r="H25" i="24"/>
  <c r="C40" i="24"/>
  <c r="H40" i="24"/>
  <c r="H39" i="24"/>
  <c r="C39" i="24"/>
  <c r="H36" i="24"/>
  <c r="C36" i="24"/>
  <c r="H14" i="24"/>
  <c r="C14" i="24"/>
  <c r="C24" i="24"/>
  <c r="H24" i="24"/>
  <c r="C31" i="24"/>
  <c r="H31" i="24"/>
  <c r="H21" i="24"/>
  <c r="C21" i="24"/>
  <c r="H9" i="24"/>
  <c r="C9" i="24"/>
  <c r="C8" i="24"/>
  <c r="C34" i="24"/>
  <c r="H34" i="24"/>
  <c r="H26" i="24"/>
  <c r="C26" i="24"/>
  <c r="C10" i="24"/>
  <c r="H10" i="24"/>
  <c r="C18" i="24"/>
  <c r="H18" i="24"/>
  <c r="H12" i="24"/>
  <c r="C12" i="24"/>
  <c r="H11" i="24"/>
  <c r="C11" i="24"/>
  <c r="C28" i="24"/>
  <c r="H28" i="24"/>
  <c r="H23" i="24"/>
  <c r="C23" i="24"/>
  <c r="C17" i="24"/>
  <c r="H17" i="24"/>
  <c r="C43" i="24"/>
  <c r="H43" i="24"/>
  <c r="X52" i="11"/>
  <c r="C9" i="13"/>
  <c r="C8" i="14" s="1"/>
  <c r="C14" i="17"/>
  <c r="C9" i="15"/>
  <c r="D32" i="11"/>
  <c r="C10" i="13"/>
  <c r="C9" i="14" s="1"/>
  <c r="C10" i="15"/>
  <c r="C15" i="17"/>
  <c r="D15" i="17" s="1"/>
  <c r="C11" i="19" s="1"/>
  <c r="B10" i="13"/>
  <c r="B15" i="17"/>
  <c r="L16" i="17" s="1"/>
  <c r="A8" i="21"/>
  <c r="B9" i="21" s="1"/>
  <c r="B10" i="15"/>
  <c r="J11" i="15" s="1"/>
  <c r="A10" i="20"/>
  <c r="B11" i="20" s="1"/>
  <c r="A10" i="19"/>
  <c r="B11" i="19" s="1"/>
  <c r="A10" i="22"/>
  <c r="B11" i="22" s="1"/>
  <c r="A11" i="18"/>
  <c r="B12" i="18" s="1"/>
  <c r="A7" i="21"/>
  <c r="A9" i="22"/>
  <c r="B14" i="17"/>
  <c r="A9" i="19"/>
  <c r="A9" i="20"/>
  <c r="A10" i="18"/>
  <c r="B9" i="15"/>
  <c r="B9" i="13"/>
  <c r="A8" i="14" s="1"/>
  <c r="D20" i="6"/>
  <c r="K20" i="6"/>
  <c r="L20" i="6"/>
  <c r="M20" i="6"/>
  <c r="N20" i="6"/>
  <c r="O20" i="6"/>
  <c r="P20" i="6"/>
  <c r="K27" i="6"/>
  <c r="L27" i="6"/>
  <c r="M27" i="6"/>
  <c r="P27" i="6"/>
  <c r="K25" i="6"/>
  <c r="L25" i="6"/>
  <c r="M25" i="6"/>
  <c r="P25" i="6"/>
  <c r="E18" i="6"/>
  <c r="K32" i="6"/>
  <c r="L32" i="6"/>
  <c r="M32" i="6"/>
  <c r="N32" i="6"/>
  <c r="N23" i="7"/>
  <c r="E23" i="7"/>
  <c r="D23" i="7"/>
  <c r="F23" i="7" s="1"/>
  <c r="H26" i="19" l="1"/>
  <c r="H37" i="19"/>
  <c r="J37" i="19" s="1"/>
  <c r="H32" i="19"/>
  <c r="L32" i="19" s="1"/>
  <c r="H34" i="19"/>
  <c r="L34" i="19" s="1"/>
  <c r="H27" i="19"/>
  <c r="L27" i="19" s="1"/>
  <c r="L44" i="19"/>
  <c r="J44" i="19"/>
  <c r="H41" i="19"/>
  <c r="H40" i="19"/>
  <c r="H45" i="19"/>
  <c r="H31" i="19"/>
  <c r="H33" i="19"/>
  <c r="J26" i="19"/>
  <c r="L26" i="19"/>
  <c r="H35" i="19"/>
  <c r="H39" i="19"/>
  <c r="H46" i="19"/>
  <c r="J30" i="19"/>
  <c r="L30" i="19"/>
  <c r="H43" i="19"/>
  <c r="H29" i="19"/>
  <c r="H28" i="19"/>
  <c r="H38" i="19"/>
  <c r="H25" i="19"/>
  <c r="J42" i="19"/>
  <c r="L42" i="19"/>
  <c r="H36" i="19"/>
  <c r="H24" i="19"/>
  <c r="A9" i="14"/>
  <c r="B10" i="14" s="1"/>
  <c r="G10" i="14" s="1"/>
  <c r="K11" i="13"/>
  <c r="S11" i="22"/>
  <c r="M11" i="22"/>
  <c r="M16" i="17"/>
  <c r="N16" i="17"/>
  <c r="X53" i="11"/>
  <c r="E10" i="15"/>
  <c r="G4" i="11"/>
  <c r="L37" i="19" l="1"/>
  <c r="J27" i="19"/>
  <c r="J34" i="19"/>
  <c r="J32" i="19"/>
  <c r="L39" i="19"/>
  <c r="J39" i="19"/>
  <c r="J33" i="19"/>
  <c r="L33" i="19"/>
  <c r="L40" i="19"/>
  <c r="J40" i="19"/>
  <c r="J46" i="19"/>
  <c r="L46" i="19"/>
  <c r="J35" i="19"/>
  <c r="L35" i="19"/>
  <c r="J24" i="19"/>
  <c r="L24" i="19"/>
  <c r="L25" i="19"/>
  <c r="J25" i="19"/>
  <c r="J36" i="19"/>
  <c r="L36" i="19"/>
  <c r="L38" i="19"/>
  <c r="J38" i="19"/>
  <c r="L31" i="19"/>
  <c r="J31" i="19"/>
  <c r="J28" i="19"/>
  <c r="L28" i="19"/>
  <c r="L45" i="19"/>
  <c r="J45" i="19"/>
  <c r="J29" i="19"/>
  <c r="L29" i="19"/>
  <c r="J43" i="19"/>
  <c r="L43" i="19"/>
  <c r="L41" i="19"/>
  <c r="J41" i="19"/>
  <c r="X54" i="11"/>
  <c r="X55" i="11" l="1"/>
  <c r="X56" i="11" l="1"/>
  <c r="X57" i="11" l="1"/>
  <c r="J44" i="24"/>
  <c r="G6" i="24"/>
  <c r="J51" i="23"/>
  <c r="H51" i="23"/>
  <c r="J50" i="23"/>
  <c r="L7" i="23"/>
  <c r="O10" i="22"/>
  <c r="C8" i="23"/>
  <c r="A8" i="23"/>
  <c r="B9" i="23" s="1"/>
  <c r="O9" i="22"/>
  <c r="C7" i="23"/>
  <c r="A7" i="23"/>
  <c r="J2" i="23"/>
  <c r="A2" i="23"/>
  <c r="D8" i="21"/>
  <c r="B8" i="21"/>
  <c r="G7" i="21"/>
  <c r="D7" i="21"/>
  <c r="I11" i="18"/>
  <c r="B11" i="18"/>
  <c r="I10" i="18"/>
  <c r="L15" i="17"/>
  <c r="K14" i="17"/>
  <c r="N14" i="17" s="1"/>
  <c r="I14" i="17"/>
  <c r="M14" i="17" s="1"/>
  <c r="I15" i="17"/>
  <c r="Q11" i="17"/>
  <c r="P11" i="17"/>
  <c r="O11" i="17"/>
  <c r="N11" i="17"/>
  <c r="M11" i="17"/>
  <c r="D11" i="17"/>
  <c r="N10" i="17"/>
  <c r="M10" i="17"/>
  <c r="D10" i="17"/>
  <c r="Q9" i="17"/>
  <c r="P9" i="17"/>
  <c r="O9" i="17"/>
  <c r="D9" i="17"/>
  <c r="Q8" i="17"/>
  <c r="P8" i="17"/>
  <c r="O8" i="17"/>
  <c r="Q7" i="17"/>
  <c r="P7" i="17"/>
  <c r="O7" i="17"/>
  <c r="N7" i="17"/>
  <c r="M7" i="17"/>
  <c r="N6" i="17"/>
  <c r="M6" i="17"/>
  <c r="A4" i="17"/>
  <c r="L2" i="17"/>
  <c r="A2" i="17"/>
  <c r="D9" i="16"/>
  <c r="G9" i="16"/>
  <c r="D8" i="16"/>
  <c r="G8" i="16"/>
  <c r="D10" i="15"/>
  <c r="K11" i="15" s="1"/>
  <c r="D9" i="15"/>
  <c r="D9" i="14"/>
  <c r="B60" i="13"/>
  <c r="K59" i="13"/>
  <c r="F49" i="14" s="1"/>
  <c r="I54" i="15" s="1"/>
  <c r="H56" i="16" s="1"/>
  <c r="K65" i="17" s="1"/>
  <c r="I56" i="18" s="1"/>
  <c r="I55" i="19" s="1"/>
  <c r="I56" i="20" s="1"/>
  <c r="F57" i="21" s="1"/>
  <c r="Q56" i="22" s="1"/>
  <c r="J63" i="23" s="1"/>
  <c r="F56" i="24" s="1"/>
  <c r="D59" i="13"/>
  <c r="B54" i="15" s="1"/>
  <c r="C56" i="16" s="1"/>
  <c r="E65" i="17" s="1"/>
  <c r="D56" i="18" s="1"/>
  <c r="D55" i="19" s="1"/>
  <c r="D56" i="20" s="1"/>
  <c r="B57" i="21" s="1"/>
  <c r="I56" i="22" s="1"/>
  <c r="D63" i="23" s="1"/>
  <c r="C56" i="24" s="1"/>
  <c r="K58" i="13"/>
  <c r="F48" i="14" s="1"/>
  <c r="I53" i="15" s="1"/>
  <c r="H55" i="16" s="1"/>
  <c r="K64" i="17" s="1"/>
  <c r="I55" i="18" s="1"/>
  <c r="I54" i="19" s="1"/>
  <c r="I55" i="20" s="1"/>
  <c r="F56" i="21" s="1"/>
  <c r="Q55" i="22" s="1"/>
  <c r="J62" i="23" s="1"/>
  <c r="F55" i="24" s="1"/>
  <c r="D58" i="13"/>
  <c r="B53" i="15" s="1"/>
  <c r="C55" i="16" s="1"/>
  <c r="E64" i="17" s="1"/>
  <c r="D55" i="18" s="1"/>
  <c r="D54" i="19" s="1"/>
  <c r="D55" i="20" s="1"/>
  <c r="B56" i="21" s="1"/>
  <c r="I55" i="22" s="1"/>
  <c r="D62" i="23" s="1"/>
  <c r="C55" i="24" s="1"/>
  <c r="K57" i="13"/>
  <c r="F47" i="14" s="1"/>
  <c r="I52" i="15" s="1"/>
  <c r="H54" i="16" s="1"/>
  <c r="K63" i="17" s="1"/>
  <c r="I54" i="18" s="1"/>
  <c r="I53" i="19" s="1"/>
  <c r="I54" i="20" s="1"/>
  <c r="F55" i="21" s="1"/>
  <c r="Q54" i="22" s="1"/>
  <c r="J61" i="23" s="1"/>
  <c r="F54" i="24" s="1"/>
  <c r="B52" i="15"/>
  <c r="C54" i="16" s="1"/>
  <c r="E63" i="17" s="1"/>
  <c r="D54" i="18" s="1"/>
  <c r="D53" i="19" s="1"/>
  <c r="D54" i="20" s="1"/>
  <c r="B55" i="21" s="1"/>
  <c r="I54" i="22" s="1"/>
  <c r="D61" i="23" s="1"/>
  <c r="C54" i="24" s="1"/>
  <c r="B55" i="13"/>
  <c r="R15" i="13"/>
  <c r="R15" i="12"/>
  <c r="G15" i="12" s="1"/>
  <c r="AC4" i="12"/>
  <c r="AD4" i="12" s="1"/>
  <c r="L87" i="11"/>
  <c r="G87" i="11"/>
  <c r="L86" i="11"/>
  <c r="G86" i="11"/>
  <c r="L85" i="11"/>
  <c r="G85" i="11"/>
  <c r="U82" i="11"/>
  <c r="F71" i="11"/>
  <c r="B7" i="24"/>
  <c r="A7" i="24"/>
  <c r="F8" i="24" s="1"/>
  <c r="G8" i="24" s="1"/>
  <c r="H8" i="24" s="1"/>
  <c r="Y31" i="11"/>
  <c r="B6" i="24"/>
  <c r="A6" i="24"/>
  <c r="T27" i="11"/>
  <c r="N27" i="11"/>
  <c r="K27" i="11"/>
  <c r="I27" i="11"/>
  <c r="E27" i="11"/>
  <c r="T29" i="11"/>
  <c r="A22" i="11"/>
  <c r="S27" i="11"/>
  <c r="S29" i="11"/>
  <c r="A21" i="11"/>
  <c r="R27" i="11"/>
  <c r="R29" i="11"/>
  <c r="K29" i="11"/>
  <c r="H29" i="11"/>
  <c r="J27" i="11"/>
  <c r="J29" i="11"/>
  <c r="Q29" i="11"/>
  <c r="I29" i="11"/>
  <c r="F29" i="11"/>
  <c r="A16" i="11"/>
  <c r="C6" i="11"/>
  <c r="C5" i="11"/>
  <c r="G27" i="10"/>
  <c r="G26" i="10"/>
  <c r="G25" i="10"/>
  <c r="G24" i="10"/>
  <c r="C24" i="10"/>
  <c r="I11" i="10"/>
  <c r="H11" i="10"/>
  <c r="I10" i="10"/>
  <c r="I9" i="10"/>
  <c r="H7" i="10"/>
  <c r="F62" i="9"/>
  <c r="F60" i="9"/>
  <c r="F59" i="9"/>
  <c r="J51" i="9"/>
  <c r="F50" i="9"/>
  <c r="J50" i="9" s="1"/>
  <c r="J49" i="9"/>
  <c r="J40" i="9"/>
  <c r="F39" i="9"/>
  <c r="J39" i="9" s="1"/>
  <c r="F38" i="9"/>
  <c r="J38" i="9" s="1"/>
  <c r="J37" i="9"/>
  <c r="J34" i="9"/>
  <c r="J32" i="9"/>
  <c r="F29" i="9"/>
  <c r="J29" i="9" s="1"/>
  <c r="A28" i="9"/>
  <c r="A29" i="9" s="1"/>
  <c r="A30" i="9" s="1"/>
  <c r="A31" i="9" s="1"/>
  <c r="A32" i="9" s="1"/>
  <c r="A34" i="9" s="1"/>
  <c r="J24" i="9"/>
  <c r="B23" i="9"/>
  <c r="B27" i="9" s="1"/>
  <c r="A23" i="9"/>
  <c r="A27" i="9" s="1"/>
  <c r="B22" i="9"/>
  <c r="B26" i="9" s="1"/>
  <c r="A22" i="9"/>
  <c r="A26" i="9" s="1"/>
  <c r="B21" i="9"/>
  <c r="B25" i="9" s="1"/>
  <c r="A21" i="9"/>
  <c r="A25" i="9" s="1"/>
  <c r="J20" i="9"/>
  <c r="J16" i="9"/>
  <c r="J15" i="9"/>
  <c r="F13" i="9"/>
  <c r="J13" i="9" s="1"/>
  <c r="F12" i="9"/>
  <c r="J12" i="9" s="1"/>
  <c r="J11" i="9"/>
  <c r="A9" i="9"/>
  <c r="F2" i="9"/>
  <c r="A2" i="9"/>
  <c r="D72" i="7"/>
  <c r="D71" i="7"/>
  <c r="D70" i="7"/>
  <c r="I68" i="7"/>
  <c r="E57" i="7"/>
  <c r="E59" i="7" s="1"/>
  <c r="E51" i="7"/>
  <c r="E53" i="7" s="1"/>
  <c r="E54" i="7" s="1"/>
  <c r="D48" i="7"/>
  <c r="F48" i="7" s="1"/>
  <c r="H48" i="7" s="1"/>
  <c r="I48" i="7" s="1"/>
  <c r="D47" i="7"/>
  <c r="F47" i="7" s="1"/>
  <c r="H47" i="7" s="1"/>
  <c r="I47" i="7" s="1"/>
  <c r="D46" i="7"/>
  <c r="F46" i="7" s="1"/>
  <c r="H46" i="7" s="1"/>
  <c r="I46" i="7" s="1"/>
  <c r="D45" i="7"/>
  <c r="F45" i="7" s="1"/>
  <c r="H45" i="7" s="1"/>
  <c r="I45" i="7" s="1"/>
  <c r="J45" i="7" s="1"/>
  <c r="K45" i="7" s="1"/>
  <c r="E43" i="7"/>
  <c r="B43" i="7"/>
  <c r="C42" i="7"/>
  <c r="F42" i="7" s="1"/>
  <c r="H42" i="7" s="1"/>
  <c r="I42" i="7" s="1"/>
  <c r="J42" i="7" s="1"/>
  <c r="K42" i="7" s="1"/>
  <c r="D32" i="7"/>
  <c r="D33" i="7" s="1"/>
  <c r="D34" i="7" s="1"/>
  <c r="D35" i="7" s="1"/>
  <c r="D36" i="7" s="1"/>
  <c r="D37" i="7" s="1"/>
  <c r="D38" i="7" s="1"/>
  <c r="D39" i="7" s="1"/>
  <c r="D40" i="7" s="1"/>
  <c r="N30" i="7"/>
  <c r="E30" i="7"/>
  <c r="D30" i="7"/>
  <c r="F30" i="7" s="1"/>
  <c r="B30" i="7"/>
  <c r="K29" i="7"/>
  <c r="C29" i="7"/>
  <c r="F29" i="7" s="1"/>
  <c r="H29" i="7" s="1"/>
  <c r="I29" i="7" s="1"/>
  <c r="N28" i="7"/>
  <c r="N27" i="7"/>
  <c r="B27" i="7"/>
  <c r="N26" i="7"/>
  <c r="K26" i="7"/>
  <c r="D26" i="7"/>
  <c r="F26" i="7" s="1"/>
  <c r="O25" i="7"/>
  <c r="N24" i="7"/>
  <c r="E24" i="7"/>
  <c r="D24" i="7"/>
  <c r="D42" i="7" s="1"/>
  <c r="D43" i="7" s="1"/>
  <c r="N22" i="7"/>
  <c r="E22" i="7"/>
  <c r="D22" i="7"/>
  <c r="F22" i="7" s="1"/>
  <c r="N21" i="7"/>
  <c r="E21" i="7"/>
  <c r="D21" i="7"/>
  <c r="F21" i="7" s="1"/>
  <c r="N20" i="7"/>
  <c r="E20" i="7"/>
  <c r="D20" i="7"/>
  <c r="F20" i="7" s="1"/>
  <c r="N19" i="7"/>
  <c r="E19" i="7"/>
  <c r="D19" i="7"/>
  <c r="F19" i="7" s="1"/>
  <c r="N18" i="7"/>
  <c r="E18" i="7"/>
  <c r="D18" i="7"/>
  <c r="F18" i="7" s="1"/>
  <c r="N17" i="7"/>
  <c r="E17" i="7"/>
  <c r="D17" i="7"/>
  <c r="F17" i="7" s="1"/>
  <c r="N16" i="7"/>
  <c r="E16" i="7"/>
  <c r="D16" i="7"/>
  <c r="F16" i="7" s="1"/>
  <c r="N15" i="7"/>
  <c r="G15" i="7"/>
  <c r="G16" i="7" s="1"/>
  <c r="G17" i="7" s="1"/>
  <c r="G18" i="7" s="1"/>
  <c r="E15" i="7"/>
  <c r="D15" i="7"/>
  <c r="F15" i="7" s="1"/>
  <c r="N14" i="7"/>
  <c r="F14" i="7"/>
  <c r="H14" i="7" s="1"/>
  <c r="I14" i="7" s="1"/>
  <c r="J14" i="7" s="1"/>
  <c r="K14" i="7" s="1"/>
  <c r="N5" i="7"/>
  <c r="N6" i="7" s="1"/>
  <c r="N7" i="7" s="1"/>
  <c r="N31" i="6"/>
  <c r="M31" i="6"/>
  <c r="L31" i="6"/>
  <c r="K31" i="6"/>
  <c r="N30" i="6"/>
  <c r="M30" i="6"/>
  <c r="L30" i="6"/>
  <c r="K30" i="6"/>
  <c r="P29" i="6"/>
  <c r="O29" i="6"/>
  <c r="M29" i="6"/>
  <c r="L29" i="6"/>
  <c r="K29" i="6"/>
  <c r="P28" i="6"/>
  <c r="O28" i="6"/>
  <c r="N28" i="6"/>
  <c r="M28" i="6"/>
  <c r="L28" i="6"/>
  <c r="K28" i="6"/>
  <c r="D28" i="6"/>
  <c r="P26" i="6"/>
  <c r="O26" i="6"/>
  <c r="N26" i="6"/>
  <c r="M26" i="6"/>
  <c r="L26" i="6"/>
  <c r="K26" i="6"/>
  <c r="D26" i="6"/>
  <c r="P24" i="6"/>
  <c r="O24" i="6"/>
  <c r="N24" i="6"/>
  <c r="M24" i="6"/>
  <c r="C24" i="6"/>
  <c r="D24" i="6" s="1"/>
  <c r="P23" i="6"/>
  <c r="O23" i="6"/>
  <c r="N23" i="6"/>
  <c r="M23" i="6"/>
  <c r="D23" i="6"/>
  <c r="P22" i="6"/>
  <c r="O22" i="6"/>
  <c r="N22" i="6"/>
  <c r="M22" i="6"/>
  <c r="F22" i="6"/>
  <c r="E22" i="6"/>
  <c r="D22" i="6"/>
  <c r="P21" i="6"/>
  <c r="O21" i="6"/>
  <c r="N21" i="6"/>
  <c r="M21" i="6"/>
  <c r="D21" i="6"/>
  <c r="P19" i="6"/>
  <c r="N19" i="6"/>
  <c r="L19" i="6"/>
  <c r="K19" i="6"/>
  <c r="O19" i="6"/>
  <c r="P18" i="6"/>
  <c r="O18" i="6"/>
  <c r="N18" i="6"/>
  <c r="M18" i="6"/>
  <c r="L18" i="6"/>
  <c r="P17" i="6"/>
  <c r="O17" i="6"/>
  <c r="N17" i="6"/>
  <c r="M17" i="6"/>
  <c r="L17" i="6"/>
  <c r="K17" i="6"/>
  <c r="D17" i="6"/>
  <c r="P16" i="6"/>
  <c r="O16" i="6"/>
  <c r="N16" i="6"/>
  <c r="M16" i="6"/>
  <c r="L16" i="6"/>
  <c r="K16" i="6"/>
  <c r="D16" i="6"/>
  <c r="P15" i="6"/>
  <c r="O15" i="6"/>
  <c r="N15" i="6"/>
  <c r="M15" i="6"/>
  <c r="P14" i="6"/>
  <c r="O14" i="6"/>
  <c r="N14" i="6"/>
  <c r="M14" i="6"/>
  <c r="F14" i="6"/>
  <c r="P13" i="6"/>
  <c r="O13" i="6"/>
  <c r="N13" i="6"/>
  <c r="M13" i="6"/>
  <c r="L13" i="6"/>
  <c r="K13" i="6"/>
  <c r="D13" i="6"/>
  <c r="P12" i="6"/>
  <c r="O12" i="6"/>
  <c r="N12" i="6"/>
  <c r="M12" i="6"/>
  <c r="L12" i="6"/>
  <c r="K12" i="6"/>
  <c r="D12" i="6"/>
  <c r="P11" i="6"/>
  <c r="O11" i="6"/>
  <c r="N11" i="6"/>
  <c r="M11" i="6"/>
  <c r="L11" i="6"/>
  <c r="K11" i="6"/>
  <c r="D11" i="6"/>
  <c r="P10" i="6"/>
  <c r="N10" i="6"/>
  <c r="P9" i="6"/>
  <c r="O9" i="6"/>
  <c r="N9" i="6"/>
  <c r="M9" i="6"/>
  <c r="L9" i="6"/>
  <c r="K9" i="6"/>
  <c r="D9" i="6"/>
  <c r="P8" i="6"/>
  <c r="O8" i="6"/>
  <c r="N8" i="6"/>
  <c r="M8" i="6"/>
  <c r="L8" i="6"/>
  <c r="K8" i="6"/>
  <c r="D8" i="6"/>
  <c r="P7" i="6"/>
  <c r="O7" i="6"/>
  <c r="N7" i="6"/>
  <c r="M7" i="6"/>
  <c r="L7" i="6"/>
  <c r="K7" i="6"/>
  <c r="D7" i="6"/>
  <c r="P6" i="6"/>
  <c r="O6" i="6"/>
  <c r="N6" i="6"/>
  <c r="M6" i="6"/>
  <c r="L6" i="6"/>
  <c r="K6" i="6"/>
  <c r="D6" i="6"/>
  <c r="P5" i="6"/>
  <c r="O5" i="6"/>
  <c r="N5" i="6"/>
  <c r="M5" i="6"/>
  <c r="P4" i="6"/>
  <c r="O4" i="6"/>
  <c r="N4" i="6"/>
  <c r="M4" i="6"/>
  <c r="L4" i="6"/>
  <c r="D4" i="6"/>
  <c r="G122" i="5"/>
  <c r="J119" i="5"/>
  <c r="G119" i="5"/>
  <c r="G118" i="5"/>
  <c r="G120" i="5" s="1"/>
  <c r="D30" i="3" s="1"/>
  <c r="F30" i="3" s="1"/>
  <c r="I30" i="3" s="1"/>
  <c r="B117" i="5"/>
  <c r="G107" i="5"/>
  <c r="I107" i="5" s="1"/>
  <c r="B107" i="5"/>
  <c r="B104" i="5"/>
  <c r="C101" i="5"/>
  <c r="E101" i="5" s="1"/>
  <c r="G101" i="5" s="1"/>
  <c r="C100" i="5"/>
  <c r="E100" i="5" s="1"/>
  <c r="G100" i="5" s="1"/>
  <c r="D97" i="5"/>
  <c r="G97" i="5" s="1"/>
  <c r="K96" i="5"/>
  <c r="B94" i="5"/>
  <c r="G90" i="5"/>
  <c r="G89" i="5"/>
  <c r="K88" i="5"/>
  <c r="G85" i="5"/>
  <c r="G84" i="5"/>
  <c r="D73" i="5"/>
  <c r="C73" i="5"/>
  <c r="B72" i="5"/>
  <c r="B70" i="5"/>
  <c r="D68" i="5"/>
  <c r="C68" i="5"/>
  <c r="K67" i="5"/>
  <c r="K68" i="5" s="1"/>
  <c r="D67" i="5"/>
  <c r="C67" i="5"/>
  <c r="D66" i="5"/>
  <c r="C66" i="5"/>
  <c r="G66" i="5" s="1"/>
  <c r="C65" i="5"/>
  <c r="G65" i="5" s="1"/>
  <c r="J64" i="5"/>
  <c r="J65" i="5" s="1"/>
  <c r="J67" i="5" s="1"/>
  <c r="C64" i="5"/>
  <c r="G64" i="5" s="1"/>
  <c r="D63" i="5"/>
  <c r="G63" i="5" s="1"/>
  <c r="D62" i="5"/>
  <c r="G62" i="5" s="1"/>
  <c r="G61" i="5"/>
  <c r="G58" i="5"/>
  <c r="G57" i="5"/>
  <c r="E56" i="5"/>
  <c r="D56" i="5"/>
  <c r="C56" i="5"/>
  <c r="F55" i="5"/>
  <c r="D55" i="5"/>
  <c r="C55" i="5"/>
  <c r="C54" i="5"/>
  <c r="E50" i="5"/>
  <c r="D50" i="5"/>
  <c r="C50" i="5"/>
  <c r="B50" i="5"/>
  <c r="E49" i="5"/>
  <c r="D49" i="5"/>
  <c r="C49" i="5"/>
  <c r="B49" i="5"/>
  <c r="E48" i="5"/>
  <c r="B48" i="5"/>
  <c r="D46" i="5"/>
  <c r="C46" i="5"/>
  <c r="B46" i="5"/>
  <c r="D45" i="5"/>
  <c r="C45" i="5"/>
  <c r="B45" i="5"/>
  <c r="Q42" i="5"/>
  <c r="L42" i="5"/>
  <c r="K42" i="5"/>
  <c r="B42" i="5"/>
  <c r="J39" i="5"/>
  <c r="B39" i="5"/>
  <c r="B37" i="5"/>
  <c r="B30" i="5"/>
  <c r="J29" i="5"/>
  <c r="D29" i="5"/>
  <c r="B29" i="5"/>
  <c r="B28" i="5"/>
  <c r="B27" i="5"/>
  <c r="B26" i="5"/>
  <c r="A26" i="5"/>
  <c r="E25" i="5"/>
  <c r="B25" i="5"/>
  <c r="B24" i="5"/>
  <c r="M19" i="5"/>
  <c r="M20" i="5" s="1"/>
  <c r="J19" i="5"/>
  <c r="G19" i="5"/>
  <c r="G18" i="5"/>
  <c r="G17" i="5"/>
  <c r="J43" i="5"/>
  <c r="K12" i="5"/>
  <c r="A4" i="5"/>
  <c r="A3" i="5"/>
  <c r="I68" i="4"/>
  <c r="K67" i="4"/>
  <c r="I65" i="4"/>
  <c r="D50" i="4"/>
  <c r="D43" i="4"/>
  <c r="D41" i="4"/>
  <c r="H41" i="4" s="1"/>
  <c r="H44" i="4"/>
  <c r="D32" i="4"/>
  <c r="D30" i="4"/>
  <c r="H30" i="4" s="1"/>
  <c r="D28" i="4"/>
  <c r="F25" i="4"/>
  <c r="D23" i="4"/>
  <c r="D21" i="4"/>
  <c r="H21" i="4" s="1"/>
  <c r="D19" i="4"/>
  <c r="D13" i="4"/>
  <c r="F43" i="4" s="1"/>
  <c r="D6" i="4"/>
  <c r="D22" i="4" s="1"/>
  <c r="H22" i="4" s="1"/>
  <c r="K3" i="4"/>
  <c r="I46" i="3"/>
  <c r="L44" i="3"/>
  <c r="L45" i="3" s="1"/>
  <c r="N41" i="3"/>
  <c r="I39" i="3"/>
  <c r="I38" i="3"/>
  <c r="I36" i="3"/>
  <c r="I35" i="3"/>
  <c r="I34" i="3"/>
  <c r="D31" i="3"/>
  <c r="F31" i="3" s="1"/>
  <c r="I31" i="3" s="1"/>
  <c r="B31" i="3"/>
  <c r="B28" i="3"/>
  <c r="B27" i="3"/>
  <c r="B26" i="3"/>
  <c r="B25" i="3"/>
  <c r="I19" i="3"/>
  <c r="I15" i="3"/>
  <c r="A10" i="3"/>
  <c r="F2" i="5"/>
  <c r="K2" i="7" s="1"/>
  <c r="A2" i="5"/>
  <c r="A2" i="7" s="1"/>
  <c r="C2" i="4"/>
  <c r="A55" i="4" s="1"/>
  <c r="A3" i="1"/>
  <c r="K4" i="6" l="1"/>
  <c r="C18" i="18"/>
  <c r="H15" i="12"/>
  <c r="F22" i="17"/>
  <c r="G22" i="17" s="1"/>
  <c r="J37" i="11"/>
  <c r="G15" i="15" s="1"/>
  <c r="J65" i="11"/>
  <c r="G43" i="15" s="1"/>
  <c r="J54" i="11"/>
  <c r="G32" i="15" s="1"/>
  <c r="J55" i="11"/>
  <c r="G33" i="15" s="1"/>
  <c r="J62" i="11"/>
  <c r="G40" i="15" s="1"/>
  <c r="J51" i="11"/>
  <c r="G29" i="15" s="1"/>
  <c r="J56" i="11"/>
  <c r="G34" i="15" s="1"/>
  <c r="J66" i="11"/>
  <c r="G44" i="15" s="1"/>
  <c r="J49" i="11"/>
  <c r="G27" i="15" s="1"/>
  <c r="J67" i="11"/>
  <c r="G45" i="15" s="1"/>
  <c r="J61" i="11"/>
  <c r="G39" i="15" s="1"/>
  <c r="J39" i="11"/>
  <c r="G17" i="15" s="1"/>
  <c r="J41" i="11"/>
  <c r="G19" i="15" s="1"/>
  <c r="J53" i="11"/>
  <c r="G31" i="15" s="1"/>
  <c r="J50" i="11"/>
  <c r="G28" i="15" s="1"/>
  <c r="J68" i="11"/>
  <c r="G46" i="15" s="1"/>
  <c r="J42" i="11"/>
  <c r="G20" i="15" s="1"/>
  <c r="J40" i="11"/>
  <c r="G18" i="15" s="1"/>
  <c r="J43" i="11"/>
  <c r="G21" i="15" s="1"/>
  <c r="J44" i="11"/>
  <c r="G22" i="15" s="1"/>
  <c r="J48" i="11"/>
  <c r="G26" i="15" s="1"/>
  <c r="J58" i="11"/>
  <c r="G36" i="15" s="1"/>
  <c r="J36" i="11"/>
  <c r="G14" i="15" s="1"/>
  <c r="J38" i="11"/>
  <c r="G16" i="15" s="1"/>
  <c r="J45" i="11"/>
  <c r="G23" i="15" s="1"/>
  <c r="J34" i="11"/>
  <c r="G12" i="15" s="1"/>
  <c r="J63" i="11"/>
  <c r="G41" i="15" s="1"/>
  <c r="J33" i="11"/>
  <c r="G11" i="15" s="1"/>
  <c r="J35" i="11"/>
  <c r="G13" i="15" s="1"/>
  <c r="J59" i="11"/>
  <c r="G37" i="15" s="1"/>
  <c r="J52" i="11"/>
  <c r="G30" i="15" s="1"/>
  <c r="J47" i="11"/>
  <c r="G25" i="15" s="1"/>
  <c r="J46" i="11"/>
  <c r="G24" i="15" s="1"/>
  <c r="J57" i="11"/>
  <c r="G35" i="15" s="1"/>
  <c r="J64" i="11"/>
  <c r="G42" i="15" s="1"/>
  <c r="J60" i="11"/>
  <c r="G38" i="15" s="1"/>
  <c r="X58" i="11"/>
  <c r="K22" i="6"/>
  <c r="L22" i="6"/>
  <c r="I112" i="5"/>
  <c r="F24" i="6"/>
  <c r="L24" i="6" s="1"/>
  <c r="L23" i="6"/>
  <c r="I111" i="5"/>
  <c r="K21" i="6"/>
  <c r="L21" i="6"/>
  <c r="E24" i="6"/>
  <c r="K24" i="6" s="1"/>
  <c r="K23" i="6"/>
  <c r="G68" i="5"/>
  <c r="G45" i="5"/>
  <c r="A27" i="5"/>
  <c r="A28" i="5" s="1"/>
  <c r="A29" i="5" s="1"/>
  <c r="A30" i="5" s="1"/>
  <c r="G56" i="5"/>
  <c r="G55" i="5"/>
  <c r="D26" i="3"/>
  <c r="F26" i="3" s="1"/>
  <c r="I26" i="3" s="1"/>
  <c r="E26" i="7"/>
  <c r="H26" i="7" s="1"/>
  <c r="I26" i="7" s="1"/>
  <c r="E13" i="5"/>
  <c r="J20" i="5" s="1"/>
  <c r="K8" i="12"/>
  <c r="E60" i="7"/>
  <c r="G20" i="5"/>
  <c r="F24" i="7"/>
  <c r="D50" i="7"/>
  <c r="D51" i="4"/>
  <c r="D53" i="4" s="1"/>
  <c r="C96" i="5"/>
  <c r="G96" i="5" s="1"/>
  <c r="D25" i="3" s="1"/>
  <c r="F25" i="3" s="1"/>
  <c r="I25" i="3" s="1"/>
  <c r="J47" i="7"/>
  <c r="K47" i="7" s="1"/>
  <c r="N29" i="7"/>
  <c r="N42" i="7"/>
  <c r="G49" i="5"/>
  <c r="X32" i="11"/>
  <c r="B10" i="20"/>
  <c r="D9" i="22"/>
  <c r="G29" i="11"/>
  <c r="R16" i="12"/>
  <c r="G16" i="12" s="1"/>
  <c r="G9" i="22"/>
  <c r="K9" i="22" s="1"/>
  <c r="R10" i="13"/>
  <c r="F15" i="11"/>
  <c r="A18" i="11"/>
  <c r="J7" i="12"/>
  <c r="K7" i="12" s="1"/>
  <c r="R13" i="13"/>
  <c r="D8" i="14"/>
  <c r="R16" i="13"/>
  <c r="E8" i="16"/>
  <c r="A1" i="5"/>
  <c r="A1" i="7" s="1"/>
  <c r="A1" i="10" s="1"/>
  <c r="A1" i="11" s="1"/>
  <c r="A1" i="12" s="1"/>
  <c r="T9" i="22"/>
  <c r="F8" i="12"/>
  <c r="R8" i="12" s="1"/>
  <c r="G8" i="12" s="1"/>
  <c r="F15" i="17" s="1"/>
  <c r="K10" i="13"/>
  <c r="H17" i="7"/>
  <c r="I17" i="7" s="1"/>
  <c r="N51" i="7"/>
  <c r="G67" i="5"/>
  <c r="H15" i="7"/>
  <c r="I15" i="7" s="1"/>
  <c r="J15" i="7" s="1"/>
  <c r="K15" i="7" s="1"/>
  <c r="H30" i="7"/>
  <c r="I30" i="7" s="1"/>
  <c r="J30" i="7" s="1"/>
  <c r="K30" i="7" s="1"/>
  <c r="O29" i="11"/>
  <c r="M32" i="11"/>
  <c r="L51" i="23"/>
  <c r="J10" i="15"/>
  <c r="B10" i="22"/>
  <c r="J48" i="7"/>
  <c r="K48" i="7" s="1"/>
  <c r="D10" i="22"/>
  <c r="G50" i="5"/>
  <c r="G46" i="5"/>
  <c r="N50" i="7"/>
  <c r="D9" i="13"/>
  <c r="H10" i="22"/>
  <c r="O27" i="11"/>
  <c r="N29" i="11" s="1"/>
  <c r="E9" i="13"/>
  <c r="N10" i="22"/>
  <c r="P10" i="22" s="1"/>
  <c r="U10" i="22" s="1"/>
  <c r="H16" i="7"/>
  <c r="I16" i="7" s="1"/>
  <c r="R9" i="13"/>
  <c r="E9" i="22"/>
  <c r="F9" i="22" s="1"/>
  <c r="T10" i="22"/>
  <c r="G73" i="5"/>
  <c r="E29" i="11"/>
  <c r="I9" i="22"/>
  <c r="B10" i="19"/>
  <c r="B9" i="14"/>
  <c r="H43" i="4"/>
  <c r="H32" i="4"/>
  <c r="G102" i="5"/>
  <c r="D27" i="3" s="1"/>
  <c r="F27" i="3" s="1"/>
  <c r="I27" i="3" s="1"/>
  <c r="H18" i="7"/>
  <c r="I18" i="7" s="1"/>
  <c r="G19" i="7"/>
  <c r="G20" i="7" s="1"/>
  <c r="G21" i="7" s="1"/>
  <c r="J46" i="7"/>
  <c r="K46" i="7" s="1"/>
  <c r="F23" i="4"/>
  <c r="H23" i="4" s="1"/>
  <c r="D24" i="4" s="1"/>
  <c r="J32" i="11"/>
  <c r="G10" i="15" s="1"/>
  <c r="G27" i="11"/>
  <c r="D6" i="24"/>
  <c r="E6" i="24" s="1"/>
  <c r="H6" i="24" s="1"/>
  <c r="D52" i="5"/>
  <c r="D53" i="5" s="1"/>
  <c r="B5" i="6"/>
  <c r="C43" i="7"/>
  <c r="D31" i="4"/>
  <c r="H31" i="4" s="1"/>
  <c r="D42" i="4"/>
  <c r="H42" i="4" s="1"/>
  <c r="P29" i="11"/>
  <c r="L8" i="17" s="1"/>
  <c r="L9" i="17" s="1"/>
  <c r="A23" i="11"/>
  <c r="G15" i="5"/>
  <c r="E27" i="7"/>
  <c r="R11" i="12"/>
  <c r="G11" i="12" s="1"/>
  <c r="A11" i="3"/>
  <c r="A12" i="3" s="1"/>
  <c r="D16" i="5"/>
  <c r="R13" i="12"/>
  <c r="G13" i="12" s="1"/>
  <c r="F32" i="4"/>
  <c r="A40" i="9"/>
  <c r="A44" i="9" s="1"/>
  <c r="A45" i="9" s="1"/>
  <c r="A46" i="9" s="1"/>
  <c r="A47" i="9" s="1"/>
  <c r="A48" i="9" s="1"/>
  <c r="A49" i="9" s="1"/>
  <c r="A51" i="9" s="1"/>
  <c r="A54" i="9" s="1"/>
  <c r="A56" i="9" s="1"/>
  <c r="A58" i="9" s="1"/>
  <c r="A62" i="9" s="1"/>
  <c r="A64" i="9" s="1"/>
  <c r="A37" i="9"/>
  <c r="R12" i="12"/>
  <c r="G12" i="12" s="1"/>
  <c r="F16" i="11"/>
  <c r="F7" i="24"/>
  <c r="G7" i="24" s="1"/>
  <c r="D7" i="24"/>
  <c r="E7" i="24" s="1"/>
  <c r="C7" i="24" s="1"/>
  <c r="R17" i="12"/>
  <c r="G17" i="12" s="1"/>
  <c r="D27" i="7"/>
  <c r="F27" i="7" s="1"/>
  <c r="E7" i="12"/>
  <c r="E10" i="13"/>
  <c r="B8" i="12"/>
  <c r="R14" i="12"/>
  <c r="G14" i="12" s="1"/>
  <c r="R11" i="13"/>
  <c r="R10" i="12"/>
  <c r="G10" i="12" s="1"/>
  <c r="R18" i="12"/>
  <c r="G18" i="12" s="1"/>
  <c r="R14" i="13"/>
  <c r="R12" i="13"/>
  <c r="D10" i="13"/>
  <c r="M10" i="13" s="1"/>
  <c r="B49" i="14"/>
  <c r="E9" i="16"/>
  <c r="K10" i="15"/>
  <c r="B47" i="14"/>
  <c r="B48" i="14"/>
  <c r="M15" i="17"/>
  <c r="H15" i="17"/>
  <c r="H14" i="17"/>
  <c r="N9" i="22"/>
  <c r="E10" i="22"/>
  <c r="F10" i="22" s="1"/>
  <c r="H9" i="22"/>
  <c r="G10" i="22"/>
  <c r="B8" i="23"/>
  <c r="I10" i="22"/>
  <c r="E7" i="23"/>
  <c r="F7" i="23" s="1"/>
  <c r="D7" i="23"/>
  <c r="E8" i="23"/>
  <c r="F8" i="23" s="1"/>
  <c r="D8" i="23"/>
  <c r="D67" i="4" l="1"/>
  <c r="F67" i="4" s="1"/>
  <c r="I67" i="4" s="1"/>
  <c r="J29" i="4"/>
  <c r="J30" i="4" s="1"/>
  <c r="C5" i="6"/>
  <c r="H16" i="12"/>
  <c r="P16" i="12" s="1"/>
  <c r="E18" i="20" s="1"/>
  <c r="C19" i="18"/>
  <c r="H10" i="12"/>
  <c r="C13" i="18"/>
  <c r="C16" i="18"/>
  <c r="H13" i="12"/>
  <c r="P13" i="12" s="1"/>
  <c r="E15" i="20" s="1"/>
  <c r="H18" i="12"/>
  <c r="P18" i="12" s="1"/>
  <c r="E20" i="20" s="1"/>
  <c r="C21" i="18"/>
  <c r="H12" i="12"/>
  <c r="C15" i="18"/>
  <c r="C17" i="18"/>
  <c r="H14" i="12"/>
  <c r="C14" i="18"/>
  <c r="H11" i="12"/>
  <c r="P11" i="12" s="1"/>
  <c r="E13" i="20" s="1"/>
  <c r="D18" i="18"/>
  <c r="D17" i="19" s="1"/>
  <c r="I15" i="12"/>
  <c r="E18" i="18" s="1"/>
  <c r="L15" i="12"/>
  <c r="C20" i="18"/>
  <c r="H17" i="12"/>
  <c r="P17" i="12" s="1"/>
  <c r="E19" i="20" s="1"/>
  <c r="F18" i="18"/>
  <c r="W20" i="22"/>
  <c r="Y20" i="22" s="1"/>
  <c r="W32" i="22"/>
  <c r="Y32" i="22" s="1"/>
  <c r="W23" i="22"/>
  <c r="Y23" i="22" s="1"/>
  <c r="W45" i="22"/>
  <c r="Y45" i="22" s="1"/>
  <c r="W26" i="22"/>
  <c r="Y26" i="22" s="1"/>
  <c r="W38" i="22"/>
  <c r="Y38" i="22" s="1"/>
  <c r="W25" i="22"/>
  <c r="Y25" i="22" s="1"/>
  <c r="W12" i="22"/>
  <c r="Y12" i="22" s="1"/>
  <c r="W22" i="22"/>
  <c r="Y22" i="22" s="1"/>
  <c r="W42" i="22"/>
  <c r="Y42" i="22" s="1"/>
  <c r="W43" i="22"/>
  <c r="Y43" i="22" s="1"/>
  <c r="W11" i="22"/>
  <c r="Y11" i="22" s="1"/>
  <c r="W14" i="22"/>
  <c r="Y14" i="22" s="1"/>
  <c r="W46" i="22"/>
  <c r="Y46" i="22" s="1"/>
  <c r="W21" i="22"/>
  <c r="Y21" i="22" s="1"/>
  <c r="W28" i="22"/>
  <c r="Y28" i="22" s="1"/>
  <c r="W39" i="22"/>
  <c r="Y39" i="22" s="1"/>
  <c r="W24" i="22"/>
  <c r="Y24" i="22" s="1"/>
  <c r="W15" i="22"/>
  <c r="Y15" i="22" s="1"/>
  <c r="W30" i="22"/>
  <c r="Y30" i="22" s="1"/>
  <c r="W35" i="22"/>
  <c r="Y35" i="22" s="1"/>
  <c r="W40" i="22"/>
  <c r="Y40" i="22" s="1"/>
  <c r="W41" i="22"/>
  <c r="Y41" i="22" s="1"/>
  <c r="W44" i="22"/>
  <c r="Y44" i="22" s="1"/>
  <c r="W16" i="22"/>
  <c r="Y16" i="22" s="1"/>
  <c r="W36" i="22"/>
  <c r="Y36" i="22" s="1"/>
  <c r="W33" i="22"/>
  <c r="Y33" i="22" s="1"/>
  <c r="W29" i="22"/>
  <c r="Y29" i="22" s="1"/>
  <c r="W18" i="22"/>
  <c r="Y18" i="22" s="1"/>
  <c r="W31" i="22"/>
  <c r="Y31" i="22" s="1"/>
  <c r="W17" i="22"/>
  <c r="Y17" i="22" s="1"/>
  <c r="W19" i="22"/>
  <c r="Y19" i="22" s="1"/>
  <c r="W27" i="22"/>
  <c r="Y27" i="22" s="1"/>
  <c r="W37" i="22"/>
  <c r="Y37" i="22" s="1"/>
  <c r="W34" i="22"/>
  <c r="Y34" i="22" s="1"/>
  <c r="W13" i="22"/>
  <c r="Y13" i="22" s="1"/>
  <c r="F24" i="17"/>
  <c r="G24" i="17" s="1"/>
  <c r="F23" i="17"/>
  <c r="G23" i="17" s="1"/>
  <c r="F17" i="17"/>
  <c r="G17" i="17" s="1"/>
  <c r="F18" i="17"/>
  <c r="G18" i="17" s="1"/>
  <c r="F21" i="17"/>
  <c r="G21" i="17" s="1"/>
  <c r="F19" i="17"/>
  <c r="G19" i="17" s="1"/>
  <c r="F20" i="17"/>
  <c r="G20" i="17" s="1"/>
  <c r="F25" i="17"/>
  <c r="G25" i="17" s="1"/>
  <c r="F46" i="11"/>
  <c r="O46" i="11" s="1"/>
  <c r="F51" i="11"/>
  <c r="O51" i="11" s="1"/>
  <c r="E57" i="11"/>
  <c r="F57" i="11"/>
  <c r="O57" i="11" s="1"/>
  <c r="F42" i="11"/>
  <c r="O42" i="11" s="1"/>
  <c r="E53" i="11"/>
  <c r="H31" i="15" s="1"/>
  <c r="I37" i="11"/>
  <c r="F15" i="15" s="1"/>
  <c r="E49" i="11"/>
  <c r="H27" i="15" s="1"/>
  <c r="F34" i="11"/>
  <c r="O34" i="11" s="1"/>
  <c r="E39" i="11"/>
  <c r="H17" i="15" s="1"/>
  <c r="E46" i="11"/>
  <c r="H24" i="15" s="1"/>
  <c r="E51" i="11"/>
  <c r="H29" i="15" s="1"/>
  <c r="F48" i="11"/>
  <c r="O48" i="11" s="1"/>
  <c r="F59" i="11"/>
  <c r="O59" i="11" s="1"/>
  <c r="F65" i="11"/>
  <c r="O65" i="11" s="1"/>
  <c r="E60" i="11"/>
  <c r="H38" i="15" s="1"/>
  <c r="E66" i="11"/>
  <c r="H44" i="15" s="1"/>
  <c r="E48" i="11"/>
  <c r="H26" i="15" s="1"/>
  <c r="E59" i="11"/>
  <c r="H37" i="15" s="1"/>
  <c r="E34" i="11"/>
  <c r="H12" i="15" s="1"/>
  <c r="E44" i="11"/>
  <c r="E54" i="11"/>
  <c r="E33" i="11"/>
  <c r="H11" i="15" s="1"/>
  <c r="F61" i="11"/>
  <c r="O61" i="11" s="1"/>
  <c r="E67" i="11"/>
  <c r="I61" i="11"/>
  <c r="F39" i="15" s="1"/>
  <c r="F68" i="11"/>
  <c r="O68" i="11" s="1"/>
  <c r="I62" i="11"/>
  <c r="F40" i="15" s="1"/>
  <c r="E36" i="11"/>
  <c r="H14" i="15" s="1"/>
  <c r="I59" i="11"/>
  <c r="F37" i="15" s="1"/>
  <c r="E61" i="11"/>
  <c r="H39" i="15" s="1"/>
  <c r="E37" i="11"/>
  <c r="H15" i="15" s="1"/>
  <c r="I35" i="11"/>
  <c r="F13" i="15" s="1"/>
  <c r="F36" i="11"/>
  <c r="O36" i="11" s="1"/>
  <c r="I50" i="11"/>
  <c r="F28" i="15" s="1"/>
  <c r="I52" i="11"/>
  <c r="F30" i="15" s="1"/>
  <c r="E52" i="11"/>
  <c r="H30" i="15" s="1"/>
  <c r="F49" i="11"/>
  <c r="O49" i="11" s="1"/>
  <c r="E68" i="11"/>
  <c r="H46" i="15" s="1"/>
  <c r="F60" i="11"/>
  <c r="O60" i="11" s="1"/>
  <c r="F37" i="11"/>
  <c r="O37" i="11" s="1"/>
  <c r="I47" i="11"/>
  <c r="F25" i="15" s="1"/>
  <c r="F33" i="11"/>
  <c r="O33" i="11" s="1"/>
  <c r="I57" i="11"/>
  <c r="F35" i="15" s="1"/>
  <c r="F50" i="11"/>
  <c r="O50" i="11" s="1"/>
  <c r="F44" i="11"/>
  <c r="O44" i="11" s="1"/>
  <c r="I56" i="11"/>
  <c r="F34" i="15" s="1"/>
  <c r="I66" i="11"/>
  <c r="F44" i="15" s="1"/>
  <c r="E64" i="11"/>
  <c r="H42" i="15" s="1"/>
  <c r="I49" i="11"/>
  <c r="F27" i="15" s="1"/>
  <c r="F56" i="11"/>
  <c r="O56" i="11" s="1"/>
  <c r="F62" i="11"/>
  <c r="O62" i="11" s="1"/>
  <c r="I38" i="11"/>
  <c r="F16" i="15" s="1"/>
  <c r="E63" i="11"/>
  <c r="H41" i="15" s="1"/>
  <c r="E45" i="11"/>
  <c r="H23" i="15" s="1"/>
  <c r="I33" i="11"/>
  <c r="F11" i="15" s="1"/>
  <c r="F38" i="11"/>
  <c r="O38" i="11" s="1"/>
  <c r="I42" i="11"/>
  <c r="F20" i="15" s="1"/>
  <c r="I40" i="11"/>
  <c r="F18" i="15" s="1"/>
  <c r="E43" i="11"/>
  <c r="H21" i="15" s="1"/>
  <c r="I67" i="11"/>
  <c r="F45" i="15" s="1"/>
  <c r="F64" i="11"/>
  <c r="O64" i="11" s="1"/>
  <c r="F45" i="11"/>
  <c r="O45" i="11" s="1"/>
  <c r="I68" i="11"/>
  <c r="F46" i="15" s="1"/>
  <c r="I36" i="11"/>
  <c r="F14" i="15" s="1"/>
  <c r="E50" i="11"/>
  <c r="H28" i="15" s="1"/>
  <c r="F27" i="16" s="1"/>
  <c r="I55" i="11"/>
  <c r="F33" i="15" s="1"/>
  <c r="I39" i="11"/>
  <c r="F17" i="15" s="1"/>
  <c r="F43" i="11"/>
  <c r="O43" i="11" s="1"/>
  <c r="I58" i="11"/>
  <c r="F36" i="15" s="1"/>
  <c r="F63" i="11"/>
  <c r="O63" i="11" s="1"/>
  <c r="I51" i="11"/>
  <c r="F29" i="15" s="1"/>
  <c r="I63" i="11"/>
  <c r="F41" i="15" s="1"/>
  <c r="I45" i="11"/>
  <c r="F23" i="15" s="1"/>
  <c r="F35" i="11"/>
  <c r="O35" i="11" s="1"/>
  <c r="F58" i="11"/>
  <c r="O58" i="11" s="1"/>
  <c r="I43" i="11"/>
  <c r="F21" i="15" s="1"/>
  <c r="E41" i="11"/>
  <c r="H19" i="15" s="1"/>
  <c r="E62" i="11"/>
  <c r="H40" i="15" s="1"/>
  <c r="F39" i="16" s="1"/>
  <c r="I44" i="11"/>
  <c r="F22" i="15" s="1"/>
  <c r="E58" i="11"/>
  <c r="E35" i="11"/>
  <c r="E47" i="11"/>
  <c r="H25" i="15" s="1"/>
  <c r="F66" i="11"/>
  <c r="O66" i="11" s="1"/>
  <c r="F39" i="11"/>
  <c r="O39" i="11" s="1"/>
  <c r="E56" i="11"/>
  <c r="H34" i="15" s="1"/>
  <c r="F40" i="11"/>
  <c r="O40" i="11" s="1"/>
  <c r="I34" i="11"/>
  <c r="F12" i="15" s="1"/>
  <c r="E42" i="11"/>
  <c r="F67" i="11"/>
  <c r="O67" i="11" s="1"/>
  <c r="E40" i="11"/>
  <c r="H18" i="15" s="1"/>
  <c r="E65" i="11"/>
  <c r="H43" i="15" s="1"/>
  <c r="F47" i="11"/>
  <c r="O47" i="11" s="1"/>
  <c r="F52" i="11"/>
  <c r="O52" i="11" s="1"/>
  <c r="I48" i="11"/>
  <c r="F26" i="15" s="1"/>
  <c r="E55" i="11"/>
  <c r="I41" i="11"/>
  <c r="F19" i="15" s="1"/>
  <c r="I64" i="11"/>
  <c r="F42" i="15" s="1"/>
  <c r="E38" i="11"/>
  <c r="H16" i="15" s="1"/>
  <c r="F53" i="11"/>
  <c r="O53" i="11" s="1"/>
  <c r="I53" i="11"/>
  <c r="F31" i="15" s="1"/>
  <c r="I54" i="11"/>
  <c r="F32" i="15" s="1"/>
  <c r="F54" i="11"/>
  <c r="O54" i="11" s="1"/>
  <c r="I46" i="11"/>
  <c r="F24" i="15" s="1"/>
  <c r="I65" i="11"/>
  <c r="F43" i="15" s="1"/>
  <c r="F55" i="11"/>
  <c r="O55" i="11" s="1"/>
  <c r="F41" i="11"/>
  <c r="O41" i="11" s="1"/>
  <c r="I60" i="11"/>
  <c r="F38" i="15" s="1"/>
  <c r="L6" i="17"/>
  <c r="N62" i="11"/>
  <c r="N55" i="11"/>
  <c r="N51" i="11"/>
  <c r="N49" i="11"/>
  <c r="N65" i="11"/>
  <c r="N33" i="11"/>
  <c r="N34" i="11"/>
  <c r="N52" i="11"/>
  <c r="N45" i="11"/>
  <c r="N35" i="11"/>
  <c r="N54" i="11"/>
  <c r="N57" i="11"/>
  <c r="N58" i="11"/>
  <c r="N60" i="11"/>
  <c r="N56" i="11"/>
  <c r="N43" i="11"/>
  <c r="N40" i="11"/>
  <c r="N59" i="11"/>
  <c r="N37" i="11"/>
  <c r="N67" i="11"/>
  <c r="N41" i="11"/>
  <c r="N42" i="11"/>
  <c r="N64" i="11"/>
  <c r="N36" i="11"/>
  <c r="N46" i="11"/>
  <c r="U46" i="11" s="1"/>
  <c r="N66" i="11"/>
  <c r="U66" i="11" s="1"/>
  <c r="N47" i="11"/>
  <c r="U47" i="11" s="1"/>
  <c r="N50" i="11"/>
  <c r="N68" i="11"/>
  <c r="N39" i="11"/>
  <c r="N38" i="11"/>
  <c r="N44" i="11"/>
  <c r="N63" i="11"/>
  <c r="N61" i="11"/>
  <c r="N53" i="11"/>
  <c r="N48" i="11"/>
  <c r="K48" i="11"/>
  <c r="H37" i="11"/>
  <c r="H33" i="11"/>
  <c r="H65" i="11"/>
  <c r="H61" i="11"/>
  <c r="H36" i="11"/>
  <c r="H53" i="11"/>
  <c r="K37" i="11"/>
  <c r="H40" i="11"/>
  <c r="K60" i="11"/>
  <c r="H67" i="11"/>
  <c r="K41" i="11"/>
  <c r="K55" i="11"/>
  <c r="K43" i="11"/>
  <c r="H35" i="11"/>
  <c r="K47" i="11"/>
  <c r="H54" i="11"/>
  <c r="H60" i="11"/>
  <c r="H63" i="11"/>
  <c r="K58" i="11"/>
  <c r="H42" i="11"/>
  <c r="K51" i="11"/>
  <c r="K66" i="11"/>
  <c r="K56" i="11"/>
  <c r="K57" i="11"/>
  <c r="K50" i="11"/>
  <c r="H47" i="11"/>
  <c r="H34" i="11"/>
  <c r="K61" i="11"/>
  <c r="H43" i="11"/>
  <c r="K46" i="11"/>
  <c r="H46" i="11"/>
  <c r="H66" i="11"/>
  <c r="K64" i="11"/>
  <c r="K63" i="11"/>
  <c r="H55" i="11"/>
  <c r="K45" i="11"/>
  <c r="K42" i="11"/>
  <c r="K40" i="11"/>
  <c r="H57" i="11"/>
  <c r="H59" i="11"/>
  <c r="K36" i="11"/>
  <c r="H49" i="11"/>
  <c r="H38" i="11"/>
  <c r="H41" i="11"/>
  <c r="K39" i="11"/>
  <c r="H48" i="11"/>
  <c r="K59" i="11"/>
  <c r="K33" i="11"/>
  <c r="K52" i="11"/>
  <c r="H68" i="11"/>
  <c r="K38" i="11"/>
  <c r="H51" i="11"/>
  <c r="K53" i="11"/>
  <c r="H39" i="11"/>
  <c r="K68" i="11"/>
  <c r="H58" i="11"/>
  <c r="K34" i="11"/>
  <c r="H52" i="11"/>
  <c r="H50" i="11"/>
  <c r="K65" i="11"/>
  <c r="H64" i="11"/>
  <c r="H56" i="11"/>
  <c r="H44" i="11"/>
  <c r="H45" i="11"/>
  <c r="K62" i="11"/>
  <c r="K67" i="11"/>
  <c r="H62" i="11"/>
  <c r="K49" i="11"/>
  <c r="K35" i="11"/>
  <c r="K44" i="11"/>
  <c r="K54" i="11"/>
  <c r="X59" i="11"/>
  <c r="I32" i="11"/>
  <c r="F10" i="15" s="1"/>
  <c r="D6" i="17"/>
  <c r="L7" i="17"/>
  <c r="D7" i="17"/>
  <c r="A1" i="14"/>
  <c r="A1" i="13"/>
  <c r="A1" i="15" s="1"/>
  <c r="A1" i="16" s="1"/>
  <c r="A1" i="17" s="1"/>
  <c r="A1" i="18" s="1"/>
  <c r="A1" i="19" s="1"/>
  <c r="A1" i="20" s="1"/>
  <c r="A1" i="21" s="1"/>
  <c r="A1" i="22" s="1"/>
  <c r="A1" i="23" s="1"/>
  <c r="A1" i="24" s="1"/>
  <c r="P9" i="22"/>
  <c r="U9" i="22" s="1"/>
  <c r="V9" i="22" s="1"/>
  <c r="H7" i="23" s="1"/>
  <c r="H20" i="7"/>
  <c r="I20" i="7" s="1"/>
  <c r="G7" i="23"/>
  <c r="G8" i="23"/>
  <c r="L9" i="22"/>
  <c r="Q15" i="12"/>
  <c r="R9" i="22"/>
  <c r="J9" i="22"/>
  <c r="Q8" i="12"/>
  <c r="H8" i="12"/>
  <c r="D11" i="18" s="1"/>
  <c r="D10" i="19" s="1"/>
  <c r="N32" i="11"/>
  <c r="F32" i="11"/>
  <c r="O32" i="11" s="1"/>
  <c r="H32" i="11"/>
  <c r="H27" i="11"/>
  <c r="F50" i="7"/>
  <c r="H50" i="7" s="1"/>
  <c r="I50" i="7" s="1"/>
  <c r="J50" i="7" s="1"/>
  <c r="K50" i="7" s="1"/>
  <c r="D51" i="7"/>
  <c r="H45" i="4"/>
  <c r="D66" i="4" s="1"/>
  <c r="F66" i="4" s="1"/>
  <c r="I66" i="4" s="1"/>
  <c r="H19" i="7"/>
  <c r="I19" i="7" s="1"/>
  <c r="J19" i="7" s="1"/>
  <c r="G11" i="5"/>
  <c r="G22" i="7"/>
  <c r="G24" i="7" s="1"/>
  <c r="G23" i="7"/>
  <c r="H23" i="7" s="1"/>
  <c r="I23" i="7" s="1"/>
  <c r="G13" i="5"/>
  <c r="J17" i="7"/>
  <c r="J16" i="7"/>
  <c r="K16" i="7" s="1"/>
  <c r="J18" i="7"/>
  <c r="K18" i="7" s="1"/>
  <c r="C11" i="18"/>
  <c r="I9" i="15"/>
  <c r="L9" i="15" s="1"/>
  <c r="J10" i="22"/>
  <c r="G15" i="17"/>
  <c r="E32" i="11"/>
  <c r="H10" i="15" s="1"/>
  <c r="H9" i="13"/>
  <c r="I9" i="13" s="1"/>
  <c r="J9" i="13" s="1"/>
  <c r="K32" i="11"/>
  <c r="R9" i="12"/>
  <c r="G9" i="12" s="1"/>
  <c r="H7" i="24"/>
  <c r="X9" i="22"/>
  <c r="N53" i="7"/>
  <c r="Q9" i="22"/>
  <c r="W9" i="22"/>
  <c r="R19" i="12"/>
  <c r="G19" i="12" s="1"/>
  <c r="F27" i="11"/>
  <c r="H21" i="7"/>
  <c r="I21" i="7" s="1"/>
  <c r="M9" i="13"/>
  <c r="P27" i="11"/>
  <c r="D8" i="17" s="1"/>
  <c r="D33" i="4"/>
  <c r="F35" i="4" s="1"/>
  <c r="H35" i="4" s="1"/>
  <c r="F36" i="4" s="1"/>
  <c r="V10" i="22"/>
  <c r="H8" i="23" s="1"/>
  <c r="Q13" i="12"/>
  <c r="Q11" i="12"/>
  <c r="Q14" i="12"/>
  <c r="D25" i="4"/>
  <c r="H25" i="4" s="1"/>
  <c r="H24" i="4"/>
  <c r="L10" i="22"/>
  <c r="K10" i="22"/>
  <c r="R10" i="22"/>
  <c r="Q10" i="22"/>
  <c r="X10" i="22"/>
  <c r="W10" i="22"/>
  <c r="Q18" i="12"/>
  <c r="Q12" i="12"/>
  <c r="H10" i="13"/>
  <c r="I10" i="13" s="1"/>
  <c r="J11" i="13" s="1"/>
  <c r="L11" i="13" s="1"/>
  <c r="Q10" i="12"/>
  <c r="A13" i="3"/>
  <c r="F7" i="12"/>
  <c r="R7" i="12" s="1"/>
  <c r="G7" i="12" s="1"/>
  <c r="F17" i="11"/>
  <c r="P15" i="12"/>
  <c r="E17" i="20" s="1"/>
  <c r="H27" i="7"/>
  <c r="I27" i="7" s="1"/>
  <c r="J27" i="7" s="1"/>
  <c r="K27" i="7" s="1"/>
  <c r="I33" i="3"/>
  <c r="G16" i="5"/>
  <c r="E29" i="5"/>
  <c r="D25" i="5"/>
  <c r="Q27" i="11"/>
  <c r="F18" i="11"/>
  <c r="C6" i="24"/>
  <c r="Q17" i="12"/>
  <c r="N56" i="7"/>
  <c r="N43" i="7"/>
  <c r="F43" i="7"/>
  <c r="H43" i="7" s="1"/>
  <c r="I43" i="7" s="1"/>
  <c r="J43" i="7" s="1"/>
  <c r="K43" i="7" s="1"/>
  <c r="A37" i="5"/>
  <c r="D54" i="5"/>
  <c r="G54" i="5" s="1"/>
  <c r="D88" i="5"/>
  <c r="G88" i="5" s="1"/>
  <c r="G53" i="5"/>
  <c r="U42" i="11" l="1"/>
  <c r="U53" i="11"/>
  <c r="U35" i="11"/>
  <c r="U60" i="11"/>
  <c r="U38" i="11"/>
  <c r="U59" i="11"/>
  <c r="U57" i="11"/>
  <c r="U49" i="11"/>
  <c r="V49" i="11" s="1"/>
  <c r="U39" i="11"/>
  <c r="U58" i="11"/>
  <c r="U34" i="11"/>
  <c r="U50" i="11"/>
  <c r="U67" i="11"/>
  <c r="U48" i="11"/>
  <c r="U65" i="11"/>
  <c r="F42" i="16"/>
  <c r="I44" i="15"/>
  <c r="L44" i="15" s="1"/>
  <c r="L57" i="11"/>
  <c r="H35" i="15"/>
  <c r="I35" i="15" s="1"/>
  <c r="L35" i="15" s="1"/>
  <c r="F17" i="16"/>
  <c r="I19" i="15"/>
  <c r="L19" i="15" s="1"/>
  <c r="F13" i="16"/>
  <c r="I15" i="15"/>
  <c r="L15" i="15" s="1"/>
  <c r="F24" i="16"/>
  <c r="I26" i="15"/>
  <c r="L26" i="15" s="1"/>
  <c r="L35" i="11"/>
  <c r="H13" i="15"/>
  <c r="I13" i="15" s="1"/>
  <c r="L13" i="15" s="1"/>
  <c r="U45" i="11"/>
  <c r="L54" i="11"/>
  <c r="H32" i="15"/>
  <c r="I32" i="15" s="1"/>
  <c r="L32" i="15" s="1"/>
  <c r="L58" i="11"/>
  <c r="H36" i="15"/>
  <c r="L44" i="11"/>
  <c r="H22" i="15"/>
  <c r="I22" i="15" s="1"/>
  <c r="L22" i="15" s="1"/>
  <c r="F45" i="16"/>
  <c r="F26" i="16"/>
  <c r="I28" i="15"/>
  <c r="L28" i="15" s="1"/>
  <c r="F25" i="16"/>
  <c r="I27" i="15"/>
  <c r="L27" i="15" s="1"/>
  <c r="C28" i="20"/>
  <c r="D28" i="20" s="1"/>
  <c r="F28" i="20" s="1"/>
  <c r="H27" i="16"/>
  <c r="I27" i="16" s="1"/>
  <c r="F10" i="16"/>
  <c r="I12" i="15"/>
  <c r="L12" i="15" s="1"/>
  <c r="I17" i="15"/>
  <c r="L17" i="15" s="1"/>
  <c r="F15" i="16"/>
  <c r="L42" i="11"/>
  <c r="V42" i="11" s="1"/>
  <c r="H20" i="15"/>
  <c r="I20" i="15" s="1"/>
  <c r="L20" i="15" s="1"/>
  <c r="L55" i="11"/>
  <c r="H33" i="15"/>
  <c r="F11" i="16"/>
  <c r="I29" i="15"/>
  <c r="L29" i="15" s="1"/>
  <c r="F28" i="16"/>
  <c r="I30" i="15"/>
  <c r="L30" i="15" s="1"/>
  <c r="C40" i="20"/>
  <c r="H39" i="16"/>
  <c r="I39" i="16" s="1"/>
  <c r="I43" i="15"/>
  <c r="L43" i="15" s="1"/>
  <c r="F41" i="16"/>
  <c r="L67" i="11"/>
  <c r="H45" i="15"/>
  <c r="I45" i="15" s="1"/>
  <c r="L45" i="15" s="1"/>
  <c r="I25" i="15"/>
  <c r="L25" i="15" s="1"/>
  <c r="F23" i="16"/>
  <c r="F20" i="16"/>
  <c r="F29" i="16"/>
  <c r="I31" i="15"/>
  <c r="L31" i="15" s="1"/>
  <c r="I38" i="15"/>
  <c r="L38" i="15" s="1"/>
  <c r="F36" i="16"/>
  <c r="F30" i="16"/>
  <c r="F33" i="16"/>
  <c r="I24" i="15"/>
  <c r="L24" i="15" s="1"/>
  <c r="F22" i="16"/>
  <c r="F14" i="16"/>
  <c r="I16" i="15"/>
  <c r="L16" i="15" s="1"/>
  <c r="F43" i="16"/>
  <c r="F16" i="16"/>
  <c r="I18" i="15"/>
  <c r="L18" i="15" s="1"/>
  <c r="F18" i="16"/>
  <c r="I41" i="15"/>
  <c r="L41" i="15" s="1"/>
  <c r="F40" i="16"/>
  <c r="I42" i="15"/>
  <c r="L42" i="15" s="1"/>
  <c r="I40" i="15"/>
  <c r="L40" i="15" s="1"/>
  <c r="F38" i="16"/>
  <c r="F37" i="16"/>
  <c r="I39" i="15"/>
  <c r="L39" i="15" s="1"/>
  <c r="H9" i="12"/>
  <c r="C12" i="18"/>
  <c r="K18" i="18"/>
  <c r="D17" i="18"/>
  <c r="D16" i="19" s="1"/>
  <c r="I14" i="12"/>
  <c r="E17" i="18" s="1"/>
  <c r="L14" i="12"/>
  <c r="M15" i="12" s="1"/>
  <c r="N15" i="12" s="1"/>
  <c r="I18" i="12"/>
  <c r="E21" i="18" s="1"/>
  <c r="D21" i="18"/>
  <c r="D20" i="19" s="1"/>
  <c r="L18" i="12"/>
  <c r="D16" i="18"/>
  <c r="D15" i="19" s="1"/>
  <c r="L13" i="12"/>
  <c r="I13" i="12"/>
  <c r="E16" i="18" s="1"/>
  <c r="E17" i="19"/>
  <c r="F17" i="19"/>
  <c r="L10" i="12"/>
  <c r="I10" i="12"/>
  <c r="E13" i="18" s="1"/>
  <c r="D13" i="18"/>
  <c r="D12" i="19" s="1"/>
  <c r="I12" i="12"/>
  <c r="E15" i="18" s="1"/>
  <c r="D15" i="18"/>
  <c r="D14" i="19" s="1"/>
  <c r="L12" i="12"/>
  <c r="I17" i="12"/>
  <c r="E20" i="18" s="1"/>
  <c r="D20" i="18"/>
  <c r="D19" i="19" s="1"/>
  <c r="L17" i="12"/>
  <c r="H19" i="12"/>
  <c r="C22" i="18"/>
  <c r="I11" i="12"/>
  <c r="E14" i="18" s="1"/>
  <c r="D14" i="18"/>
  <c r="D13" i="19" s="1"/>
  <c r="L11" i="12"/>
  <c r="P12" i="12"/>
  <c r="E14" i="20" s="1"/>
  <c r="L16" i="12"/>
  <c r="D19" i="18"/>
  <c r="D18" i="19" s="1"/>
  <c r="I16" i="12"/>
  <c r="E19" i="18" s="1"/>
  <c r="D26" i="4"/>
  <c r="H26" i="4"/>
  <c r="F26" i="17"/>
  <c r="G26" i="17" s="1"/>
  <c r="P10" i="12"/>
  <c r="E12" i="20" s="1"/>
  <c r="F16" i="17"/>
  <c r="G16" i="17" s="1"/>
  <c r="F9" i="16"/>
  <c r="I11" i="15"/>
  <c r="L11" i="15" s="1"/>
  <c r="Q16" i="12"/>
  <c r="L45" i="11"/>
  <c r="L60" i="11"/>
  <c r="V60" i="11" s="1"/>
  <c r="L34" i="11"/>
  <c r="L66" i="11"/>
  <c r="V66" i="11" s="1"/>
  <c r="U37" i="11"/>
  <c r="L41" i="11"/>
  <c r="L61" i="11"/>
  <c r="L43" i="11"/>
  <c r="L49" i="11"/>
  <c r="L51" i="11"/>
  <c r="L40" i="11"/>
  <c r="L52" i="11"/>
  <c r="U63" i="11"/>
  <c r="U43" i="11"/>
  <c r="L50" i="11"/>
  <c r="L59" i="11"/>
  <c r="U68" i="11"/>
  <c r="L37" i="11"/>
  <c r="L63" i="11"/>
  <c r="L68" i="11"/>
  <c r="U54" i="11"/>
  <c r="U61" i="11"/>
  <c r="V35" i="11"/>
  <c r="U41" i="11"/>
  <c r="L36" i="11"/>
  <c r="L46" i="11"/>
  <c r="V46" i="11" s="1"/>
  <c r="U36" i="11"/>
  <c r="U52" i="11"/>
  <c r="U51" i="11"/>
  <c r="U55" i="11"/>
  <c r="L38" i="11"/>
  <c r="V38" i="11" s="1"/>
  <c r="L47" i="11"/>
  <c r="V47" i="11" s="1"/>
  <c r="L53" i="11"/>
  <c r="L48" i="11"/>
  <c r="V48" i="11" s="1"/>
  <c r="L33" i="11"/>
  <c r="L62" i="11"/>
  <c r="L64" i="11"/>
  <c r="U33" i="11"/>
  <c r="L56" i="11"/>
  <c r="V56" i="11" s="1"/>
  <c r="L39" i="11"/>
  <c r="L65" i="11"/>
  <c r="U62" i="11"/>
  <c r="U40" i="11"/>
  <c r="U44" i="11"/>
  <c r="U64" i="11"/>
  <c r="U56" i="11"/>
  <c r="X60" i="11"/>
  <c r="L8" i="12"/>
  <c r="I8" i="12"/>
  <c r="E11" i="18" s="1"/>
  <c r="G32" i="11"/>
  <c r="L32" i="11" s="1"/>
  <c r="C9" i="20" s="1"/>
  <c r="D9" i="20" s="1"/>
  <c r="F9" i="20" s="1"/>
  <c r="M9" i="22"/>
  <c r="I7" i="23"/>
  <c r="J7" i="23" s="1"/>
  <c r="J21" i="7"/>
  <c r="H24" i="7"/>
  <c r="I24" i="7" s="1"/>
  <c r="J20" i="7"/>
  <c r="I10" i="15"/>
  <c r="L10" i="15" s="1"/>
  <c r="H8" i="16"/>
  <c r="P8" i="12"/>
  <c r="E10" i="20" s="1"/>
  <c r="I8" i="23"/>
  <c r="J8" i="23" s="1"/>
  <c r="K9" i="23" s="1"/>
  <c r="L9" i="23" s="1"/>
  <c r="Y9" i="22"/>
  <c r="S9" i="22"/>
  <c r="F11" i="18"/>
  <c r="Q9" i="12"/>
  <c r="D53" i="7"/>
  <c r="F51" i="7"/>
  <c r="H51" i="7" s="1"/>
  <c r="I51" i="7" s="1"/>
  <c r="J51" i="7" s="1"/>
  <c r="K51" i="7" s="1"/>
  <c r="F48" i="4"/>
  <c r="D5" i="6"/>
  <c r="B10" i="6"/>
  <c r="J23" i="7"/>
  <c r="K23" i="7" s="1"/>
  <c r="H22" i="7"/>
  <c r="I22" i="7" s="1"/>
  <c r="K19" i="7"/>
  <c r="K17" i="7"/>
  <c r="N54" i="7"/>
  <c r="Y10" i="22"/>
  <c r="F34" i="4"/>
  <c r="H34" i="4" s="1"/>
  <c r="D60" i="4" s="1"/>
  <c r="F60" i="4" s="1"/>
  <c r="I60" i="4" s="1"/>
  <c r="M10" i="22"/>
  <c r="A14" i="3"/>
  <c r="A39" i="5"/>
  <c r="G23" i="5"/>
  <c r="G24" i="5" s="1"/>
  <c r="D9" i="3" s="1"/>
  <c r="F9" i="3" s="1"/>
  <c r="G25" i="5"/>
  <c r="D10" i="3" s="1"/>
  <c r="F10" i="3" s="1"/>
  <c r="I10" i="3" s="1"/>
  <c r="D31" i="5"/>
  <c r="G36" i="5" s="1"/>
  <c r="G29" i="5"/>
  <c r="D14" i="3" s="1"/>
  <c r="F14" i="3" s="1"/>
  <c r="I14" i="3" s="1"/>
  <c r="K29" i="5"/>
  <c r="E10" i="19"/>
  <c r="F10" i="19"/>
  <c r="P14" i="12"/>
  <c r="E16" i="20" s="1"/>
  <c r="U32" i="11"/>
  <c r="J10" i="13"/>
  <c r="L10" i="13" s="1"/>
  <c r="D59" i="4"/>
  <c r="N57" i="7"/>
  <c r="F14" i="17"/>
  <c r="C10" i="18"/>
  <c r="Q7" i="12"/>
  <c r="F9" i="14" s="1"/>
  <c r="G9" i="14" s="1"/>
  <c r="H7" i="12"/>
  <c r="P7" i="12" s="1"/>
  <c r="E9" i="20" s="1"/>
  <c r="S10" i="22"/>
  <c r="F17" i="18" l="1"/>
  <c r="G18" i="18" s="1"/>
  <c r="V53" i="11"/>
  <c r="V50" i="11"/>
  <c r="V34" i="11"/>
  <c r="F21" i="18"/>
  <c r="K21" i="18" s="1"/>
  <c r="V58" i="11"/>
  <c r="V57" i="11"/>
  <c r="W58" i="11" s="1"/>
  <c r="Y58" i="11" s="1"/>
  <c r="V39" i="11"/>
  <c r="V59" i="11"/>
  <c r="W59" i="11" s="1"/>
  <c r="Y59" i="11" s="1"/>
  <c r="V45" i="11"/>
  <c r="W46" i="11" s="1"/>
  <c r="Y46" i="11" s="1"/>
  <c r="W49" i="11"/>
  <c r="Y49" i="11" s="1"/>
  <c r="W57" i="11"/>
  <c r="Y57" i="11" s="1"/>
  <c r="V33" i="11"/>
  <c r="W34" i="11" s="1"/>
  <c r="Y34" i="11" s="1"/>
  <c r="M13" i="12"/>
  <c r="N13" i="12" s="1"/>
  <c r="V36" i="11"/>
  <c r="V67" i="11"/>
  <c r="W67" i="11" s="1"/>
  <c r="F19" i="18"/>
  <c r="K19" i="18" s="1"/>
  <c r="V65" i="11"/>
  <c r="W66" i="11" s="1"/>
  <c r="W48" i="11"/>
  <c r="Y48" i="11" s="1"/>
  <c r="V54" i="11"/>
  <c r="W55" i="11" s="1"/>
  <c r="Y55" i="11" s="1"/>
  <c r="C23" i="20"/>
  <c r="H22" i="16"/>
  <c r="I22" i="16" s="1"/>
  <c r="I14" i="15"/>
  <c r="L14" i="15" s="1"/>
  <c r="F12" i="16"/>
  <c r="C34" i="20"/>
  <c r="H33" i="16"/>
  <c r="I33" i="16" s="1"/>
  <c r="I21" i="15"/>
  <c r="L21" i="15" s="1"/>
  <c r="F19" i="16"/>
  <c r="V55" i="11"/>
  <c r="W56" i="11" s="1"/>
  <c r="Y56" i="11" s="1"/>
  <c r="F16" i="18"/>
  <c r="G17" i="18" s="1"/>
  <c r="C31" i="20"/>
  <c r="H30" i="16"/>
  <c r="I30" i="16" s="1"/>
  <c r="C46" i="20"/>
  <c r="D46" i="20" s="1"/>
  <c r="F46" i="20" s="1"/>
  <c r="H45" i="16"/>
  <c r="I45" i="16" s="1"/>
  <c r="V51" i="11"/>
  <c r="W51" i="11" s="1"/>
  <c r="Y51" i="11" s="1"/>
  <c r="C14" i="20"/>
  <c r="H13" i="16"/>
  <c r="I13" i="16" s="1"/>
  <c r="C37" i="20"/>
  <c r="H36" i="16"/>
  <c r="I36" i="16" s="1"/>
  <c r="V44" i="11"/>
  <c r="V62" i="11"/>
  <c r="C17" i="20"/>
  <c r="H16" i="16"/>
  <c r="I16" i="16" s="1"/>
  <c r="D40" i="20"/>
  <c r="F40" i="20" s="1"/>
  <c r="I37" i="15"/>
  <c r="L37" i="15" s="1"/>
  <c r="F35" i="16"/>
  <c r="C18" i="20"/>
  <c r="H17" i="16"/>
  <c r="I17" i="16" s="1"/>
  <c r="I34" i="15"/>
  <c r="L34" i="15" s="1"/>
  <c r="F32" i="16"/>
  <c r="C41" i="20"/>
  <c r="H40" i="16"/>
  <c r="I40" i="16" s="1"/>
  <c r="J40" i="16" s="1"/>
  <c r="C27" i="20"/>
  <c r="H26" i="16"/>
  <c r="I26" i="16" s="1"/>
  <c r="J27" i="16" s="1"/>
  <c r="C19" i="20"/>
  <c r="D19" i="20" s="1"/>
  <c r="F19" i="20" s="1"/>
  <c r="H18" i="16"/>
  <c r="I18" i="16" s="1"/>
  <c r="C42" i="20"/>
  <c r="H41" i="16"/>
  <c r="I41" i="16" s="1"/>
  <c r="F20" i="18"/>
  <c r="G21" i="18" s="1"/>
  <c r="C16" i="20"/>
  <c r="H15" i="16"/>
  <c r="I15" i="16" s="1"/>
  <c r="F21" i="16"/>
  <c r="I23" i="15"/>
  <c r="L23" i="15" s="1"/>
  <c r="V43" i="11"/>
  <c r="W44" i="11" s="1"/>
  <c r="Y44" i="11" s="1"/>
  <c r="V63" i="11"/>
  <c r="V61" i="11"/>
  <c r="M18" i="12"/>
  <c r="N18" i="12" s="1"/>
  <c r="H43" i="16"/>
  <c r="I43" i="16" s="1"/>
  <c r="C44" i="20"/>
  <c r="H10" i="16"/>
  <c r="I10" i="16" s="1"/>
  <c r="C11" i="20"/>
  <c r="I36" i="15"/>
  <c r="L36" i="15" s="1"/>
  <c r="F34" i="16"/>
  <c r="H23" i="16"/>
  <c r="I23" i="16" s="1"/>
  <c r="C24" i="20"/>
  <c r="I46" i="15"/>
  <c r="L46" i="15" s="1"/>
  <c r="F44" i="16"/>
  <c r="C25" i="20"/>
  <c r="H24" i="16"/>
  <c r="I24" i="16" s="1"/>
  <c r="I33" i="15"/>
  <c r="L33" i="15" s="1"/>
  <c r="F31" i="16"/>
  <c r="C38" i="20"/>
  <c r="H37" i="16"/>
  <c r="I37" i="16" s="1"/>
  <c r="H20" i="16"/>
  <c r="I20" i="16" s="1"/>
  <c r="C21" i="20"/>
  <c r="C26" i="21"/>
  <c r="E26" i="21" s="1"/>
  <c r="H28" i="20"/>
  <c r="J28" i="20"/>
  <c r="H25" i="16"/>
  <c r="I25" i="16" s="1"/>
  <c r="C26" i="20"/>
  <c r="D26" i="20" s="1"/>
  <c r="F26" i="20" s="1"/>
  <c r="C30" i="20"/>
  <c r="H29" i="16"/>
  <c r="I29" i="16" s="1"/>
  <c r="H28" i="16"/>
  <c r="I28" i="16" s="1"/>
  <c r="J28" i="16" s="1"/>
  <c r="C29" i="20"/>
  <c r="V41" i="11"/>
  <c r="W42" i="11" s="1"/>
  <c r="Y42" i="11" s="1"/>
  <c r="V68" i="11"/>
  <c r="V52" i="11"/>
  <c r="W53" i="11" s="1"/>
  <c r="Y53" i="11" s="1"/>
  <c r="H38" i="16"/>
  <c r="I38" i="16" s="1"/>
  <c r="J39" i="16" s="1"/>
  <c r="C39" i="20"/>
  <c r="C15" i="20"/>
  <c r="H14" i="16"/>
  <c r="I14" i="16" s="1"/>
  <c r="C12" i="20"/>
  <c r="D12" i="20" s="1"/>
  <c r="F12" i="20" s="1"/>
  <c r="H11" i="16"/>
  <c r="I11" i="16" s="1"/>
  <c r="C43" i="20"/>
  <c r="H42" i="16"/>
  <c r="I42" i="16" s="1"/>
  <c r="L5" i="6"/>
  <c r="E20" i="19"/>
  <c r="F20" i="19"/>
  <c r="M12" i="12"/>
  <c r="N12" i="12" s="1"/>
  <c r="E13" i="19"/>
  <c r="F13" i="19"/>
  <c r="K17" i="19"/>
  <c r="I17" i="19"/>
  <c r="M17" i="12"/>
  <c r="N17" i="12" s="1"/>
  <c r="I19" i="12"/>
  <c r="E22" i="18" s="1"/>
  <c r="D22" i="18"/>
  <c r="D21" i="19" s="1"/>
  <c r="L19" i="12"/>
  <c r="M20" i="12" s="1"/>
  <c r="N20" i="12" s="1"/>
  <c r="E14" i="19"/>
  <c r="F14" i="19"/>
  <c r="K17" i="18"/>
  <c r="F13" i="18"/>
  <c r="F15" i="18"/>
  <c r="M11" i="12"/>
  <c r="N11" i="12" s="1"/>
  <c r="E18" i="19"/>
  <c r="F18" i="19"/>
  <c r="M14" i="12"/>
  <c r="N14" i="12" s="1"/>
  <c r="E19" i="19"/>
  <c r="F19" i="19"/>
  <c r="E15" i="19"/>
  <c r="F15" i="19"/>
  <c r="E12" i="19"/>
  <c r="F12" i="19"/>
  <c r="E16" i="19"/>
  <c r="F16" i="19"/>
  <c r="G17" i="19" s="1"/>
  <c r="F14" i="18"/>
  <c r="M16" i="12"/>
  <c r="N16" i="12" s="1"/>
  <c r="D12" i="18"/>
  <c r="D11" i="19" s="1"/>
  <c r="I9" i="12"/>
  <c r="E12" i="18" s="1"/>
  <c r="L9" i="12"/>
  <c r="K11" i="18"/>
  <c r="P9" i="12"/>
  <c r="E11" i="20" s="1"/>
  <c r="P19" i="12"/>
  <c r="E21" i="20" s="1"/>
  <c r="Q19" i="12"/>
  <c r="V40" i="11"/>
  <c r="W47" i="11"/>
  <c r="Y47" i="11" s="1"/>
  <c r="W50" i="11"/>
  <c r="Y50" i="11" s="1"/>
  <c r="V64" i="11"/>
  <c r="W35" i="11"/>
  <c r="Y35" i="11" s="1"/>
  <c r="W36" i="11"/>
  <c r="Y36" i="11" s="1"/>
  <c r="W39" i="11"/>
  <c r="Y39" i="11" s="1"/>
  <c r="V37" i="11"/>
  <c r="W38" i="11" s="1"/>
  <c r="Y38" i="11" s="1"/>
  <c r="X61" i="11"/>
  <c r="K8" i="23"/>
  <c r="L8" i="23" s="1"/>
  <c r="J24" i="7"/>
  <c r="K20" i="7"/>
  <c r="J9" i="20"/>
  <c r="K9" i="20" s="1"/>
  <c r="C7" i="21"/>
  <c r="E7" i="21" s="1"/>
  <c r="H9" i="20"/>
  <c r="I9" i="20" s="1"/>
  <c r="C10" i="20"/>
  <c r="D10" i="20" s="1"/>
  <c r="F10" i="20" s="1"/>
  <c r="H9" i="16"/>
  <c r="I9" i="16" s="1"/>
  <c r="V32" i="11"/>
  <c r="D54" i="7"/>
  <c r="F53" i="7"/>
  <c r="H53" i="7" s="1"/>
  <c r="I53" i="7" s="1"/>
  <c r="J53" i="7" s="1"/>
  <c r="K53" i="7" s="1"/>
  <c r="K5" i="6"/>
  <c r="B14" i="6"/>
  <c r="K14" i="6" s="1"/>
  <c r="J22" i="7"/>
  <c r="N59" i="7"/>
  <c r="I10" i="19"/>
  <c r="K10" i="19"/>
  <c r="D10" i="18"/>
  <c r="D9" i="19" s="1"/>
  <c r="L7" i="12"/>
  <c r="M8" i="12" s="1"/>
  <c r="N8" i="12" s="1"/>
  <c r="I7" i="12"/>
  <c r="E10" i="18" s="1"/>
  <c r="A42" i="5"/>
  <c r="K21" i="7"/>
  <c r="D33" i="5"/>
  <c r="G14" i="17"/>
  <c r="D36" i="4"/>
  <c r="H36" i="4" s="1"/>
  <c r="D57" i="4"/>
  <c r="F59" i="4"/>
  <c r="I59" i="4" s="1"/>
  <c r="D62" i="4"/>
  <c r="I62" i="4" s="1"/>
  <c r="I9" i="3"/>
  <c r="A15" i="3"/>
  <c r="G19" i="18" l="1"/>
  <c r="H19" i="18" s="1"/>
  <c r="L19" i="18" s="1"/>
  <c r="W60" i="11"/>
  <c r="Y60" i="11" s="1"/>
  <c r="J10" i="16"/>
  <c r="W41" i="11"/>
  <c r="Y41" i="11" s="1"/>
  <c r="J17" i="16"/>
  <c r="K20" i="18"/>
  <c r="J41" i="16"/>
  <c r="W45" i="11"/>
  <c r="Y45" i="11" s="1"/>
  <c r="G20" i="18"/>
  <c r="H21" i="18" s="1"/>
  <c r="W62" i="11"/>
  <c r="W54" i="11"/>
  <c r="Y54" i="11" s="1"/>
  <c r="W37" i="11"/>
  <c r="Y37" i="11" s="1"/>
  <c r="F22" i="18"/>
  <c r="K22" i="18" s="1"/>
  <c r="G16" i="18"/>
  <c r="H17" i="18" s="1"/>
  <c r="W68" i="11"/>
  <c r="K16" i="18"/>
  <c r="J24" i="16"/>
  <c r="J18" i="16"/>
  <c r="W63" i="11"/>
  <c r="J43" i="16"/>
  <c r="W52" i="11"/>
  <c r="Y52" i="11" s="1"/>
  <c r="W61" i="11"/>
  <c r="Y61" i="11" s="1"/>
  <c r="W43" i="11"/>
  <c r="Y43" i="11" s="1"/>
  <c r="J42" i="16"/>
  <c r="C38" i="21"/>
  <c r="E38" i="21" s="1"/>
  <c r="H40" i="20"/>
  <c r="J40" i="20"/>
  <c r="D25" i="20"/>
  <c r="F25" i="20" s="1"/>
  <c r="D27" i="20"/>
  <c r="F27" i="20"/>
  <c r="G27" i="20" s="1"/>
  <c r="D41" i="20"/>
  <c r="F41" i="20" s="1"/>
  <c r="H19" i="16"/>
  <c r="I19" i="16" s="1"/>
  <c r="J20" i="16" s="1"/>
  <c r="C20" i="20"/>
  <c r="D29" i="20"/>
  <c r="F29" i="20" s="1"/>
  <c r="H21" i="16"/>
  <c r="I21" i="16" s="1"/>
  <c r="J22" i="16" s="1"/>
  <c r="C22" i="20"/>
  <c r="J37" i="16"/>
  <c r="D43" i="20"/>
  <c r="F43" i="20" s="1"/>
  <c r="J29" i="16"/>
  <c r="J30" i="16"/>
  <c r="H31" i="16"/>
  <c r="I31" i="16" s="1"/>
  <c r="J31" i="16" s="1"/>
  <c r="C32" i="20"/>
  <c r="D11" i="20"/>
  <c r="F11" i="20" s="1"/>
  <c r="G11" i="20" s="1"/>
  <c r="D16" i="20"/>
  <c r="F16" i="20" s="1"/>
  <c r="J14" i="16"/>
  <c r="D34" i="20"/>
  <c r="F34" i="20" s="1"/>
  <c r="J38" i="16"/>
  <c r="C35" i="20"/>
  <c r="H34" i="16"/>
  <c r="I34" i="16" s="1"/>
  <c r="J34" i="16" s="1"/>
  <c r="C33" i="20"/>
  <c r="H32" i="16"/>
  <c r="I32" i="16" s="1"/>
  <c r="J33" i="16" s="1"/>
  <c r="D38" i="20"/>
  <c r="F38" i="20" s="1"/>
  <c r="J15" i="16"/>
  <c r="J16" i="16"/>
  <c r="D37" i="20"/>
  <c r="F37" i="20" s="1"/>
  <c r="D30" i="20"/>
  <c r="F30" i="20"/>
  <c r="J11" i="16"/>
  <c r="D18" i="20"/>
  <c r="F18" i="20" s="1"/>
  <c r="D14" i="20"/>
  <c r="F14" i="20" s="1"/>
  <c r="C13" i="20"/>
  <c r="H12" i="16"/>
  <c r="I12" i="16" s="1"/>
  <c r="J13" i="16" s="1"/>
  <c r="C17" i="21"/>
  <c r="E17" i="21" s="1"/>
  <c r="J19" i="20"/>
  <c r="H19" i="20"/>
  <c r="H44" i="16"/>
  <c r="I44" i="16" s="1"/>
  <c r="J45" i="16" s="1"/>
  <c r="C45" i="20"/>
  <c r="D31" i="20"/>
  <c r="F31" i="20" s="1"/>
  <c r="D21" i="20"/>
  <c r="F21" i="20" s="1"/>
  <c r="C10" i="21"/>
  <c r="E10" i="21" s="1"/>
  <c r="H12" i="20"/>
  <c r="J12" i="20"/>
  <c r="C24" i="21"/>
  <c r="E24" i="21" s="1"/>
  <c r="H26" i="20"/>
  <c r="J26" i="20"/>
  <c r="D44" i="20"/>
  <c r="F44" i="20" s="1"/>
  <c r="C36" i="20"/>
  <c r="H35" i="16"/>
  <c r="I35" i="16" s="1"/>
  <c r="J36" i="16" s="1"/>
  <c r="M19" i="12"/>
  <c r="N19" i="12" s="1"/>
  <c r="J26" i="16"/>
  <c r="D42" i="20"/>
  <c r="F42" i="20" s="1"/>
  <c r="J23" i="16"/>
  <c r="D39" i="20"/>
  <c r="F39" i="20" s="1"/>
  <c r="D17" i="20"/>
  <c r="F17" i="20" s="1"/>
  <c r="D24" i="20"/>
  <c r="F24" i="20" s="1"/>
  <c r="D15" i="20"/>
  <c r="F15" i="20" s="1"/>
  <c r="J25" i="16"/>
  <c r="C44" i="21"/>
  <c r="E44" i="21" s="1"/>
  <c r="H46" i="20"/>
  <c r="J46" i="20"/>
  <c r="D23" i="20"/>
  <c r="F23" i="20"/>
  <c r="H20" i="18"/>
  <c r="J20" i="18" s="1"/>
  <c r="F57" i="4"/>
  <c r="I57" i="4" s="1"/>
  <c r="H73" i="4" s="1"/>
  <c r="D73" i="4"/>
  <c r="K15" i="19"/>
  <c r="I15" i="19"/>
  <c r="G15" i="19"/>
  <c r="K13" i="18"/>
  <c r="G19" i="19"/>
  <c r="I19" i="19"/>
  <c r="K19" i="19"/>
  <c r="E21" i="19"/>
  <c r="F21" i="19"/>
  <c r="K13" i="19"/>
  <c r="I13" i="19"/>
  <c r="G13" i="19"/>
  <c r="G16" i="19"/>
  <c r="I16" i="19"/>
  <c r="K16" i="19"/>
  <c r="J19" i="18"/>
  <c r="E11" i="19"/>
  <c r="F11" i="19"/>
  <c r="G12" i="19" s="1"/>
  <c r="G14" i="19"/>
  <c r="I14" i="19"/>
  <c r="K14" i="19"/>
  <c r="I18" i="19"/>
  <c r="G18" i="19"/>
  <c r="H18" i="19" s="1"/>
  <c r="K18" i="19"/>
  <c r="I12" i="19"/>
  <c r="K12" i="19"/>
  <c r="G15" i="18"/>
  <c r="K15" i="18"/>
  <c r="M9" i="12"/>
  <c r="N9" i="12" s="1"/>
  <c r="M10" i="12"/>
  <c r="N10" i="12" s="1"/>
  <c r="G14" i="18"/>
  <c r="K14" i="18"/>
  <c r="I20" i="19"/>
  <c r="K20" i="19"/>
  <c r="G20" i="19"/>
  <c r="F12" i="18"/>
  <c r="G13" i="18" s="1"/>
  <c r="H18" i="18"/>
  <c r="W64" i="11"/>
  <c r="W65" i="11"/>
  <c r="W40" i="11"/>
  <c r="Y40" i="11" s="1"/>
  <c r="W32" i="11"/>
  <c r="Y32" i="11" s="1"/>
  <c r="W33" i="11"/>
  <c r="Y33" i="11" s="1"/>
  <c r="X62" i="11"/>
  <c r="J9" i="16"/>
  <c r="J10" i="20"/>
  <c r="C8" i="21"/>
  <c r="E8" i="21" s="1"/>
  <c r="H10" i="20"/>
  <c r="G10" i="20"/>
  <c r="D56" i="7"/>
  <c r="F54" i="7"/>
  <c r="H54" i="7" s="1"/>
  <c r="I54" i="7" s="1"/>
  <c r="J54" i="7" s="1"/>
  <c r="K54" i="7" s="1"/>
  <c r="C14" i="6"/>
  <c r="D10" i="6"/>
  <c r="F10" i="18"/>
  <c r="K10" i="18" s="1"/>
  <c r="N60" i="7"/>
  <c r="E9" i="19"/>
  <c r="F9" i="19"/>
  <c r="A17" i="3"/>
  <c r="G37" i="5"/>
  <c r="G38" i="5" s="1"/>
  <c r="D16" i="3"/>
  <c r="F16" i="3" s="1"/>
  <c r="I16" i="3" s="1"/>
  <c r="A70" i="5"/>
  <c r="A72" i="5" s="1"/>
  <c r="K15" i="17"/>
  <c r="N15" i="17" s="1"/>
  <c r="K22" i="7"/>
  <c r="G23" i="18" l="1"/>
  <c r="G22" i="18"/>
  <c r="H22" i="18" s="1"/>
  <c r="J21" i="16"/>
  <c r="Y62" i="11"/>
  <c r="H16" i="18"/>
  <c r="L16" i="18" s="1"/>
  <c r="J19" i="16"/>
  <c r="J12" i="16"/>
  <c r="L20" i="18"/>
  <c r="L17" i="18"/>
  <c r="J17" i="18"/>
  <c r="J32" i="16"/>
  <c r="C15" i="21"/>
  <c r="E15" i="21" s="1"/>
  <c r="H17" i="20"/>
  <c r="J17" i="20"/>
  <c r="G18" i="20"/>
  <c r="G38" i="20"/>
  <c r="C36" i="21"/>
  <c r="E36" i="21" s="1"/>
  <c r="H38" i="20"/>
  <c r="J38" i="20"/>
  <c r="G39" i="20"/>
  <c r="C16" i="21"/>
  <c r="E16" i="21" s="1"/>
  <c r="H18" i="20"/>
  <c r="J18" i="20"/>
  <c r="G19" i="20"/>
  <c r="C27" i="21"/>
  <c r="E27" i="21" s="1"/>
  <c r="J29" i="20"/>
  <c r="H29" i="20"/>
  <c r="G30" i="20"/>
  <c r="G29" i="20"/>
  <c r="C37" i="21"/>
  <c r="E37" i="21" s="1"/>
  <c r="J39" i="20"/>
  <c r="G40" i="20"/>
  <c r="H39" i="20"/>
  <c r="C12" i="21"/>
  <c r="E12" i="21" s="1"/>
  <c r="H14" i="20"/>
  <c r="G15" i="20"/>
  <c r="J14" i="20"/>
  <c r="C19" i="21"/>
  <c r="E19" i="21" s="1"/>
  <c r="J21" i="20"/>
  <c r="H21" i="20"/>
  <c r="C32" i="21"/>
  <c r="E32" i="21" s="1"/>
  <c r="J34" i="20"/>
  <c r="H34" i="20"/>
  <c r="J25" i="20"/>
  <c r="H25" i="20"/>
  <c r="C23" i="21"/>
  <c r="E23" i="21" s="1"/>
  <c r="F24" i="21" s="1"/>
  <c r="G24" i="21" s="1"/>
  <c r="G26" i="20"/>
  <c r="K26" i="20" s="1"/>
  <c r="C41" i="21"/>
  <c r="E41" i="21" s="1"/>
  <c r="G44" i="20"/>
  <c r="J43" i="20"/>
  <c r="H43" i="20"/>
  <c r="C22" i="21"/>
  <c r="E22" i="21" s="1"/>
  <c r="G25" i="20"/>
  <c r="J24" i="20"/>
  <c r="H24" i="20"/>
  <c r="H30" i="20"/>
  <c r="C28" i="21"/>
  <c r="E28" i="21" s="1"/>
  <c r="G31" i="20"/>
  <c r="J30" i="20"/>
  <c r="J44" i="16"/>
  <c r="C13" i="21"/>
  <c r="E13" i="21" s="1"/>
  <c r="G16" i="20"/>
  <c r="H15" i="20"/>
  <c r="J15" i="20"/>
  <c r="D13" i="20"/>
  <c r="F13" i="20" s="1"/>
  <c r="D35" i="20"/>
  <c r="F35" i="20"/>
  <c r="G35" i="20" s="1"/>
  <c r="D22" i="20"/>
  <c r="F22" i="20" s="1"/>
  <c r="C9" i="21"/>
  <c r="E9" i="21" s="1"/>
  <c r="F9" i="21" s="1"/>
  <c r="G9" i="21" s="1"/>
  <c r="H11" i="20"/>
  <c r="I11" i="20" s="1"/>
  <c r="G12" i="20"/>
  <c r="J11" i="20"/>
  <c r="K11" i="20" s="1"/>
  <c r="D36" i="20"/>
  <c r="F36" i="20" s="1"/>
  <c r="D32" i="20"/>
  <c r="F32" i="20" s="1"/>
  <c r="C39" i="21"/>
  <c r="E39" i="21" s="1"/>
  <c r="F39" i="21" s="1"/>
  <c r="G39" i="21" s="1"/>
  <c r="H41" i="20"/>
  <c r="J41" i="20"/>
  <c r="G42" i="20"/>
  <c r="C40" i="21"/>
  <c r="E40" i="21" s="1"/>
  <c r="F40" i="21" s="1"/>
  <c r="G40" i="21" s="1"/>
  <c r="H42" i="20"/>
  <c r="J42" i="20"/>
  <c r="G43" i="20"/>
  <c r="J37" i="20"/>
  <c r="C35" i="21"/>
  <c r="E35" i="21" s="1"/>
  <c r="H37" i="20"/>
  <c r="C25" i="21"/>
  <c r="E25" i="21" s="1"/>
  <c r="H27" i="20"/>
  <c r="I27" i="20" s="1"/>
  <c r="G28" i="20"/>
  <c r="J27" i="20"/>
  <c r="K27" i="20" s="1"/>
  <c r="G17" i="20"/>
  <c r="C14" i="21"/>
  <c r="E14" i="21" s="1"/>
  <c r="J16" i="20"/>
  <c r="H16" i="20"/>
  <c r="C21" i="21"/>
  <c r="E21" i="21" s="1"/>
  <c r="J23" i="20"/>
  <c r="G24" i="20"/>
  <c r="H23" i="20"/>
  <c r="C42" i="21"/>
  <c r="E42" i="21" s="1"/>
  <c r="J44" i="20"/>
  <c r="H44" i="20"/>
  <c r="C29" i="21"/>
  <c r="E29" i="21" s="1"/>
  <c r="H31" i="20"/>
  <c r="J31" i="20"/>
  <c r="D33" i="20"/>
  <c r="F33" i="20" s="1"/>
  <c r="D20" i="20"/>
  <c r="F20" i="20"/>
  <c r="H16" i="19"/>
  <c r="J16" i="19" s="1"/>
  <c r="D45" i="20"/>
  <c r="F45" i="20" s="1"/>
  <c r="J35" i="16"/>
  <c r="G41" i="20"/>
  <c r="H13" i="19"/>
  <c r="J13" i="19" s="1"/>
  <c r="H20" i="19"/>
  <c r="J20" i="19" s="1"/>
  <c r="C25" i="6"/>
  <c r="C27" i="6" s="1"/>
  <c r="H23" i="18"/>
  <c r="H24" i="18"/>
  <c r="H14" i="18"/>
  <c r="H14" i="19"/>
  <c r="H17" i="19"/>
  <c r="L22" i="18"/>
  <c r="J22" i="18"/>
  <c r="J18" i="19"/>
  <c r="L18" i="19"/>
  <c r="H19" i="19"/>
  <c r="H15" i="18"/>
  <c r="J18" i="18"/>
  <c r="L18" i="18"/>
  <c r="K11" i="19"/>
  <c r="I11" i="19"/>
  <c r="G11" i="19"/>
  <c r="H12" i="19" s="1"/>
  <c r="K12" i="18"/>
  <c r="G12" i="18"/>
  <c r="H13" i="18" s="1"/>
  <c r="H15" i="19"/>
  <c r="J21" i="18"/>
  <c r="L21" i="18"/>
  <c r="K21" i="19"/>
  <c r="I21" i="19"/>
  <c r="G21" i="19"/>
  <c r="H21" i="19" s="1"/>
  <c r="G22" i="19"/>
  <c r="I74" i="4"/>
  <c r="K73" i="4" s="1"/>
  <c r="F32" i="3"/>
  <c r="I32" i="3" s="1"/>
  <c r="F8" i="21"/>
  <c r="G8" i="21" s="1"/>
  <c r="X63" i="11"/>
  <c r="Y63" i="11" s="1"/>
  <c r="D17" i="3"/>
  <c r="F17" i="3" s="1"/>
  <c r="I17" i="3" s="1"/>
  <c r="K10" i="20"/>
  <c r="I10" i="20"/>
  <c r="G11" i="18"/>
  <c r="D57" i="7"/>
  <c r="F56" i="7"/>
  <c r="H56" i="7" s="1"/>
  <c r="I56" i="7" s="1"/>
  <c r="J56" i="7" s="1"/>
  <c r="K56" i="7" s="1"/>
  <c r="D27" i="6"/>
  <c r="C29" i="6"/>
  <c r="D25" i="6"/>
  <c r="O10" i="6"/>
  <c r="K10" i="6"/>
  <c r="M10" i="6"/>
  <c r="M33" i="6" s="1"/>
  <c r="L10" i="6"/>
  <c r="O30" i="6"/>
  <c r="D14" i="6"/>
  <c r="B15" i="6"/>
  <c r="C15" i="6" s="1"/>
  <c r="A94" i="5"/>
  <c r="A96" i="5" s="1"/>
  <c r="A97" i="5" s="1"/>
  <c r="K9" i="19"/>
  <c r="L9" i="19" s="1"/>
  <c r="I9" i="19"/>
  <c r="J9" i="19" s="1"/>
  <c r="G10" i="19"/>
  <c r="K24" i="7"/>
  <c r="A18" i="3"/>
  <c r="J16" i="18" l="1"/>
  <c r="L20" i="19"/>
  <c r="F37" i="21"/>
  <c r="G37" i="21" s="1"/>
  <c r="F42" i="21"/>
  <c r="G42" i="21" s="1"/>
  <c r="K15" i="20"/>
  <c r="F22" i="21"/>
  <c r="G22" i="21" s="1"/>
  <c r="I15" i="20"/>
  <c r="I38" i="20"/>
  <c r="L13" i="19"/>
  <c r="F29" i="21"/>
  <c r="G29" i="21" s="1"/>
  <c r="K24" i="20"/>
  <c r="K38" i="20"/>
  <c r="F36" i="21"/>
  <c r="G36" i="21" s="1"/>
  <c r="I26" i="20"/>
  <c r="I24" i="20"/>
  <c r="F16" i="21"/>
  <c r="G16" i="21" s="1"/>
  <c r="J32" i="20"/>
  <c r="C30" i="21"/>
  <c r="E30" i="21" s="1"/>
  <c r="H32" i="20"/>
  <c r="G33" i="20"/>
  <c r="G32" i="20"/>
  <c r="H22" i="20"/>
  <c r="J22" i="20"/>
  <c r="C20" i="21"/>
  <c r="E20" i="21" s="1"/>
  <c r="F20" i="21" s="1"/>
  <c r="G20" i="21" s="1"/>
  <c r="G23" i="20"/>
  <c r="G22" i="20"/>
  <c r="K12" i="20"/>
  <c r="I12" i="20"/>
  <c r="I25" i="20"/>
  <c r="K25" i="20"/>
  <c r="F38" i="21"/>
  <c r="G38" i="21" s="1"/>
  <c r="F13" i="21"/>
  <c r="G13" i="21" s="1"/>
  <c r="I29" i="20"/>
  <c r="K29" i="20"/>
  <c r="J20" i="20"/>
  <c r="C18" i="21"/>
  <c r="E18" i="21" s="1"/>
  <c r="F18" i="21" s="1"/>
  <c r="G18" i="21" s="1"/>
  <c r="H20" i="20"/>
  <c r="G21" i="20"/>
  <c r="G20" i="20"/>
  <c r="F17" i="21"/>
  <c r="G17" i="21" s="1"/>
  <c r="L16" i="19"/>
  <c r="K44" i="20"/>
  <c r="I44" i="20"/>
  <c r="F15" i="21"/>
  <c r="G15" i="21" s="1"/>
  <c r="F14" i="21"/>
  <c r="G14" i="21" s="1"/>
  <c r="I41" i="20"/>
  <c r="I39" i="20"/>
  <c r="K39" i="20"/>
  <c r="K16" i="20"/>
  <c r="I16" i="20"/>
  <c r="F10" i="21"/>
  <c r="G10" i="21" s="1"/>
  <c r="K30" i="20"/>
  <c r="I30" i="20"/>
  <c r="F41" i="21"/>
  <c r="G41" i="21" s="1"/>
  <c r="K18" i="20"/>
  <c r="I18" i="20"/>
  <c r="K42" i="20"/>
  <c r="I42" i="20"/>
  <c r="K41" i="20"/>
  <c r="K40" i="20"/>
  <c r="I40" i="20"/>
  <c r="I28" i="20"/>
  <c r="K28" i="20"/>
  <c r="C34" i="21"/>
  <c r="E34" i="21" s="1"/>
  <c r="H36" i="20"/>
  <c r="G37" i="20"/>
  <c r="J36" i="20"/>
  <c r="I31" i="20"/>
  <c r="K31" i="20"/>
  <c r="F23" i="21"/>
  <c r="G23" i="21" s="1"/>
  <c r="J13" i="20"/>
  <c r="C11" i="21"/>
  <c r="E11" i="21" s="1"/>
  <c r="F11" i="21" s="1"/>
  <c r="G11" i="21" s="1"/>
  <c r="H13" i="20"/>
  <c r="G14" i="20"/>
  <c r="G13" i="20"/>
  <c r="I17" i="20"/>
  <c r="K17" i="20"/>
  <c r="H45" i="20"/>
  <c r="C43" i="21"/>
  <c r="E43" i="21" s="1"/>
  <c r="J45" i="20"/>
  <c r="G46" i="20"/>
  <c r="G45" i="20"/>
  <c r="F26" i="21"/>
  <c r="G26" i="21" s="1"/>
  <c r="F25" i="21"/>
  <c r="G25" i="21" s="1"/>
  <c r="C31" i="21"/>
  <c r="E31" i="21" s="1"/>
  <c r="F32" i="21" s="1"/>
  <c r="G32" i="21" s="1"/>
  <c r="J33" i="20"/>
  <c r="H33" i="20"/>
  <c r="G34" i="20"/>
  <c r="I43" i="20"/>
  <c r="K43" i="20"/>
  <c r="F28" i="21"/>
  <c r="G28" i="21" s="1"/>
  <c r="F27" i="21"/>
  <c r="G27" i="21" s="1"/>
  <c r="C33" i="21"/>
  <c r="E33" i="21" s="1"/>
  <c r="F33" i="21" s="1"/>
  <c r="G33" i="21" s="1"/>
  <c r="G36" i="20"/>
  <c r="H35" i="20"/>
  <c r="I35" i="20" s="1"/>
  <c r="J35" i="20"/>
  <c r="K35" i="20" s="1"/>
  <c r="I19" i="20"/>
  <c r="K19" i="20"/>
  <c r="L14" i="6"/>
  <c r="J12" i="19"/>
  <c r="L12" i="19"/>
  <c r="J13" i="18"/>
  <c r="L13" i="18"/>
  <c r="J14" i="19"/>
  <c r="L14" i="19"/>
  <c r="L15" i="18"/>
  <c r="J15" i="18"/>
  <c r="L15" i="19"/>
  <c r="J15" i="19"/>
  <c r="L14" i="18"/>
  <c r="J14" i="18"/>
  <c r="L17" i="19"/>
  <c r="J17" i="19"/>
  <c r="J23" i="18"/>
  <c r="L23" i="18"/>
  <c r="H22" i="19"/>
  <c r="H23" i="19"/>
  <c r="L21" i="19"/>
  <c r="J21" i="19"/>
  <c r="J19" i="19"/>
  <c r="L19" i="19"/>
  <c r="J24" i="18"/>
  <c r="L24" i="18"/>
  <c r="H10" i="19"/>
  <c r="L10" i="19" s="1"/>
  <c r="H11" i="19"/>
  <c r="H11" i="18"/>
  <c r="L11" i="18" s="1"/>
  <c r="H12" i="18"/>
  <c r="X64" i="11"/>
  <c r="Y64" i="11" s="1"/>
  <c r="A98" i="5"/>
  <c r="A103" i="5" s="1"/>
  <c r="A104" i="5" s="1"/>
  <c r="A117" i="5" s="1"/>
  <c r="A121" i="5" s="1"/>
  <c r="D59" i="7"/>
  <c r="F57" i="7"/>
  <c r="H57" i="7" s="1"/>
  <c r="I57" i="7" s="1"/>
  <c r="J57" i="7" s="1"/>
  <c r="K57" i="7" s="1"/>
  <c r="O27" i="6"/>
  <c r="N27" i="6"/>
  <c r="O25" i="6"/>
  <c r="N25" i="6"/>
  <c r="B18" i="6"/>
  <c r="D15" i="6"/>
  <c r="A21" i="3"/>
  <c r="A22" i="3" s="1"/>
  <c r="A23" i="3" s="1"/>
  <c r="J10" i="19"/>
  <c r="F34" i="21" l="1"/>
  <c r="G34" i="21" s="1"/>
  <c r="I36" i="20"/>
  <c r="K36" i="20"/>
  <c r="F12" i="21"/>
  <c r="G12" i="21" s="1"/>
  <c r="F43" i="21"/>
  <c r="G43" i="21" s="1"/>
  <c r="F44" i="21"/>
  <c r="G44" i="21" s="1"/>
  <c r="K32" i="20"/>
  <c r="I32" i="20"/>
  <c r="K33" i="20"/>
  <c r="I33" i="20"/>
  <c r="I20" i="20"/>
  <c r="K20" i="20"/>
  <c r="K37" i="20"/>
  <c r="I37" i="20"/>
  <c r="K21" i="20"/>
  <c r="I21" i="20"/>
  <c r="I23" i="20"/>
  <c r="K23" i="20"/>
  <c r="I34" i="20"/>
  <c r="K34" i="20"/>
  <c r="F21" i="21"/>
  <c r="G21" i="21" s="1"/>
  <c r="F19" i="21"/>
  <c r="G19" i="21" s="1"/>
  <c r="K22" i="20"/>
  <c r="I22" i="20"/>
  <c r="K13" i="20"/>
  <c r="I13" i="20"/>
  <c r="I14" i="20"/>
  <c r="K14" i="20"/>
  <c r="K45" i="20"/>
  <c r="I45" i="20"/>
  <c r="F35" i="21"/>
  <c r="G35" i="21" s="1"/>
  <c r="F31" i="21"/>
  <c r="G31" i="21" s="1"/>
  <c r="F30" i="21"/>
  <c r="G30" i="21" s="1"/>
  <c r="I46" i="20"/>
  <c r="K46" i="20"/>
  <c r="J11" i="18"/>
  <c r="J22" i="19"/>
  <c r="L22" i="19"/>
  <c r="L23" i="19"/>
  <c r="J23" i="19"/>
  <c r="L11" i="19"/>
  <c r="J11" i="19"/>
  <c r="J12" i="18"/>
  <c r="L12" i="18"/>
  <c r="X65" i="11"/>
  <c r="Y65" i="11" s="1"/>
  <c r="C18" i="6"/>
  <c r="D18" i="6" s="1"/>
  <c r="M47" i="22"/>
  <c r="I49" i="22" s="1"/>
  <c r="D43" i="9" s="1"/>
  <c r="F43" i="9" s="1"/>
  <c r="J43" i="9" s="1"/>
  <c r="S47" i="22"/>
  <c r="I50" i="22" s="1"/>
  <c r="D42" i="9" s="1"/>
  <c r="F42" i="9" s="1"/>
  <c r="J42" i="9" s="1"/>
  <c r="G50" i="23"/>
  <c r="L50" i="23" s="1"/>
  <c r="F78" i="11" s="1"/>
  <c r="D60" i="7"/>
  <c r="F60" i="7" s="1"/>
  <c r="H60" i="7" s="1"/>
  <c r="I60" i="7" s="1"/>
  <c r="F59" i="7"/>
  <c r="H59" i="7" s="1"/>
  <c r="I59" i="7" s="1"/>
  <c r="J59" i="7" s="1"/>
  <c r="K59" i="7" s="1"/>
  <c r="D29" i="6"/>
  <c r="C30" i="6"/>
  <c r="L15" i="6"/>
  <c r="L33" i="6" s="1"/>
  <c r="K15" i="6"/>
  <c r="A24" i="3"/>
  <c r="A25" i="3" s="1"/>
  <c r="A26" i="3" s="1"/>
  <c r="A27" i="3" s="1"/>
  <c r="A28" i="3" s="1"/>
  <c r="K18" i="6" l="1"/>
  <c r="X66" i="11"/>
  <c r="Y66" i="11" s="1"/>
  <c r="K33" i="6"/>
  <c r="G41" i="5" s="1"/>
  <c r="G69" i="5"/>
  <c r="D21" i="3"/>
  <c r="F21" i="3" s="1"/>
  <c r="I21" i="3" s="1"/>
  <c r="A29" i="3"/>
  <c r="A30" i="3" s="1"/>
  <c r="A31" i="3" s="1"/>
  <c r="A32" i="3" s="1"/>
  <c r="A33" i="3" s="1"/>
  <c r="J60" i="7"/>
  <c r="K60" i="7" s="1"/>
  <c r="C31" i="6"/>
  <c r="D31" i="6" s="1"/>
  <c r="D30" i="6"/>
  <c r="P30" i="6" s="1"/>
  <c r="C32" i="6"/>
  <c r="N29" i="6"/>
  <c r="N33" i="6" s="1"/>
  <c r="D22" i="3" s="1"/>
  <c r="A37" i="3"/>
  <c r="A34" i="3"/>
  <c r="A35" i="3" s="1"/>
  <c r="A36" i="3" s="1"/>
  <c r="O31" i="6" l="1"/>
  <c r="P31" i="6"/>
  <c r="X67" i="11"/>
  <c r="Y67" i="11" s="1"/>
  <c r="D18" i="3"/>
  <c r="L37" i="6"/>
  <c r="F18" i="3"/>
  <c r="I18" i="3" s="1"/>
  <c r="D103" i="5"/>
  <c r="G103" i="5" s="1"/>
  <c r="D28" i="3" s="1"/>
  <c r="F28" i="3" s="1"/>
  <c r="I28" i="3" s="1"/>
  <c r="P32" i="6"/>
  <c r="G71" i="5"/>
  <c r="D32" i="6"/>
  <c r="O32" i="6" s="1"/>
  <c r="A38" i="3"/>
  <c r="A39" i="3" s="1"/>
  <c r="A40" i="3" s="1"/>
  <c r="P33" i="6" l="1"/>
  <c r="X68" i="11"/>
  <c r="Y68" i="11" s="1"/>
  <c r="G95" i="5"/>
  <c r="D24" i="3"/>
  <c r="L47" i="19"/>
  <c r="H49" i="19" s="1"/>
  <c r="O33" i="6"/>
  <c r="Q33" i="6" s="1"/>
  <c r="F22" i="3"/>
  <c r="I22" i="3" s="1"/>
  <c r="G93" i="5" l="1"/>
  <c r="J108" i="5" s="1"/>
  <c r="K108" i="5" s="1"/>
  <c r="D23" i="3"/>
  <c r="F24" i="3"/>
  <c r="I24" i="3" s="1"/>
  <c r="F23" i="3" l="1"/>
  <c r="I23" i="3" s="1"/>
  <c r="I20" i="3" s="1"/>
  <c r="G116" i="5"/>
  <c r="I116" i="5" s="1"/>
  <c r="D29" i="3" l="1"/>
  <c r="F29" i="3" s="1"/>
  <c r="I29" i="3" s="1"/>
  <c r="K67" i="7" l="1"/>
  <c r="F69" i="7" s="1"/>
  <c r="G72" i="7" l="1"/>
  <c r="G70" i="7"/>
  <c r="G28" i="5" s="1"/>
  <c r="D13" i="3" s="1"/>
  <c r="D40" i="3" s="1"/>
  <c r="G71" i="7"/>
  <c r="G27" i="5" s="1"/>
  <c r="D12" i="3" s="1"/>
  <c r="F12" i="3" s="1"/>
  <c r="I12" i="3" s="1"/>
  <c r="F13" i="3" l="1"/>
  <c r="I13" i="3" s="1"/>
  <c r="F40" i="3"/>
  <c r="G26" i="5"/>
  <c r="D11" i="3" s="1"/>
  <c r="F11" i="3" s="1"/>
  <c r="D11" i="10"/>
  <c r="G11" i="10" s="1"/>
  <c r="I11" i="3" l="1"/>
  <c r="H40" i="3"/>
  <c r="I40" i="3"/>
  <c r="I37" i="3" l="1"/>
  <c r="F41" i="3"/>
  <c r="F42" i="3" s="1"/>
  <c r="I41" i="3" l="1"/>
  <c r="F44" i="3"/>
  <c r="I42" i="3"/>
  <c r="F43" i="3"/>
  <c r="I43" i="3" s="1"/>
  <c r="F45" i="3" l="1"/>
  <c r="I45" i="3" s="1"/>
  <c r="I44" i="3"/>
  <c r="J10" i="2"/>
  <c r="N13" i="2" l="1"/>
  <c r="Y69" i="11" l="1"/>
  <c r="F70" i="11" s="1"/>
  <c r="K47" i="15"/>
  <c r="M45" i="12"/>
  <c r="J46" i="16"/>
  <c r="G47" i="16" s="1"/>
  <c r="G45" i="21"/>
  <c r="F48" i="21" s="1"/>
  <c r="H47" i="12" l="1"/>
  <c r="D33" i="9"/>
  <c r="F33" i="9" s="1"/>
  <c r="J33" i="9" s="1"/>
  <c r="K47" i="20"/>
  <c r="G49" i="20" s="1"/>
  <c r="I47" i="20"/>
  <c r="G50" i="20" s="1"/>
  <c r="H44" i="24"/>
  <c r="F49" i="24" s="1"/>
  <c r="G44" i="24"/>
  <c r="D45" i="24" s="1"/>
  <c r="G45" i="24" s="1"/>
  <c r="D52" i="9" s="1"/>
  <c r="E49" i="15"/>
  <c r="C7" i="10" s="1"/>
  <c r="D14" i="9"/>
  <c r="F14" i="9" s="1"/>
  <c r="J14" i="9" s="1"/>
  <c r="E50" i="15"/>
  <c r="L45" i="23"/>
  <c r="L53" i="23" s="1"/>
  <c r="J47" i="19"/>
  <c r="H50" i="19" s="1"/>
  <c r="N52" i="17"/>
  <c r="M52" i="17"/>
  <c r="E58" i="17"/>
  <c r="E59" i="17" s="1"/>
  <c r="E60" i="17" s="1"/>
  <c r="D44" i="9" s="1"/>
  <c r="F44" i="9" s="1"/>
  <c r="J44" i="9" s="1"/>
  <c r="D22" i="9"/>
  <c r="F52" i="21"/>
  <c r="F51" i="21"/>
  <c r="E9" i="10" s="1"/>
  <c r="H9" i="10" s="1"/>
  <c r="F50" i="21"/>
  <c r="G51" i="16"/>
  <c r="D10" i="9" s="1"/>
  <c r="F10" i="9" s="1"/>
  <c r="J10" i="9" s="1"/>
  <c r="G50" i="16"/>
  <c r="D9" i="9" s="1"/>
  <c r="F9" i="9" s="1"/>
  <c r="J9" i="9" s="1"/>
  <c r="G49" i="16"/>
  <c r="D8" i="9" s="1"/>
  <c r="F8" i="9" s="1"/>
  <c r="G46" i="14"/>
  <c r="D47" i="9" s="1"/>
  <c r="L47" i="13"/>
  <c r="K48" i="18"/>
  <c r="H50" i="18" s="1"/>
  <c r="J48" i="18"/>
  <c r="H51" i="18" s="1"/>
  <c r="F72" i="11"/>
  <c r="D28" i="9" s="1"/>
  <c r="L57" i="23" l="1"/>
  <c r="L56" i="23"/>
  <c r="L58" i="23"/>
  <c r="D27" i="9" s="1"/>
  <c r="F27" i="9" s="1"/>
  <c r="J27" i="9" s="1"/>
  <c r="D7" i="10"/>
  <c r="G7" i="10" s="1"/>
  <c r="F7" i="10"/>
  <c r="I7" i="10" s="1"/>
  <c r="D9" i="10"/>
  <c r="G9" i="10" s="1"/>
  <c r="D18" i="9"/>
  <c r="F18" i="9" s="1"/>
  <c r="J18" i="9" s="1"/>
  <c r="D54" i="9"/>
  <c r="F54" i="9" s="1"/>
  <c r="J54" i="9" s="1"/>
  <c r="F50" i="24"/>
  <c r="F51" i="24" s="1"/>
  <c r="D36" i="9"/>
  <c r="D45" i="9"/>
  <c r="F45" i="9" s="1"/>
  <c r="J45" i="9" s="1"/>
  <c r="L53" i="17"/>
  <c r="M53" i="17" s="1"/>
  <c r="P53" i="17"/>
  <c r="P54" i="17" s="1"/>
  <c r="P55" i="17" s="1"/>
  <c r="L54" i="17"/>
  <c r="M54" i="17" s="1"/>
  <c r="D46" i="9" s="1"/>
  <c r="F46" i="9" s="1"/>
  <c r="J46" i="9" s="1"/>
  <c r="F47" i="9"/>
  <c r="J47" i="9" s="1"/>
  <c r="D48" i="9"/>
  <c r="F48" i="9" s="1"/>
  <c r="J48" i="9" s="1"/>
  <c r="C21" i="10"/>
  <c r="F76" i="11"/>
  <c r="J8" i="9"/>
  <c r="Y47" i="22"/>
  <c r="I51" i="22" s="1"/>
  <c r="D41" i="9" s="1"/>
  <c r="F41" i="9" s="1"/>
  <c r="J41" i="9" s="1"/>
  <c r="F52" i="9"/>
  <c r="D53" i="9"/>
  <c r="F53" i="9" s="1"/>
  <c r="D26" i="9"/>
  <c r="F26" i="9" s="1"/>
  <c r="J26" i="9" s="1"/>
  <c r="F22" i="9"/>
  <c r="J22" i="9" s="1"/>
  <c r="F77" i="11"/>
  <c r="D35" i="9"/>
  <c r="C28" i="10"/>
  <c r="G28" i="10" s="1"/>
  <c r="E52" i="13"/>
  <c r="E50" i="13"/>
  <c r="E51" i="13"/>
  <c r="F75" i="11"/>
  <c r="C17" i="10"/>
  <c r="C23" i="10" l="1"/>
  <c r="G23" i="10" s="1"/>
  <c r="D21" i="9"/>
  <c r="F21" i="9" s="1"/>
  <c r="J21" i="9" s="1"/>
  <c r="E8" i="10"/>
  <c r="H8" i="10" s="1"/>
  <c r="D17" i="9"/>
  <c r="F17" i="9" s="1"/>
  <c r="E53" i="13"/>
  <c r="D8" i="10"/>
  <c r="G8" i="10" s="1"/>
  <c r="F35" i="9"/>
  <c r="J35" i="9" s="1"/>
  <c r="M41" i="9"/>
  <c r="I12" i="10"/>
  <c r="D56" i="9" s="1"/>
  <c r="D19" i="9"/>
  <c r="F19" i="9" s="1"/>
  <c r="J19" i="9" s="1"/>
  <c r="D10" i="10"/>
  <c r="G10" i="10" s="1"/>
  <c r="G12" i="10" s="1"/>
  <c r="E29" i="10" s="1"/>
  <c r="F36" i="9"/>
  <c r="J36" i="9" s="1"/>
  <c r="M40" i="9"/>
  <c r="D25" i="9"/>
  <c r="F25" i="9" s="1"/>
  <c r="J25" i="9" s="1"/>
  <c r="F8" i="10"/>
  <c r="I8" i="10" s="1"/>
  <c r="F79" i="11"/>
  <c r="F80" i="11" s="1"/>
  <c r="C29" i="10" s="1"/>
  <c r="C19" i="10"/>
  <c r="E10" i="10"/>
  <c r="H10" i="10" s="1"/>
  <c r="D23" i="9"/>
  <c r="F23" i="9" s="1"/>
  <c r="J23" i="9" s="1"/>
  <c r="D30" i="9" l="1"/>
  <c r="G29" i="10"/>
  <c r="F28" i="9" s="1"/>
  <c r="J28" i="9" s="1"/>
  <c r="C30" i="10"/>
  <c r="F56" i="9"/>
  <c r="E17" i="10"/>
  <c r="H12" i="10"/>
  <c r="J17" i="9"/>
  <c r="E21" i="10" l="1"/>
  <c r="G21" i="10" s="1"/>
  <c r="E19" i="10"/>
  <c r="G19" i="10" s="1"/>
  <c r="C22" i="10"/>
  <c r="C18" i="10"/>
  <c r="C20" i="10"/>
  <c r="G17" i="10"/>
  <c r="D31" i="9"/>
  <c r="F31" i="9" s="1"/>
  <c r="J31" i="9" s="1"/>
  <c r="F30" i="9"/>
  <c r="J30" i="9" l="1"/>
  <c r="F65" i="9"/>
  <c r="F66" i="9" l="1"/>
  <c r="F67" i="9"/>
  <c r="J11" i="2" s="1"/>
  <c r="J14" i="2" s="1"/>
</calcChain>
</file>

<file path=xl/comments1.xml><?xml version="1.0" encoding="utf-8"?>
<comments xmlns="http://schemas.openxmlformats.org/spreadsheetml/2006/main">
  <authors>
    <author>Gulshan</author>
  </authors>
  <commentList>
    <comment ref="E45" authorId="0" shapeId="0">
      <text>
        <r>
          <rPr>
            <b/>
            <sz val="9"/>
            <color indexed="81"/>
            <rFont val="Tahoma"/>
            <family val="2"/>
          </rPr>
          <t>Gulshan:</t>
        </r>
        <r>
          <rPr>
            <sz val="9"/>
            <color indexed="81"/>
            <rFont val="Tahoma"/>
            <family val="2"/>
          </rPr>
          <t xml:space="preserve">
1.5m thick layer outside M2 masonry</t>
        </r>
      </text>
    </comment>
    <comment ref="E64" authorId="0" shapeId="0">
      <text>
        <r>
          <rPr>
            <b/>
            <sz val="9"/>
            <color indexed="81"/>
            <rFont val="Tahoma"/>
            <family val="2"/>
          </rPr>
          <t>Gulshan:</t>
        </r>
        <r>
          <rPr>
            <sz val="9"/>
            <color indexed="81"/>
            <rFont val="Tahoma"/>
            <family val="2"/>
          </rPr>
          <t xml:space="preserve">
B/w Nof hence only top width is taken</t>
        </r>
      </text>
    </comment>
    <comment ref="E65" authorId="0" shapeId="0">
      <text>
        <r>
          <rPr>
            <b/>
            <sz val="9"/>
            <color indexed="81"/>
            <rFont val="Tahoma"/>
            <family val="2"/>
          </rPr>
          <t>Gulshan:</t>
        </r>
        <r>
          <rPr>
            <sz val="9"/>
            <color indexed="81"/>
            <rFont val="Tahoma"/>
            <family val="2"/>
          </rPr>
          <t xml:space="preserve">
transition b/w training wall and NOF hence half area is taken</t>
        </r>
      </text>
    </comment>
    <comment ref="E66" authorId="0" shapeId="0">
      <text>
        <r>
          <rPr>
            <b/>
            <sz val="9"/>
            <color indexed="81"/>
            <rFont val="Tahoma"/>
            <family val="2"/>
          </rPr>
          <t>Gulshan:</t>
        </r>
        <r>
          <rPr>
            <sz val="9"/>
            <color indexed="81"/>
            <rFont val="Tahoma"/>
            <family val="2"/>
          </rPr>
          <t xml:space="preserve">
Same as above</t>
        </r>
      </text>
    </comment>
    <comment ref="E67" authorId="0" shapeId="0">
      <text>
        <r>
          <rPr>
            <b/>
            <sz val="9"/>
            <color indexed="81"/>
            <rFont val="Tahoma"/>
            <family val="2"/>
          </rPr>
          <t>Gulshan:</t>
        </r>
        <r>
          <rPr>
            <sz val="9"/>
            <color indexed="81"/>
            <rFont val="Tahoma"/>
            <family val="2"/>
          </rPr>
          <t xml:space="preserve">
Same as above</t>
        </r>
      </text>
    </comment>
  </commentList>
</comments>
</file>

<file path=xl/comments2.xml><?xml version="1.0" encoding="utf-8"?>
<comments xmlns="http://schemas.openxmlformats.org/spreadsheetml/2006/main">
  <authors>
    <author>Shubham</author>
  </authors>
  <commentList>
    <comment ref="AA4" authorId="0" shapeId="0">
      <text>
        <r>
          <rPr>
            <b/>
            <sz val="9"/>
            <color indexed="81"/>
            <rFont val="Tahoma"/>
            <family val="2"/>
          </rPr>
          <t>Shubham:</t>
        </r>
        <r>
          <rPr>
            <sz val="9"/>
            <color indexed="81"/>
            <rFont val="Tahoma"/>
            <family val="2"/>
          </rPr>
          <t xml:space="preserve">
Ref. B.R.Banga, Pg no.338</t>
        </r>
      </text>
    </comment>
  </commentList>
</comments>
</file>

<file path=xl/sharedStrings.xml><?xml version="1.0" encoding="utf-8"?>
<sst xmlns="http://schemas.openxmlformats.org/spreadsheetml/2006/main" count="1204" uniqueCount="679">
  <si>
    <r>
      <rPr>
        <b/>
        <sz val="18"/>
        <color theme="1"/>
        <rFont val="Arial"/>
        <family val="2"/>
      </rPr>
      <t>GOVERNMENT OF MADHYA PRADESH</t>
    </r>
    <r>
      <rPr>
        <b/>
        <sz val="16"/>
        <color theme="1"/>
        <rFont val="Arial"/>
        <family val="2"/>
      </rPr>
      <t xml:space="preserve">
</t>
    </r>
  </si>
  <si>
    <t>WATER RESOURCES DEPARTMENT</t>
  </si>
  <si>
    <t xml:space="preserve">
</t>
  </si>
  <si>
    <t>UNIT - 1 HEAD WORK</t>
  </si>
  <si>
    <t>ABSTRACT OF COST FOR - 'C' WORKS</t>
  </si>
  <si>
    <t>S. No</t>
  </si>
  <si>
    <t>Description</t>
  </si>
  <si>
    <t>Unit</t>
  </si>
  <si>
    <t>Quantity</t>
  </si>
  <si>
    <t>Rate</t>
  </si>
  <si>
    <t>Amount</t>
  </si>
  <si>
    <t>(in Rs. Lakhs)</t>
  </si>
  <si>
    <t>Abstract of Cost for Masonry works for:</t>
  </si>
  <si>
    <t>a</t>
  </si>
  <si>
    <t>b</t>
  </si>
  <si>
    <t>Total</t>
  </si>
  <si>
    <t>UNIT-I</t>
  </si>
  <si>
    <t>C-WORKS</t>
  </si>
  <si>
    <t>ABSTRACT ESTIMATE FOR THE CONSTRUCTION OF SPILLWAY</t>
  </si>
  <si>
    <t>SL. NO.</t>
  </si>
  <si>
    <t>DESCRIPTION OF ITEMS</t>
  </si>
  <si>
    <t>UNIT</t>
  </si>
  <si>
    <t>QUANTITY</t>
  </si>
  <si>
    <t>RATE              Rs.     Ps.</t>
  </si>
  <si>
    <t>AMOUNT            Rs.</t>
  </si>
  <si>
    <t>Ref USR</t>
  </si>
  <si>
    <t>Medium shrub jungle(25% to 50% area covered by shrubs) clearance involving removal of grass, shrubs, bushes and twigs including rooting out &amp; disposal etc. Complete.</t>
  </si>
  <si>
    <t>per sqm</t>
  </si>
  <si>
    <t>Preparing foundation bed for masonry or concrete by removing all loose material by wedging / chiselling upto 150 mm and disposing off the same as directed and cleaning the surface with air and water jet including cost of all materials, machinery, labour etc. Complete.</t>
  </si>
  <si>
    <t>Excavation in all kind of soft/loose/hard/dense soils, moorum &amp; moorum mixed with boulders and mud including dressing, placing the excavated soil neatly in specified dump area or disposing off the same as directed including cost of site clearance, all materials, machinery, labour and dressing etc. complete with lead up to 50 m and all lifts.</t>
  </si>
  <si>
    <t>per cum</t>
  </si>
  <si>
    <t>2.01 (a)</t>
  </si>
  <si>
    <t>Excavation in soft/ disintegrated/ weathered rock including wet excavation, dressing, placing the excavated material neatly in specified dump area or disposing off the same as directed including cost of site clearance, all materials, machinery, labour and dressing etc. complete with lead up to 50 m and all lifts.</t>
  </si>
  <si>
    <t>2.02 (b)</t>
  </si>
  <si>
    <t>Excavation in hard rock of all toughness requiring blasting, minimising damage to rock beyond excavation line and placing the excavated rock neatly in specified dump area or disposing off the same as directed including wet excavation, cost of site clearance, all materials, machinery, labour etc. complete with lead up to 50 m and all lifts.</t>
  </si>
  <si>
    <t>2.03 (a)</t>
  </si>
  <si>
    <t>Providing and fixing 25 mm dia. 3 m long cold twisted deformed steel dowel bars with one end driven into 38 mm diameter 1.50 m deep hole drilled in bed rock and other end provided with Lbend for embedding in concrete / masonry of over flow / non-over flow blocks and other appurtenant works including cost of all materials, machinery, labour, drilling and cleaning hole, filling hole with specified cement mortar, driving anchor rod etc. complete with all lead and lifts.</t>
  </si>
  <si>
    <t>Each</t>
  </si>
  <si>
    <t>Wet percussion drilling 50 to 75 mm dia. holes in drainage gallery, for grouting, drainage holes or anchor etc., vertical or at specified inclination, in masonry concrete or rock up to 10 m depth</t>
  </si>
  <si>
    <t>(i) 0° to 10° vertically downwards</t>
  </si>
  <si>
    <t>per Rmt</t>
  </si>
  <si>
    <t>3.03.3.1</t>
  </si>
  <si>
    <t>Consolidation grouting with neat cement grout mix of suitable consistency under specified grout pressure as directed in drilled holes by stage grouting method including cost of all materials, machinery, labour, re-drilling if necessary, required admixtures etc. complete with all lead and lifts.</t>
  </si>
  <si>
    <t>per tonne</t>
  </si>
  <si>
    <t>Providing and laying M-15 grade Mass Concrete design mix using graded aggregates , clean, hard, including cost of all materials, machinery, labour, formwork, cantering, scaffolding, cleaning, batching, mixing, placing in position, levelling, vibrating, finishing, curing etc. complete with lead up to 50 m and all lifts. Using aggregate of maximum size. (a) 40mm</t>
  </si>
  <si>
    <t>3.15.3</t>
  </si>
  <si>
    <t>C-1</t>
  </si>
  <si>
    <t>Providing and laying M-20 grade Mass Concrete design mix using graded aggregates , clean, hard, including cost of all materials, machinery, labour, formwork, cantering, scaffolding, cleaning, batching, mixing, placing in position, levelling, vibrating, finishing, curing etc. complete with lead up to 50 m and all lifts. Using aggregate of maximum size.                  (a) 40 mm</t>
  </si>
  <si>
    <t>3.16.3</t>
  </si>
  <si>
    <t>C-2</t>
  </si>
  <si>
    <t>Providing and laying M-20 grade RCC design mix using graded aggregates, clean, hard including cost of all materials, machinery, labour, formwork, cantering, scaffolding, cleaning, batching, mixing, placing in position, levelling, vibrating, finishing, curing etc. complete with lead up to 50m and all lifts using aggregate of maximum size. (a) 40mm</t>
  </si>
  <si>
    <t>3.18.1</t>
  </si>
  <si>
    <t>Providing and laying M-25 grade RCC design mix using graded aggregates , clean, hard including cost of all materials, machinery, labour, formwork, cleaning, batching, mixing, placing in position in alternate panels as directed, levelling, compacting, finishing, curing, packing joints of shuttering with asphalt mortar etc. complete with lead up to 50m and all lifts using aggregate of maximum size. (a)40mm</t>
  </si>
  <si>
    <t>3.19.1</t>
  </si>
  <si>
    <t>C-5</t>
  </si>
  <si>
    <t>Providing and laying Cement concrete wearing coat M-30 grade
including reinforcement complete as per drawing and Technical
Specifications and as per relevant clauses of sections 1500, 1700 and
Clause 2702 of specifications..</t>
  </si>
  <si>
    <t>MP PWD SOR 14.4 P-68</t>
  </si>
  <si>
    <t>C-7</t>
  </si>
  <si>
    <t>cucm</t>
  </si>
  <si>
    <t>per m</t>
  </si>
  <si>
    <t>MP PWD SOR 8.23 P-47</t>
  </si>
  <si>
    <t>Providing, fabricating and placing in position steel reinforcement bars for Reinforced cement concrete / Plain Cement Concrete structures including cost of all materials, machinery, labour, cleaning, straightening, cutting, bending, hooking, lapping / welding joints wherever required, tying with 1.25 mm diameter soft annealed steel wire etc. complete with lead up to 50 m and all lifts.</t>
  </si>
  <si>
    <t>Tonne</t>
  </si>
  <si>
    <t>Providing and fixing in position 1mm thick and 355 mm wide annealed copper sealing strips In contraction joints, including bending to specified shape and providing butt joints with overlap of 50 mm and 10 mm dia. M. S. anchor rods of 600 mm length at 900 mm centre to centre alternately on both sides, Including welding and brazing of anchor bars and joints, etc. complete in all
respect</t>
  </si>
  <si>
    <t>HOURS</t>
  </si>
  <si>
    <t>3.55.3</t>
  </si>
  <si>
    <t>All types of Gate &amp; Allied works</t>
  </si>
  <si>
    <t>As per Attached Detail</t>
  </si>
  <si>
    <t xml:space="preserve">Coffer Dam </t>
  </si>
  <si>
    <t xml:space="preserve"> Elevator</t>
  </si>
  <si>
    <t xml:space="preserve">As per Market rate </t>
  </si>
  <si>
    <t>Room at elevator</t>
  </si>
  <si>
    <t>As per Market rate</t>
  </si>
  <si>
    <t>Air vent pipe and Drain pipes</t>
  </si>
  <si>
    <t xml:space="preserve">Electrification Work </t>
  </si>
  <si>
    <t>Generator Room ( 2 no.)</t>
  </si>
  <si>
    <t>Instrumentation in Dam</t>
  </si>
  <si>
    <t>Deduct for Govt Excavated rock</t>
  </si>
  <si>
    <t xml:space="preserve"> TOTAL =</t>
  </si>
  <si>
    <t>Instrumentation charge @ 0.5%</t>
  </si>
  <si>
    <t xml:space="preserve">GRAND TOTAL </t>
  </si>
  <si>
    <t>Say</t>
  </si>
  <si>
    <t>NAME OF PROJECT :-</t>
  </si>
  <si>
    <t xml:space="preserve">Vertical Gate quantity </t>
  </si>
  <si>
    <t>Width/Length of gate</t>
  </si>
  <si>
    <t xml:space="preserve"> =</t>
  </si>
  <si>
    <t>M</t>
  </si>
  <si>
    <t>Height of gate</t>
  </si>
  <si>
    <t xml:space="preserve">Water head above sill </t>
  </si>
  <si>
    <t xml:space="preserve"> </t>
  </si>
  <si>
    <t>Spill way length</t>
  </si>
  <si>
    <t>Span of hoist bridge</t>
  </si>
  <si>
    <t>Gantry Capacity</t>
  </si>
  <si>
    <t>T</t>
  </si>
  <si>
    <t>No. of Vertical gate</t>
  </si>
  <si>
    <t>NO</t>
  </si>
  <si>
    <t xml:space="preserve">Stoplog </t>
  </si>
  <si>
    <t xml:space="preserve">FSL </t>
  </si>
  <si>
    <t>SILL</t>
  </si>
  <si>
    <t xml:space="preserve">MWL </t>
  </si>
  <si>
    <t>TBL</t>
  </si>
  <si>
    <t>Pier thick</t>
  </si>
  <si>
    <t xml:space="preserve">VERTICAL GATE </t>
  </si>
  <si>
    <t>Weight of 1 vertical lift gate including embedded parts in tonnes</t>
  </si>
  <si>
    <t xml:space="preserve">  = 0.0690 x (L^2xHxh)^0.716</t>
  </si>
  <si>
    <t>(L) is length = clear vent width inm+1.0m.</t>
  </si>
  <si>
    <t xml:space="preserve"> +</t>
  </si>
  <si>
    <t>(H) is height of gate in m = clear vent height in m+0.20m.</t>
  </si>
  <si>
    <t>(h) is head of water above sill of gate in m = FSL – Sill level</t>
  </si>
  <si>
    <t xml:space="preserve"> -</t>
  </si>
  <si>
    <t xml:space="preserve"> = 0.0690 x (L^2xHxh)^0.716</t>
  </si>
  <si>
    <t>MT</t>
  </si>
  <si>
    <t>Weight of vertical gate</t>
  </si>
  <si>
    <t xml:space="preserve"> x</t>
  </si>
  <si>
    <t>=</t>
  </si>
  <si>
    <t>Weight of Embedded Parts to be taken</t>
  </si>
  <si>
    <t xml:space="preserve">STOPLOG </t>
  </si>
  <si>
    <t xml:space="preserve">  Weight of  Stoplog elements including embedded parts in tonnes </t>
  </si>
  <si>
    <t xml:space="preserve">            = 0.0578 x (L^2xHxh)^0.716</t>
  </si>
  <si>
    <t>(L) is length = clear distance between piers in m+0.65 m.</t>
  </si>
  <si>
    <t>(H) is total height of stoplog gate in m = FRL – Sill level +0.20m.</t>
  </si>
  <si>
    <t>(h) is head of water above sill of gate in m = FRL – Sill level</t>
  </si>
  <si>
    <t>Weight of one gate</t>
  </si>
  <si>
    <t>Number of gate</t>
  </si>
  <si>
    <t xml:space="preserve">  x</t>
  </si>
  <si>
    <t>Embedded Parts</t>
  </si>
  <si>
    <t>Weight of Embedded Parts</t>
  </si>
  <si>
    <t>+</t>
  </si>
  <si>
    <t>No. of Pieces</t>
  </si>
  <si>
    <t>One Piece</t>
  </si>
  <si>
    <t>Weight of Automatic Lifting beam in tones  = 0.02212 x (L^2xHxh)^0.716/n</t>
  </si>
  <si>
    <t>(n) is number of gate elements in 1 set</t>
  </si>
  <si>
    <t>NOS</t>
  </si>
  <si>
    <t>Gantry Crane (No. of stoplog gate+No. of pieces*2.5)</t>
  </si>
  <si>
    <t>Columns with bracings/Anchors/Stiffeners : 400kg per meter height</t>
  </si>
  <si>
    <t>Beams with cross beams/stiffeners : 400kg per meter span</t>
  </si>
  <si>
    <t>Railing/ Chequered plate/Ladder etc. : 10% of wt. of columns/beams</t>
  </si>
  <si>
    <t>Weight of trunnion bridge : 300kg per meter length of catwalk</t>
  </si>
  <si>
    <t xml:space="preserve">Structural Steel </t>
  </si>
  <si>
    <t>Item No</t>
  </si>
  <si>
    <t>Item</t>
  </si>
  <si>
    <t>Total Q</t>
  </si>
  <si>
    <t>Embedded parts of vertical stop log gate</t>
  </si>
  <si>
    <t xml:space="preserve">Radial gate </t>
  </si>
  <si>
    <t>Vertical gate wheel type</t>
  </si>
  <si>
    <r>
      <t xml:space="preserve">Vertical  lift sliding type gate </t>
    </r>
    <r>
      <rPr>
        <sz val="10"/>
        <color indexed="10"/>
        <rFont val="Times New Roman"/>
        <family val="1"/>
      </rPr>
      <t>Stoplog gate</t>
    </r>
  </si>
  <si>
    <t xml:space="preserve">Vertical  lift sliding type Shutter gates </t>
  </si>
  <si>
    <t>electrically operated rope drum hois</t>
  </si>
  <si>
    <t xml:space="preserve">manually operated rope drum hoist </t>
  </si>
  <si>
    <t xml:space="preserve">screw type hoist </t>
  </si>
  <si>
    <t>Moving Gantry Crane ( round off  )</t>
  </si>
  <si>
    <t xml:space="preserve">Automatic lifting beam </t>
  </si>
  <si>
    <t>Structural steel hoist bridge/</t>
  </si>
  <si>
    <t xml:space="preserve">mono-rail hoist </t>
  </si>
  <si>
    <t xml:space="preserve">EOT crane  </t>
  </si>
  <si>
    <t xml:space="preserve">Hydraulic Hoist  </t>
  </si>
  <si>
    <t xml:space="preserve">Sluice gate </t>
  </si>
  <si>
    <t xml:space="preserve">Rail track using  45 kg </t>
  </si>
  <si>
    <t>Total Weight</t>
  </si>
  <si>
    <t>TOTAL</t>
  </si>
  <si>
    <t>CRORE</t>
  </si>
  <si>
    <t>DETAILED ESTIMATE FOR THE CONSTRUCTION OF SPILLWAY</t>
  </si>
  <si>
    <t>S.No.</t>
  </si>
  <si>
    <t>L</t>
  </si>
  <si>
    <t>B</t>
  </si>
  <si>
    <t>H</t>
  </si>
  <si>
    <t>QTY.</t>
  </si>
  <si>
    <t>JUNGLE CLEARENCE</t>
  </si>
  <si>
    <t>AREA</t>
  </si>
  <si>
    <t>Left NOF cum key wall</t>
  </si>
  <si>
    <t>sqm</t>
  </si>
  <si>
    <t>Right NOF  cum key wall</t>
  </si>
  <si>
    <t>OF</t>
  </si>
  <si>
    <t>Apron</t>
  </si>
  <si>
    <t>Key wall</t>
  </si>
  <si>
    <t>Training Wall-Section D/s</t>
  </si>
  <si>
    <t>Training Wall-Section U/s</t>
  </si>
  <si>
    <t>100% of Total Area</t>
  </si>
  <si>
    <t>(As per Statement 1)</t>
  </si>
  <si>
    <t>Nos</t>
  </si>
  <si>
    <t xml:space="preserve">@ 3 m c/c </t>
  </si>
  <si>
    <t>Depth</t>
  </si>
  <si>
    <t>By IS 11293 Part 2</t>
  </si>
  <si>
    <t>Total Qty of Drilling</t>
  </si>
  <si>
    <t>Drilling per Rmt</t>
  </si>
  <si>
    <t>Rmt</t>
  </si>
  <si>
    <t>`@ 25 kg per Rmt</t>
  </si>
  <si>
    <t>Total Qty of Grouting</t>
  </si>
  <si>
    <t>say</t>
  </si>
  <si>
    <t>40mm</t>
  </si>
  <si>
    <t>LENGTH</t>
  </si>
  <si>
    <t>Total Qty of C-1</t>
  </si>
  <si>
    <t>Cum</t>
  </si>
  <si>
    <t>40 mm</t>
  </si>
  <si>
    <t>Over Flow block no -1,2,3,4</t>
  </si>
  <si>
    <t>X sec. Area of O.F. 15.98 Sqm</t>
  </si>
  <si>
    <t>Deduction For Gallerries in OF</t>
  </si>
  <si>
    <t>Deduction For Form Drains</t>
  </si>
  <si>
    <t>Deduction for Vent Pipe</t>
  </si>
  <si>
    <t>Deduction For Pump Chamber</t>
  </si>
  <si>
    <t>Deduction for Elevator</t>
  </si>
  <si>
    <t xml:space="preserve">X sec. Area </t>
  </si>
  <si>
    <t>Key Wall</t>
  </si>
  <si>
    <t>Training Wall-Section 1</t>
  </si>
  <si>
    <t>Training Wall-Section 1'</t>
  </si>
  <si>
    <t>Training Wall-Section 2</t>
  </si>
  <si>
    <t>Training Wall-Section 3</t>
  </si>
  <si>
    <t>Training Wall-Section 4</t>
  </si>
  <si>
    <t>Total Qty of C-2</t>
  </si>
  <si>
    <t>Total Qty of C-4</t>
  </si>
  <si>
    <t>Jump</t>
  </si>
  <si>
    <t>Sluice Arrangement RBC</t>
  </si>
  <si>
    <t>Sluice Arrangement LBC</t>
  </si>
  <si>
    <t xml:space="preserve">X sec. Area of O.F. </t>
  </si>
  <si>
    <t>Over Flow blocks</t>
  </si>
  <si>
    <t>Pier</t>
  </si>
  <si>
    <t>Stilling Basin</t>
  </si>
  <si>
    <t>Total Qty of C-5</t>
  </si>
  <si>
    <t>Wearing Coat (Road)</t>
  </si>
  <si>
    <t>Total Qty of C-7</t>
  </si>
  <si>
    <t>Providing elastomeric bearings such as
restrained neoprene bearings or any
other type with mild steel plates or
shims, manufactured as per specifications given in the approved
design of the bearings, includingpacking, fixing with adhesives as specified in the design etc. complete</t>
  </si>
  <si>
    <t>CUCM</t>
  </si>
  <si>
    <t>Providing and forming expansion joint for bridge consisting of 75 x 75 x 6 mm
angles 2 numbers provided with 250 mm long 12 mm dia. anchors fixed to both flanges at 150 mm c /c and 140 x 6 mm plate welded on top of one of the
angle including cost of all materials,
labour, machinery, providing and fixing
38 mm thick joint filler board
matching the thickness of wearing
coat, painting etc. complete</t>
  </si>
  <si>
    <t>Lm.</t>
  </si>
  <si>
    <t>Providing and constructing PVC pipe
weep holes for concrete / masonry
walls including cost of all materials,
machinery, labour, providing 200 x
200 x 200 mm size porous concrete
block made of cement and 20 mm
down coarse aggregate in 1 : 4
proportion by volume with 100 mm
thick sand backing at the junction of
wall and soil back fill, etc.,
complete-  100 mm dia pipe</t>
  </si>
  <si>
    <t>Weep hole in training walls</t>
  </si>
  <si>
    <t>Total Expose area Lx H</t>
  </si>
  <si>
    <t xml:space="preserve">Us </t>
  </si>
  <si>
    <t>Ds</t>
  </si>
  <si>
    <t>Total :-</t>
  </si>
  <si>
    <t>Providing, fencing and erecting 50 mm dia (weighing 3.56 kg per mts.) painted steel pipe railing in 3 rows on precast M20 grade RCC vertical posts1.8 metres high (1.2 m above GL) with 3 holes 50 mm dia for pipe, fixed 2 metres centre to, complete as per
approved drawing.</t>
  </si>
  <si>
    <t xml:space="preserve">Surface Area </t>
  </si>
  <si>
    <t xml:space="preserve">IN MCC work 6 kg per sq/m </t>
  </si>
  <si>
    <t>Kg</t>
  </si>
  <si>
    <t>OF @ 6 kg/m²</t>
  </si>
  <si>
    <t xml:space="preserve">Total RCC </t>
  </si>
  <si>
    <t>In NOF Portion block joints</t>
  </si>
  <si>
    <t>RM</t>
  </si>
  <si>
    <t>In O.F. Portion block joints</t>
  </si>
  <si>
    <t xml:space="preserve">Total Qty of PVC water joints </t>
  </si>
  <si>
    <t>Dewatering and pumping the working area including all connecting operation required etc. complete. for
cleanliness of working area by 10 hp to 20 hp diesel pump</t>
  </si>
  <si>
    <t>5 PUMPS 16 HOURS 180 DAY FOR 2 YEARS</t>
  </si>
  <si>
    <t xml:space="preserve">SECTION </t>
  </si>
  <si>
    <t>FROM</t>
  </si>
  <si>
    <t>TO</t>
  </si>
  <si>
    <t>C1</t>
  </si>
  <si>
    <t>C2</t>
  </si>
  <si>
    <t>C3</t>
  </si>
  <si>
    <t>C4</t>
  </si>
  <si>
    <t>C5</t>
  </si>
  <si>
    <t>NON OVERFLOW</t>
  </si>
  <si>
    <t>OVERFLOW</t>
  </si>
  <si>
    <t xml:space="preserve">Us Apron </t>
  </si>
  <si>
    <t>NON OVERFLOW/Power House</t>
  </si>
  <si>
    <t>PIER</t>
  </si>
  <si>
    <t>STRLING BASIN TOP</t>
  </si>
  <si>
    <t>D/S APRON</t>
  </si>
  <si>
    <t>CUT OFF WALL US APRON</t>
  </si>
  <si>
    <t>CUT OFF WALL DS APRON</t>
  </si>
  <si>
    <t>BRIDGE  DECK SLAB &amp; LONGITUDINAL GIRDER</t>
  </si>
  <si>
    <t>Cross Girder</t>
  </si>
  <si>
    <t>TOTAL:-</t>
  </si>
  <si>
    <t>M-15</t>
  </si>
  <si>
    <t>M-20</t>
  </si>
  <si>
    <t>M-25</t>
  </si>
  <si>
    <t>M-30</t>
  </si>
  <si>
    <t>QUANTITY CALCULATION FOR EXCAVATION OF SPILLWAY (Statement 1)</t>
  </si>
  <si>
    <t>Chainage</t>
  </si>
  <si>
    <t>Length</t>
  </si>
  <si>
    <t>Avg. GL</t>
  </si>
  <si>
    <t>Foundation Level</t>
  </si>
  <si>
    <t>Width</t>
  </si>
  <si>
    <t>Depth of Cut</t>
  </si>
  <si>
    <t>slope</t>
  </si>
  <si>
    <t>T.W</t>
  </si>
  <si>
    <t>Area</t>
  </si>
  <si>
    <t>Mean Area</t>
  </si>
  <si>
    <t>Remark</t>
  </si>
  <si>
    <t>Left Key Wall</t>
  </si>
  <si>
    <t>LNOF</t>
  </si>
  <si>
    <t>Overflow</t>
  </si>
  <si>
    <t>RNOF</t>
  </si>
  <si>
    <t>Right Key Wall</t>
  </si>
  <si>
    <t>Enviro.Sluice</t>
  </si>
  <si>
    <t>D/s L Training Wall</t>
  </si>
  <si>
    <t>D/s  R Training Wall</t>
  </si>
  <si>
    <t>D/s R Training Wall</t>
  </si>
  <si>
    <t>U/s L Training Wall</t>
  </si>
  <si>
    <t>U/s L  Training Wall</t>
  </si>
  <si>
    <t>U/s R  Training Wall</t>
  </si>
  <si>
    <t>U/s  R Training Wall</t>
  </si>
  <si>
    <t>Sump Well</t>
  </si>
  <si>
    <t>Total =</t>
  </si>
  <si>
    <t>D/s Spill portion Excavation:-</t>
  </si>
  <si>
    <t xml:space="preserve">Total Qty of Excavation of Spill Channel  =
 </t>
  </si>
  <si>
    <t>m</t>
  </si>
  <si>
    <t>cum</t>
  </si>
  <si>
    <t>UNIT I HEADWORKS</t>
  </si>
  <si>
    <t>'L' EARTHWORK- ABSTRACT OF COST OF EARTHEN DAM</t>
  </si>
  <si>
    <t>Item of Work</t>
  </si>
  <si>
    <t>Qty.</t>
  </si>
  <si>
    <t>Rate 
(in Rs)</t>
  </si>
  <si>
    <t>Amount
 (in Rs)</t>
  </si>
  <si>
    <t xml:space="preserve">Ref. CSR </t>
  </si>
  <si>
    <t>Ordinary shrub jungle (area below 25% covered by shrubs) clearance involving removal of grass, shrubs, bushes and twigs including rooting out &amp; disposal etc. complete.</t>
  </si>
  <si>
    <t>Medium shrub jungle(25% to 50% area covered by shrubs) clearance involving removal of grass, shrubs, bushes and twigs including rooting out &amp; disposal etc.complete.</t>
  </si>
  <si>
    <t>Thick shrub jungle (area above 50% covered by shrubs) clearance involving removal of grass, shrubs, bushes and twigs including rooting out &amp; disposal etc. complete</t>
  </si>
  <si>
    <t>Removing stumps, tree roots etc., including excavation, stacking materials neatly and levelling surface etc. complete.</t>
  </si>
  <si>
    <t>Girth up to 0.60 m</t>
  </si>
  <si>
    <t>9.04.1</t>
  </si>
  <si>
    <t xml:space="preserve">Girth over 0.6 m up to 1.2m </t>
  </si>
  <si>
    <t>9.04.2</t>
  </si>
  <si>
    <t>Stripping the seat of embankment of all foreign materials, vegetation and other growth like grass roots etc. and removing the rubbish up to a suitable distance including dressing and jungle clearance etc. complete.</t>
  </si>
  <si>
    <t xml:space="preserve">EXCAVATION </t>
  </si>
  <si>
    <r>
      <t xml:space="preserve">Excavation in all kind of </t>
    </r>
    <r>
      <rPr>
        <b/>
        <sz val="10"/>
        <rFont val="Arial"/>
        <family val="2"/>
      </rPr>
      <t>soft/loose/hard/dense soils, moorum &amp; moorum mixed with boulders and mud</t>
    </r>
    <r>
      <rPr>
        <sz val="11"/>
        <color theme="1"/>
        <rFont val="Calibri"/>
        <family val="2"/>
        <scheme val="minor"/>
      </rPr>
      <t xml:space="preserve"> including dressing, placing the excavated soil neatly in specified dump area or disposing off the same as directed, including cost of site clearance, all materials, machinery, labour and dressing etc. Complete.</t>
    </r>
  </si>
  <si>
    <t>(A)</t>
  </si>
  <si>
    <t>CUT-OFF TRENCH</t>
  </si>
  <si>
    <t>(B)</t>
  </si>
  <si>
    <t>FILTER</t>
  </si>
  <si>
    <t>(C)</t>
  </si>
  <si>
    <t>DRAIN</t>
  </si>
  <si>
    <r>
      <t xml:space="preserve">Excavation in </t>
    </r>
    <r>
      <rPr>
        <b/>
        <sz val="10"/>
        <rFont val="Arial"/>
        <family val="2"/>
      </rPr>
      <t>hard rock</t>
    </r>
    <r>
      <rPr>
        <sz val="11"/>
        <color theme="1"/>
        <rFont val="Calibri"/>
        <family val="2"/>
        <scheme val="minor"/>
      </rPr>
      <t xml:space="preserve"> of all toughness requiring blasting, minimising damage to rock beyond excavation line and placing the excavated rock neatly in specified dump area or disposing off the same as directed, including wet excavation, cost of site clearance, all materials, machinery, labour etc. Complete</t>
    </r>
  </si>
  <si>
    <t xml:space="preserve">Earthwork  for  embankment  (hearting/  casing) using selected soil from approved borrow areas in layers  of  250  to  300  mm  (before  compaction) including cost of all materials, machinery, labour and   dressing,   all   other   operations   such   as collection  of  soil,  spreading  soil   in  layer   of specified  thickness,  sorting  out,  breaking  clods, levelling,   sectioning   edges   /   sides, (excluding  watering and compacting). </t>
  </si>
  <si>
    <t xml:space="preserve">Earthwork for cut off trench filling using selected impervious  soil  from  approved  borrow  areas  in layers  of  250  to  300  mm  (before  compaction) including  cost  of  site  clearance,  all  materials, machinery, labour, dressing, all other operations such as collection of soil, spreading soil in layer of specified thickness, sorting out, breaking clods, levelling,    watering,    compacting    to    achieve maximum    dry    density    using    sheep    foot roller/vibratory compactors etc. Complete. </t>
  </si>
  <si>
    <t>Compaction of earthwork at optimum moisture content to achieve maximum dry density by mechanical sheep foot roller/vibratory compactors etc. (excluding watering)</t>
  </si>
  <si>
    <t>Watering earthwork for compaction at optimum moisture content.</t>
  </si>
  <si>
    <t>Construction of rock toe in earthen embankments Including laying and hand packing, dressing, wedging and finishing over surface etc. complete.</t>
  </si>
  <si>
    <t>Other than black trap, basalt or granite</t>
  </si>
  <si>
    <t>3.37.2.1</t>
  </si>
  <si>
    <r>
      <t xml:space="preserve">Providing filter blanket horizontally, Including laying, spreading, packing etc. Complete in layers of required thickness but excluding excavation of foundation. </t>
    </r>
    <r>
      <rPr>
        <b/>
        <sz val="10"/>
        <rFont val="Arial"/>
        <family val="2"/>
      </rPr>
      <t>(Extended filter)</t>
    </r>
  </si>
  <si>
    <t>Metal 40 mm nominal size.</t>
  </si>
  <si>
    <t>3.35.3</t>
  </si>
  <si>
    <t>Sand passing through 4.75 mm screen</t>
  </si>
  <si>
    <t>3.35.10</t>
  </si>
  <si>
    <r>
      <t xml:space="preserve">On inclined surfaces </t>
    </r>
    <r>
      <rPr>
        <b/>
        <sz val="10"/>
        <rFont val="Arial"/>
        <family val="2"/>
      </rPr>
      <t>(Inclined filter)</t>
    </r>
  </si>
  <si>
    <t>metal 40 mm nominal size.</t>
  </si>
  <si>
    <t>3.36.1.3</t>
  </si>
  <si>
    <t>Sand passing through 4.75 mm screen.</t>
  </si>
  <si>
    <t>3.36.1.10</t>
  </si>
  <si>
    <t xml:space="preserve">Providing and constructing longitudinal/cross drains trapezoidal in shape with 1 m bottom width and depth of 0.9 m having side slope of 1:1 with graded filter having 150 mm thick sand &amp; metal layer, and 300 mm thick rubble layer from approved source satisfying specified filter criteria in layers of specified thickness including cost of all materials, machinery, labour, laying to required slopes, compaction etc. complete as per specification and approved drawings.
</t>
  </si>
  <si>
    <t>(b) Sand</t>
  </si>
  <si>
    <t>3.34.1</t>
  </si>
  <si>
    <t>(c) Aggregate 40mm nominal size</t>
  </si>
  <si>
    <t>3.34.2</t>
  </si>
  <si>
    <t>(d) Rubble</t>
  </si>
  <si>
    <t>3.34.3</t>
  </si>
  <si>
    <t>Providing and constructing Dry rubble wall (toe wall) with stone of minimum size 0.021 cum at the base of stone pitching or rip-rap excluding excavation etc. complete.</t>
  </si>
  <si>
    <t>Providing and constructing hand packed riprap as
per IS- 8237 over 300 mm thickgraded filter media
backing consisting of sand, clean; hard, and 40mm
graded (MetaUshingle) aggregates laid in layers of 150 mm thick each including cost of all materials, labour, hand packing/ wedging stone chips finishing etc. Complete. 450 MM THK</t>
  </si>
  <si>
    <t>3.46.2</t>
  </si>
  <si>
    <t>Providing stone chips under stone pitching complete.</t>
  </si>
  <si>
    <t>Preparing surface for turfing, including laying 15 cm of good soil on top in 7.5 cm layers, surface watering and light ramming etc. Completes</t>
  </si>
  <si>
    <t>Turfing on prepared surface including seed or sods.</t>
  </si>
  <si>
    <t>Dewatering and pumping the working area including all connecting operation required etc. complete. for cleanliness of working area by</t>
  </si>
  <si>
    <t>5hp to 10 hp diesel pump</t>
  </si>
  <si>
    <t>Hrs</t>
  </si>
  <si>
    <t>3.55.2</t>
  </si>
  <si>
    <t>Drilling  50  to  75  mm  dia.  holes  vertical  or inclined  upto  10  degrees to  vertical  in  rock  / masonry   /   concrete   by   percussion   drilling method   using   waggon   drill   or   any   other suitable   equipment   including   cost    of   all materials,    machinery,    labour,    re-drilling through partially set grout wherever required etc. complete</t>
  </si>
  <si>
    <t>Beyond 0 m to 06 m from surface :</t>
  </si>
  <si>
    <t>3.03.1.1</t>
  </si>
  <si>
    <t xml:space="preserve">Beyond 6 m depth   from surface   add extra for every 6 m. additional depth : </t>
  </si>
  <si>
    <t>3.03.1.2</t>
  </si>
  <si>
    <t>Consolidation grouting with neat cement grout mix of suitable consistency under specified grout pressure as directed in drilled holes by stage grouting method including cost of all materials, machinery, labour, re-drilling if necessary, required</t>
  </si>
  <si>
    <t>DEDUCT FOR GOVT. EXCAVATED ROCK</t>
  </si>
  <si>
    <t>CUM</t>
  </si>
  <si>
    <t>PROTECTION</t>
  </si>
  <si>
    <t xml:space="preserve">Training Wall Along River Side of Spill chnnal </t>
  </si>
  <si>
    <t>(M-15 A150)</t>
  </si>
  <si>
    <t>(M-20 A150)</t>
  </si>
  <si>
    <t xml:space="preserve">Surface RCC </t>
  </si>
  <si>
    <t>tonn</t>
  </si>
  <si>
    <t>Other</t>
  </si>
  <si>
    <t>GRAND TOTAL</t>
  </si>
  <si>
    <t>UTILIZATION STATEMENT FOR THE CONSTRUCTION OF EARTHEN DAM</t>
  </si>
  <si>
    <t>UTILIZATION</t>
  </si>
  <si>
    <t>For H.S/H.M  =</t>
  </si>
  <si>
    <t>For D.I.R/S.R =</t>
  </si>
  <si>
    <t>For H.R =</t>
  </si>
  <si>
    <t>SNO.</t>
  </si>
  <si>
    <t>PARTICULARS</t>
  </si>
  <si>
    <t>RECIEVED QTY FROM EXCAVATION</t>
  </si>
  <si>
    <t>TOTAL UTILIZABLE QUANTITY FROM EXCAVATION</t>
  </si>
  <si>
    <t>Qty.of Sand</t>
  </si>
  <si>
    <t>Qty.of H.S./H.M</t>
  </si>
  <si>
    <t>Qty.of D.R./S.R</t>
  </si>
  <si>
    <t>Qty.of H.R.</t>
  </si>
  <si>
    <t>H.S /H.M  
90%</t>
  </si>
  <si>
    <t xml:space="preserve">D.I.R/S.R. 
</t>
  </si>
  <si>
    <t>H.R.  
90%</t>
  </si>
  <si>
    <t>Stripping</t>
  </si>
  <si>
    <t>Cut off Trench</t>
  </si>
  <si>
    <t xml:space="preserve"> Filter</t>
  </si>
  <si>
    <t>Drains</t>
  </si>
  <si>
    <t>Spillway</t>
  </si>
  <si>
    <t>TOTAL UTILIZATION</t>
  </si>
  <si>
    <t>UTILIZATION STATEMENT</t>
  </si>
  <si>
    <t>Sno</t>
  </si>
  <si>
    <t>Particulars</t>
  </si>
  <si>
    <t>Qty Required 
(cum)</t>
  </si>
  <si>
    <t>Qty Recieved 
(cum)</t>
  </si>
  <si>
    <t>Net Qty to be brought from Quarry  (cum)</t>
  </si>
  <si>
    <t>Boulder</t>
  </si>
  <si>
    <t>Quantity Left After Boulder Use</t>
  </si>
  <si>
    <t>Pitching stone</t>
  </si>
  <si>
    <t>Quantity Left After Pitching Use</t>
  </si>
  <si>
    <t>Quarry Spall / Gravel</t>
  </si>
  <si>
    <t xml:space="preserve">Unutilized Quantity Left </t>
  </si>
  <si>
    <t>Sand</t>
  </si>
  <si>
    <t xml:space="preserve">Cement </t>
  </si>
  <si>
    <t>Metal</t>
  </si>
  <si>
    <t>Masonry Stone</t>
  </si>
  <si>
    <t>Rubble</t>
  </si>
  <si>
    <t>C.O.T. Soil</t>
  </si>
  <si>
    <t>E/W Soil</t>
  </si>
  <si>
    <t>Quantity of Earthwork of Dam</t>
  </si>
  <si>
    <t>Max ht of dam =</t>
  </si>
  <si>
    <t>FTL</t>
  </si>
  <si>
    <t>MWL</t>
  </si>
  <si>
    <t>LSL</t>
  </si>
  <si>
    <t>Height of Dam</t>
  </si>
  <si>
    <t>Slopes</t>
  </si>
  <si>
    <t>Width at end of slope (without berm) in U/S</t>
  </si>
  <si>
    <t>U/S</t>
  </si>
  <si>
    <t xml:space="preserve">Area </t>
  </si>
  <si>
    <t>Top width of Dam =</t>
  </si>
  <si>
    <t>mts</t>
  </si>
  <si>
    <t>to</t>
  </si>
  <si>
    <t>RL</t>
  </si>
  <si>
    <t>U/S berm</t>
  </si>
  <si>
    <t>D/S</t>
  </si>
  <si>
    <t>D/s berm-1</t>
  </si>
  <si>
    <t>D/s berm-2</t>
  </si>
  <si>
    <t>R.D.</t>
  </si>
  <si>
    <t>G.L.</t>
  </si>
  <si>
    <t>Height of dam</t>
  </si>
  <si>
    <t>U/S Area</t>
  </si>
  <si>
    <t>Central Area</t>
  </si>
  <si>
    <t>D/S Area</t>
  </si>
  <si>
    <t>Total Area</t>
  </si>
  <si>
    <t>Distance</t>
  </si>
  <si>
    <t>Quantity         (in cum)</t>
  </si>
  <si>
    <t>from</t>
  </si>
  <si>
    <t>Berm R.L.</t>
  </si>
  <si>
    <t xml:space="preserve">to </t>
  </si>
  <si>
    <t>width</t>
  </si>
  <si>
    <t>1)</t>
  </si>
  <si>
    <t>Total Emb Qty</t>
  </si>
  <si>
    <t>Add Qty for Wrap around</t>
  </si>
  <si>
    <t>Total Earthwork Qty</t>
  </si>
  <si>
    <t>Deduct For</t>
  </si>
  <si>
    <t>a)</t>
  </si>
  <si>
    <t>Rock Toe/Boulder Toe</t>
  </si>
  <si>
    <t>b)</t>
  </si>
  <si>
    <t>Inclined Filter</t>
  </si>
  <si>
    <t>c)</t>
  </si>
  <si>
    <t>Horizontal Filter</t>
  </si>
  <si>
    <t>d)</t>
  </si>
  <si>
    <t>Cross Drains</t>
  </si>
  <si>
    <t>e)</t>
  </si>
  <si>
    <t xml:space="preserve">Pitching </t>
  </si>
  <si>
    <t xml:space="preserve">NET EMBANKMENT QTY </t>
  </si>
  <si>
    <t>`</t>
  </si>
  <si>
    <t>DAM HEIGHT</t>
  </si>
  <si>
    <t>HEIGHT OF BT</t>
  </si>
  <si>
    <t xml:space="preserve">BOULDER TOE QUANTITY </t>
  </si>
  <si>
    <t>MWL :-</t>
  </si>
  <si>
    <t>Maximum Ht. Of proposed Dam</t>
  </si>
  <si>
    <t>R.D.
 (m)</t>
  </si>
  <si>
    <t>Length (m)</t>
  </si>
  <si>
    <t>Stripping Level (m)</t>
  </si>
  <si>
    <t>M.W.L
(m)</t>
  </si>
  <si>
    <t>H 
(m)</t>
  </si>
  <si>
    <t>Boulder Toe level 
(m)</t>
  </si>
  <si>
    <t>Height of B.T.
(m)</t>
  </si>
  <si>
    <t>Inner slope</t>
  </si>
  <si>
    <t>Outer slope</t>
  </si>
  <si>
    <t>Area (Sqm)</t>
  </si>
  <si>
    <t>M.A (sqm)</t>
  </si>
  <si>
    <t>Qty
 (cum)</t>
  </si>
  <si>
    <t>B.W. of Boulder Toe</t>
  </si>
  <si>
    <t>Inclined Length of B.T</t>
  </si>
  <si>
    <t>&gt;</t>
  </si>
  <si>
    <t xml:space="preserve">TOTAL </t>
  </si>
  <si>
    <t>i)</t>
  </si>
  <si>
    <t>Total Qty of excavation of Boulder Toe</t>
  </si>
  <si>
    <t>Quantity of Cut off</t>
  </si>
  <si>
    <t>Depth adjusted to keep slope as minimum 0.25:1</t>
  </si>
  <si>
    <t>Bottom width of cutoff =</t>
  </si>
  <si>
    <t>Slope</t>
  </si>
  <si>
    <t>M.W.L.=</t>
  </si>
  <si>
    <t>Depth of cutoff</t>
  </si>
  <si>
    <t>Bottom width of cutoff</t>
  </si>
  <si>
    <t xml:space="preserve">Extra width due to1.50 mts  berm at  every 3 mts </t>
  </si>
  <si>
    <t>Top width of cutoff</t>
  </si>
  <si>
    <t>C/S Area</t>
  </si>
  <si>
    <t>Avg. C/S Area</t>
  </si>
  <si>
    <t xml:space="preserve">Qty of cut off </t>
  </si>
  <si>
    <t>Bottom RL of cutoff</t>
  </si>
  <si>
    <t>longitudinal slope of cut off</t>
  </si>
  <si>
    <t>Remarks</t>
  </si>
  <si>
    <t>Hard soil/Hard moorum</t>
  </si>
  <si>
    <t>D.I.R/Soft Rock</t>
  </si>
  <si>
    <t>Hard Rock</t>
  </si>
  <si>
    <t xml:space="preserve">TURFING QUANTITY </t>
  </si>
  <si>
    <t>Length 
(m)</t>
  </si>
  <si>
    <t>Stripping Level
(m)</t>
  </si>
  <si>
    <t>Height of Bund
(m)</t>
  </si>
  <si>
    <t>D/S Inclined Length upto Rock Toe Level (m)</t>
  </si>
  <si>
    <t>Average L
(m)</t>
  </si>
  <si>
    <t>Area 
(sqm)</t>
  </si>
  <si>
    <t>TOTAL TURFING AREA =</t>
  </si>
  <si>
    <t>Quantity of Benching/Stripping</t>
  </si>
  <si>
    <t xml:space="preserve">Excavation in Sand upto </t>
  </si>
  <si>
    <t xml:space="preserve"> m from Natural ground </t>
  </si>
  <si>
    <t>Bottom Width of Dam</t>
  </si>
  <si>
    <t>Original G.L.</t>
  </si>
  <si>
    <t>Modified G.L.</t>
  </si>
  <si>
    <t>Bottom Width</t>
  </si>
  <si>
    <t>Avrage Botttom Width</t>
  </si>
  <si>
    <t xml:space="preserve">Depth of Cutting </t>
  </si>
  <si>
    <t>5</t>
  </si>
  <si>
    <t>6</t>
  </si>
  <si>
    <t>H.S/H.M</t>
  </si>
  <si>
    <t>JUNGLE CLEARENCE AREA</t>
  </si>
  <si>
    <t>Depth of JC-</t>
  </si>
  <si>
    <t>R.D
(m)</t>
  </si>
  <si>
    <t>Length
(m)</t>
  </si>
  <si>
    <t>G.L.
(m)</t>
  </si>
  <si>
    <t>Depth 
(m)</t>
  </si>
  <si>
    <t>S.L. 
(m)</t>
  </si>
  <si>
    <t>Width
(m)</t>
  </si>
  <si>
    <t>Extra Width (30 m on both sides)</t>
  </si>
  <si>
    <t>Total Width
 (m)</t>
  </si>
  <si>
    <t>Area
(sqm)</t>
  </si>
  <si>
    <t>Mean Area
(sqm)</t>
  </si>
  <si>
    <t>TOTAL AREA FOR JUNGLE CLEARENCE</t>
  </si>
  <si>
    <t xml:space="preserve">Ordinary Jungle Clearance </t>
  </si>
  <si>
    <t xml:space="preserve">Medium Jungle Clearance </t>
  </si>
  <si>
    <t>Thick jungle Clearance</t>
  </si>
  <si>
    <t>Qty of U/s and D/s pitching</t>
  </si>
  <si>
    <t xml:space="preserve">U/s  </t>
  </si>
  <si>
    <t>Height B/W</t>
  </si>
  <si>
    <t xml:space="preserve">Salant Length </t>
  </si>
  <si>
    <t>-</t>
  </si>
  <si>
    <t>U/s slant length of pitching</t>
  </si>
  <si>
    <t>HT OF  BT</t>
  </si>
  <si>
    <t>HT of PITCHING</t>
  </si>
  <si>
    <t>HT of Back Water</t>
  </si>
  <si>
    <t>U/s Average  length of pitching</t>
  </si>
  <si>
    <t>D/s slant length of pitching</t>
  </si>
  <si>
    <t>D/s Average  length of pitching</t>
  </si>
  <si>
    <t>U/s Area of pitching</t>
  </si>
  <si>
    <t>D/s Area of pitching</t>
  </si>
  <si>
    <t>Qty of DRY STONE PITCHING:-</t>
  </si>
  <si>
    <t>Qty of STONE CHIPS:-</t>
  </si>
  <si>
    <t>4)</t>
  </si>
  <si>
    <t>Toe wall at the base of Pitching :-</t>
  </si>
  <si>
    <t>Qty</t>
  </si>
  <si>
    <t xml:space="preserve">TOTALTOE WALL  QTY </t>
  </si>
  <si>
    <t>INCLINED FILTER QUANTITY ABOVE BOULDER TOE</t>
  </si>
  <si>
    <t>Thk of Sand Layer   =</t>
  </si>
  <si>
    <t>Thk of Grael Layer   =</t>
  </si>
  <si>
    <t>R.D 
(m)</t>
  </si>
  <si>
    <t>Height of Rock Toe
(m)</t>
  </si>
  <si>
    <t xml:space="preserve">Inner Slope </t>
  </si>
  <si>
    <t>Length of Inclined Filter above BT
(m)</t>
  </si>
  <si>
    <t>M.A 
(sqm)</t>
  </si>
  <si>
    <t>SAND LAYER</t>
  </si>
  <si>
    <t>GRAVEL LAYER</t>
  </si>
  <si>
    <t>Thickness  (m)</t>
  </si>
  <si>
    <r>
      <t>Qty (cum</t>
    </r>
    <r>
      <rPr>
        <b/>
        <sz val="10"/>
        <rFont val="Calibri"/>
        <family val="2"/>
      </rPr>
      <t>)</t>
    </r>
  </si>
  <si>
    <t>Thickness (m)</t>
  </si>
  <si>
    <t>Total Qty of Gravel in Inclined Filter</t>
  </si>
  <si>
    <t>2)</t>
  </si>
  <si>
    <t>Total Qty of Sand in Inclined Filter</t>
  </si>
  <si>
    <t>INCLINED FILTER QUANTITY ABOVE GL</t>
  </si>
  <si>
    <t>Height of Hearting</t>
  </si>
  <si>
    <t>SAND LAYER(two layer)</t>
  </si>
  <si>
    <t xml:space="preserve">EXTENDED FILTER QUANTITY </t>
  </si>
  <si>
    <t xml:space="preserve">B.W. Of Dam
(m) </t>
  </si>
  <si>
    <t>B.W. Of Hearting
(m)</t>
  </si>
  <si>
    <t xml:space="preserve">B.W. Of Boulder Toe
(m) </t>
  </si>
  <si>
    <t xml:space="preserve">Width of Horizontal Filter </t>
  </si>
  <si>
    <t>Thickness of Sand Layer (m)</t>
  </si>
  <si>
    <r>
      <t>Qty of Sand Layer (m</t>
    </r>
    <r>
      <rPr>
        <b/>
        <vertAlign val="superscript"/>
        <sz val="10"/>
        <rFont val="Calibri"/>
        <family val="2"/>
      </rPr>
      <t>3</t>
    </r>
    <r>
      <rPr>
        <b/>
        <sz val="10"/>
        <rFont val="Calibri"/>
        <family val="2"/>
      </rPr>
      <t>)</t>
    </r>
  </si>
  <si>
    <t>Thickness of Gravel Layer (m)</t>
  </si>
  <si>
    <r>
      <t>Qty of Gravel Layer (m</t>
    </r>
    <r>
      <rPr>
        <b/>
        <vertAlign val="superscript"/>
        <sz val="10"/>
        <rFont val="Calibri"/>
        <family val="2"/>
      </rPr>
      <t>3</t>
    </r>
    <r>
      <rPr>
        <b/>
        <sz val="10"/>
        <rFont val="Calibri"/>
        <family val="2"/>
      </rPr>
      <t>)</t>
    </r>
  </si>
  <si>
    <t>Hearting Slope</t>
  </si>
  <si>
    <t>TW of Hearting</t>
  </si>
  <si>
    <t xml:space="preserve">Total Qty of Sand in Inclined Filter (in 2 layer) </t>
  </si>
  <si>
    <t>EXCAVATION QUANTITY FOR  FILTER</t>
  </si>
  <si>
    <t>Depth Below GL of Filter =</t>
  </si>
  <si>
    <t>Depth of Filter below G.L
(m)</t>
  </si>
  <si>
    <r>
      <t>Qty of Excavation (cum</t>
    </r>
    <r>
      <rPr>
        <b/>
        <sz val="10"/>
        <rFont val="Calibri"/>
        <family val="2"/>
      </rPr>
      <t>)</t>
    </r>
  </si>
  <si>
    <t>Total Qty of Excavation for Mat Filter</t>
  </si>
  <si>
    <t>Total Qty of Excavation for  Filter</t>
  </si>
  <si>
    <t>3)</t>
  </si>
  <si>
    <t>D.I.R/S.R</t>
  </si>
  <si>
    <t>6)</t>
  </si>
  <si>
    <t>H.R</t>
  </si>
  <si>
    <t>Depth of Toe Drain=</t>
  </si>
  <si>
    <t>Top Width of Toe drain =</t>
  </si>
  <si>
    <t>TW</t>
  </si>
  <si>
    <t xml:space="preserve">TOE DRAIN QUANTITY </t>
  </si>
  <si>
    <t>R.D (m)</t>
  </si>
  <si>
    <t>Dam D/s Slope</t>
  </si>
  <si>
    <t>Slope of Toe Drain on the other side</t>
  </si>
  <si>
    <t>Depth of Drain</t>
  </si>
  <si>
    <t>BOULDER LAYER</t>
  </si>
  <si>
    <t>T.W.</t>
  </si>
  <si>
    <t>B.W.</t>
  </si>
  <si>
    <t>Slant Length on Dam Side</t>
  </si>
  <si>
    <t>Slant Length on Other Side</t>
  </si>
  <si>
    <r>
      <t>Qty of Boulder Layer (m</t>
    </r>
    <r>
      <rPr>
        <b/>
        <vertAlign val="superscript"/>
        <sz val="10"/>
        <rFont val="Calibri"/>
        <family val="2"/>
      </rPr>
      <t>3</t>
    </r>
    <r>
      <rPr>
        <b/>
        <sz val="10"/>
        <rFont val="Calibri"/>
        <family val="2"/>
      </rPr>
      <t>)</t>
    </r>
  </si>
  <si>
    <t>Total qty. of Boulder</t>
  </si>
  <si>
    <t>Total qty. of Gravel</t>
  </si>
  <si>
    <t>Total qty. of Sand</t>
  </si>
  <si>
    <t xml:space="preserve">TOE DRAIN EXCAVATION QUANTITY </t>
  </si>
  <si>
    <t>R.D. 
(m)</t>
  </si>
  <si>
    <t>Total Depth of Drain
(m)</t>
  </si>
  <si>
    <t>B.W.
(m)</t>
  </si>
  <si>
    <t>T.W.
(m)</t>
  </si>
  <si>
    <t>Area
(m)</t>
  </si>
  <si>
    <t xml:space="preserve">OUTFALL DRAIN EXCAVATION QUANTITY </t>
  </si>
  <si>
    <t>No.</t>
  </si>
  <si>
    <t>Av.Width</t>
  </si>
  <si>
    <t>Height</t>
  </si>
  <si>
    <t xml:space="preserve">OutFall (Longitudanal)  Drain </t>
  </si>
  <si>
    <t xml:space="preserve">OutFall ( Parallel) Drain </t>
  </si>
  <si>
    <t>TOTAL QTY OF EXCAVATION FOR DRAINS</t>
  </si>
  <si>
    <t>SR/DIR</t>
  </si>
  <si>
    <t xml:space="preserve">DRILLING AND GROUTING QUANTITY </t>
  </si>
  <si>
    <t>S.L.</t>
  </si>
  <si>
    <t>Bottom R.L. of Grouting</t>
  </si>
  <si>
    <t>Head of Water</t>
  </si>
  <si>
    <t>Grouting 70% of Water Head for more than 10m</t>
  </si>
  <si>
    <t>Holes No. 2 Row &amp; 6M. Apart</t>
  </si>
  <si>
    <t>Quantity in Length</t>
  </si>
  <si>
    <t>Length of Hole Depth upto 6 m</t>
  </si>
  <si>
    <t>Length of Hole Depth more then 6 m</t>
  </si>
  <si>
    <t>Grouting</t>
  </si>
  <si>
    <t>Bags</t>
  </si>
  <si>
    <t>CEMENT</t>
  </si>
  <si>
    <t>Cu.M.</t>
  </si>
  <si>
    <t>EOD</t>
  </si>
  <si>
    <t>Inquiry</t>
  </si>
  <si>
    <t>Timeline</t>
  </si>
  <si>
    <t>Deliverables</t>
  </si>
  <si>
    <t>Project Summary &amp; Feasibility</t>
  </si>
  <si>
    <t>Site Visit and Query</t>
  </si>
  <si>
    <t>DPR</t>
  </si>
  <si>
    <t>Economic Understanding</t>
  </si>
  <si>
    <t>Blank BOQ</t>
  </si>
  <si>
    <t>Turbine</t>
  </si>
  <si>
    <t xml:space="preserve">Design and Proof Checking </t>
  </si>
  <si>
    <t>LA Case</t>
  </si>
  <si>
    <t>C6</t>
  </si>
  <si>
    <t>C-3</t>
  </si>
  <si>
    <t>Earthen</t>
  </si>
  <si>
    <t>Concrete</t>
  </si>
  <si>
    <r>
      <t xml:space="preserve">Excavation in </t>
    </r>
    <r>
      <rPr>
        <b/>
        <sz val="10"/>
        <rFont val="Arial"/>
        <family val="2"/>
      </rPr>
      <t>soft/disintegrated/weathered rock</t>
    </r>
    <r>
      <rPr>
        <sz val="11"/>
        <color theme="1"/>
        <rFont val="Calibri"/>
        <family val="2"/>
        <scheme val="minor"/>
      </rPr>
      <t xml:space="preserve"> including wet excavation, dressing, placing the excavated material neatly in specified dump area or disposing off the same as directed, including cost of site clearance, all materials, machinery, labour and dressing etc. Complete.</t>
    </r>
  </si>
  <si>
    <t>Stilling Basin @ 15 kg/m²</t>
  </si>
  <si>
    <t>Training wall for stilling basin @ 6 kg/m²</t>
  </si>
  <si>
    <r>
      <t>Pier @ 100 kg/m</t>
    </r>
    <r>
      <rPr>
        <vertAlign val="superscript"/>
        <sz val="11"/>
        <color theme="1"/>
        <rFont val="Calibri"/>
        <family val="2"/>
        <scheme val="minor"/>
      </rPr>
      <t>3</t>
    </r>
  </si>
  <si>
    <r>
      <t>Bridge @ 120 kg/m</t>
    </r>
    <r>
      <rPr>
        <vertAlign val="superscript"/>
        <sz val="11"/>
        <color theme="1"/>
        <rFont val="Calibri"/>
        <family val="2"/>
        <scheme val="minor"/>
      </rPr>
      <t>3</t>
    </r>
  </si>
  <si>
    <t>Training wall u/s @ 6 kg/m²</t>
  </si>
  <si>
    <t>Training wall d/s @ 6 kg/m²</t>
  </si>
  <si>
    <t>STILLING BASIN BOTTOM</t>
  </si>
  <si>
    <t>0.25 Tonn per meter</t>
  </si>
  <si>
    <t>LEFT U/S TRAINING WALL</t>
  </si>
  <si>
    <t>RIGHT U/S TRAINING WALL</t>
  </si>
  <si>
    <t>LEFT D/S TRAINING WALL</t>
  </si>
  <si>
    <t>RIGHT D/S TRAINING WALL</t>
  </si>
  <si>
    <t>Wearing Coat</t>
  </si>
  <si>
    <t>BODHI</t>
  </si>
  <si>
    <t xml:space="preserve">ESTIMATION REPORT </t>
  </si>
  <si>
    <t>TEHSIL :-SIDHI</t>
  </si>
  <si>
    <t>DISTRICT :SINGRAULI</t>
  </si>
  <si>
    <t>ROSHNABAD BARRAGE</t>
  </si>
  <si>
    <t>Say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</si>
</sst>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5">
    <numFmt numFmtId="43" formatCode="_ * #,##0.00_ ;_ * \-#,##0.00_ ;_ * &quot;-&quot;??_ ;_ @_ "/>
    <numFmt numFmtId="164" formatCode="&quot;Rs&quot;\ 0.00\ &quot;Lakh&quot;"/>
    <numFmt numFmtId="165" formatCode="&quot;EARTHWORK STATEMENT  FOR  DISTRIBUTARY - &quot;0&quot; OFFTAKING FROM INDI LIFT CANAL &quot;"/>
    <numFmt numFmtId="166" formatCode="0.000"/>
    <numFmt numFmtId="167" formatCode="_(* #,##0.00_);_(* \(#,##0.00\);_(* &quot;-&quot;??_);_(@_)"/>
    <numFmt numFmtId="168" formatCode="0.0"/>
    <numFmt numFmtId="169" formatCode="_(* #,##0.0_);_(* \(#,##0.0\);_(* &quot;-&quot;??_);_(@_)"/>
    <numFmt numFmtId="170" formatCode="_(* #.##._);_(* \(#.##.\);_(* &quot;-&quot;??_);_(@_ⴆ"/>
    <numFmt numFmtId="171" formatCode="&quot;₹&quot;\ 0.0\ &quot;Lakh&quot;"/>
    <numFmt numFmtId="172" formatCode="&quot;₹&quot;\ 0.00\ &quot;Lakh&quot;"/>
    <numFmt numFmtId="173" formatCode="0.0000"/>
    <numFmt numFmtId="174" formatCode="0.00&quot;:1&quot;"/>
    <numFmt numFmtId="175" formatCode="0.00&quot; cum&quot;"/>
    <numFmt numFmtId="176" formatCode="00&quot;,&quot;000&quot;/-&quot;"/>
    <numFmt numFmtId="177" formatCode="_(* #,##0_);_(* \(#,##0\);_(* &quot;-&quot;??_);_(@_)"/>
    <numFmt numFmtId="178" formatCode="\ 0.00\ "/>
    <numFmt numFmtId="179" formatCode="0&quot;,&quot;00&quot;,&quot;00&quot;,&quot;000&quot;/-&quot;"/>
    <numFmt numFmtId="180" formatCode="0&quot;/-&quot;"/>
    <numFmt numFmtId="181" formatCode="_(* #,##0_);_(* \(#,##0\);_(* \-??_);_(@_)"/>
    <numFmt numFmtId="182" formatCode="0.0&quot;:1&quot;"/>
    <numFmt numFmtId="183" formatCode="0&quot;,&quot;000.00&quot; cum&quot;"/>
    <numFmt numFmtId="184" formatCode="00&quot;,&quot;00&quot;,&quot;000&quot; cum&quot;"/>
    <numFmt numFmtId="185" formatCode="&quot;=  &quot;0.000&quot; cum&quot;"/>
    <numFmt numFmtId="186" formatCode="&quot;H/&quot;0"/>
    <numFmt numFmtId="187" formatCode="0&quot;:1&quot;"/>
    <numFmt numFmtId="188" formatCode="0&quot; :1&quot;"/>
    <numFmt numFmtId="189" formatCode="000&quot; cum&quot;"/>
    <numFmt numFmtId="190" formatCode="000.0&quot; cum&quot;"/>
    <numFmt numFmtId="191" formatCode="&quot;(  &quot;0.00&quot; M&quot;"/>
    <numFmt numFmtId="192" formatCode="0.00\ &quot;m²&quot;"/>
    <numFmt numFmtId="193" formatCode="0.0\ &quot;:1&quot;"/>
    <numFmt numFmtId="194" formatCode="\-\ \ 0.00\ "/>
    <numFmt numFmtId="195" formatCode="0.00\ \X\ "/>
    <numFmt numFmtId="196" formatCode="0.00&quot; sqm&quot;"/>
    <numFmt numFmtId="197" formatCode="000.00&quot; m&quot;"/>
    <numFmt numFmtId="198" formatCode="0&quot;,&quot;000&quot; cum&quot;"/>
    <numFmt numFmtId="199" formatCode="0.000&quot; cum&quot;"/>
    <numFmt numFmtId="200" formatCode="&quot;=&quot;\ 0.00&quot; m&quot;"/>
    <numFmt numFmtId="201" formatCode="0.0%"/>
    <numFmt numFmtId="202" formatCode="&quot;(&quot;\ 0.00&quot;% )&quot;"/>
    <numFmt numFmtId="203" formatCode="0.0&quot;%&quot;"/>
    <numFmt numFmtId="204" formatCode="&quot;(&quot;\ 0&quot;% )&quot;"/>
    <numFmt numFmtId="205" formatCode="0.0&quot; cum&quot;"/>
    <numFmt numFmtId="206" formatCode="&quot; x &quot;0.000"/>
    <numFmt numFmtId="207" formatCode="General\ &quot;:1&quot;"/>
  </numFmts>
  <fonts count="98" x14ac:knownFonts="1">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6"/>
      <color theme="1"/>
      <name val="Arial"/>
      <family val="2"/>
    </font>
    <font>
      <b/>
      <sz val="18"/>
      <color theme="1"/>
      <name val="Arial"/>
      <family val="2"/>
    </font>
    <font>
      <sz val="11"/>
      <color theme="1"/>
      <name val="Arial"/>
      <family val="2"/>
    </font>
    <font>
      <sz val="14"/>
      <color theme="1"/>
      <name val="Arial"/>
      <family val="2"/>
    </font>
    <font>
      <b/>
      <sz val="14"/>
      <color theme="1"/>
      <name val="Arial"/>
      <family val="2"/>
    </font>
    <font>
      <sz val="14"/>
      <color theme="1"/>
      <name val="Calibri"/>
      <family val="2"/>
      <scheme val="minor"/>
    </font>
    <font>
      <b/>
      <u val="double"/>
      <sz val="14"/>
      <color theme="1"/>
      <name val="Cambria"/>
      <family val="1"/>
    </font>
    <font>
      <b/>
      <u val="double"/>
      <sz val="20"/>
      <color theme="1"/>
      <name val="Cambria"/>
      <family val="1"/>
    </font>
    <font>
      <b/>
      <u val="double"/>
      <sz val="16"/>
      <color theme="1"/>
      <name val="Cambria"/>
      <family val="1"/>
    </font>
    <font>
      <sz val="11"/>
      <name val="Calibri"/>
      <family val="2"/>
      <scheme val="minor"/>
    </font>
    <font>
      <b/>
      <sz val="11"/>
      <color theme="1"/>
      <name val="Arial"/>
      <family val="2"/>
    </font>
    <font>
      <sz val="11"/>
      <name val="Arial"/>
      <family val="2"/>
    </font>
    <font>
      <b/>
      <sz val="12"/>
      <color theme="1"/>
      <name val="Arial"/>
      <family val="2"/>
    </font>
    <font>
      <sz val="10"/>
      <name val="Arial"/>
      <family val="2"/>
    </font>
    <font>
      <b/>
      <sz val="10"/>
      <name val="Arial"/>
      <family val="2"/>
    </font>
    <font>
      <sz val="10"/>
      <color theme="1"/>
      <name val="Arial"/>
      <family val="2"/>
    </font>
    <font>
      <b/>
      <sz val="10"/>
      <color indexed="8"/>
      <name val="Arial"/>
      <family val="2"/>
    </font>
    <font>
      <b/>
      <u/>
      <sz val="10"/>
      <color indexed="8"/>
      <name val="Arial"/>
      <family val="2"/>
    </font>
    <font>
      <sz val="10"/>
      <color rgb="FFFF0000"/>
      <name val="Arial"/>
      <family val="2"/>
    </font>
    <font>
      <sz val="11"/>
      <color indexed="8"/>
      <name val="Calibri"/>
      <family val="2"/>
    </font>
    <font>
      <sz val="10"/>
      <color indexed="8"/>
      <name val="Arial"/>
      <family val="2"/>
    </font>
    <font>
      <sz val="11"/>
      <name val="Calibri"/>
      <family val="2"/>
    </font>
    <font>
      <sz val="12"/>
      <color theme="1"/>
      <name val="Arial"/>
      <family val="2"/>
    </font>
    <font>
      <sz val="12"/>
      <color theme="1"/>
      <name val="Calibri"/>
      <family val="2"/>
      <scheme val="minor"/>
    </font>
    <font>
      <b/>
      <sz val="10"/>
      <color theme="1"/>
      <name val="Arial"/>
      <family val="2"/>
    </font>
    <font>
      <b/>
      <sz val="12"/>
      <color rgb="FFFF0000"/>
      <name val="Arial"/>
      <family val="2"/>
    </font>
    <font>
      <sz val="12"/>
      <name val="Arial"/>
      <family val="2"/>
    </font>
    <font>
      <b/>
      <sz val="10"/>
      <color theme="1"/>
      <name val="Calibri"/>
      <family val="2"/>
      <scheme val="minor"/>
    </font>
    <font>
      <b/>
      <sz val="10"/>
      <color rgb="FFFF0000"/>
      <name val="Calibri"/>
      <family val="2"/>
      <scheme val="minor"/>
    </font>
    <font>
      <b/>
      <sz val="10"/>
      <name val="Calibri"/>
      <family val="2"/>
      <scheme val="minor"/>
    </font>
    <font>
      <b/>
      <sz val="10"/>
      <color theme="3"/>
      <name val="Calibri"/>
      <family val="2"/>
      <scheme val="minor"/>
    </font>
    <font>
      <b/>
      <sz val="10"/>
      <color rgb="FF0000FF"/>
      <name val="Calibri"/>
      <family val="2"/>
      <scheme val="minor"/>
    </font>
    <font>
      <b/>
      <sz val="10"/>
      <color rgb="FF0070C0"/>
      <name val="Calibri"/>
      <family val="2"/>
      <scheme val="minor"/>
    </font>
    <font>
      <sz val="10"/>
      <color rgb="FFFF0000"/>
      <name val="Calibri"/>
      <family val="2"/>
      <scheme val="minor"/>
    </font>
    <font>
      <sz val="10"/>
      <color theme="1"/>
      <name val="Times New Roman"/>
      <family val="1"/>
    </font>
    <font>
      <sz val="10"/>
      <color indexed="10"/>
      <name val="Times New Roman"/>
      <family val="1"/>
    </font>
    <font>
      <b/>
      <sz val="11"/>
      <name val="Calibri"/>
      <family val="2"/>
      <scheme val="minor"/>
    </font>
    <font>
      <b/>
      <sz val="12"/>
      <name val="Arial"/>
      <family val="2"/>
    </font>
    <font>
      <sz val="10"/>
      <color theme="0"/>
      <name val="Arial"/>
      <family val="2"/>
    </font>
    <font>
      <sz val="10"/>
      <color rgb="FF00B050"/>
      <name val="Arial"/>
      <family val="2"/>
    </font>
    <font>
      <b/>
      <sz val="9"/>
      <color indexed="81"/>
      <name val="Tahoma"/>
      <family val="2"/>
    </font>
    <font>
      <sz val="9"/>
      <color indexed="81"/>
      <name val="Tahoma"/>
      <family val="2"/>
    </font>
    <font>
      <b/>
      <u val="double"/>
      <sz val="10"/>
      <color indexed="8"/>
      <name val="Arial"/>
      <family val="2"/>
    </font>
    <font>
      <b/>
      <u/>
      <sz val="10"/>
      <name val="Arial"/>
      <family val="2"/>
    </font>
    <font>
      <sz val="10"/>
      <color rgb="FF0000FF"/>
      <name val="Arial"/>
      <family val="2"/>
    </font>
    <font>
      <sz val="10"/>
      <color indexed="10"/>
      <name val="Arial"/>
      <family val="2"/>
    </font>
    <font>
      <sz val="9"/>
      <name val="Arial"/>
      <family val="2"/>
    </font>
    <font>
      <sz val="10"/>
      <color indexed="12"/>
      <name val="Arial"/>
      <family val="2"/>
    </font>
    <font>
      <sz val="10"/>
      <color indexed="21"/>
      <name val="Arial"/>
      <family val="2"/>
    </font>
    <font>
      <sz val="13"/>
      <color theme="1"/>
      <name val="Calibri"/>
      <family val="2"/>
      <scheme val="minor"/>
    </font>
    <font>
      <b/>
      <sz val="12"/>
      <name val="Calibri"/>
      <family val="2"/>
    </font>
    <font>
      <b/>
      <sz val="10"/>
      <name val="Calibri"/>
      <family val="2"/>
    </font>
    <font>
      <sz val="10"/>
      <name val="Calibri"/>
      <family val="2"/>
    </font>
    <font>
      <b/>
      <u val="double"/>
      <sz val="12"/>
      <name val="Calibri"/>
      <family val="2"/>
    </font>
    <font>
      <b/>
      <sz val="11"/>
      <name val="Calibri"/>
      <family val="2"/>
    </font>
    <font>
      <b/>
      <u/>
      <sz val="11"/>
      <name val="Calibri"/>
      <family val="2"/>
    </font>
    <font>
      <b/>
      <sz val="11"/>
      <color indexed="12"/>
      <name val="Calibri"/>
      <family val="2"/>
    </font>
    <font>
      <b/>
      <u/>
      <sz val="12"/>
      <name val="Times New Roman"/>
      <family val="1"/>
    </font>
    <font>
      <sz val="12"/>
      <name val="Times New Roman"/>
      <family val="1"/>
    </font>
    <font>
      <b/>
      <sz val="12"/>
      <name val="Times New Roman"/>
      <family val="1"/>
    </font>
    <font>
      <sz val="12"/>
      <color rgb="FFFFFFFF"/>
      <name val="Arial"/>
      <family val="2"/>
    </font>
    <font>
      <b/>
      <sz val="12"/>
      <color rgb="FFFFFFFF"/>
      <name val="Arial"/>
      <family val="2"/>
    </font>
    <font>
      <sz val="12"/>
      <color indexed="10"/>
      <name val="Arial"/>
      <family val="2"/>
    </font>
    <font>
      <sz val="12"/>
      <name val="Calibri"/>
      <family val="2"/>
    </font>
    <font>
      <b/>
      <sz val="12"/>
      <color indexed="10"/>
      <name val="Calibri"/>
      <family val="2"/>
    </font>
    <font>
      <b/>
      <u/>
      <sz val="12"/>
      <name val="Calibri"/>
      <family val="2"/>
    </font>
    <font>
      <sz val="12"/>
      <color indexed="10"/>
      <name val="Calibri"/>
      <family val="2"/>
    </font>
    <font>
      <sz val="10"/>
      <color indexed="8"/>
      <name val="Calibri"/>
      <family val="2"/>
    </font>
    <font>
      <b/>
      <sz val="10"/>
      <color indexed="12"/>
      <name val="Calibri"/>
      <family val="2"/>
    </font>
    <font>
      <sz val="10"/>
      <color indexed="12"/>
      <name val="Calibri"/>
      <family val="2"/>
    </font>
    <font>
      <b/>
      <i/>
      <sz val="10"/>
      <color indexed="60"/>
      <name val="Cambria"/>
      <family val="1"/>
    </font>
    <font>
      <b/>
      <sz val="14"/>
      <name val="Arial"/>
      <family val="2"/>
    </font>
    <font>
      <b/>
      <i/>
      <u/>
      <sz val="10"/>
      <name val="Arial"/>
      <family val="2"/>
    </font>
    <font>
      <b/>
      <sz val="10"/>
      <color rgb="FF7030A0"/>
      <name val="Arial"/>
      <family val="2"/>
    </font>
    <font>
      <b/>
      <sz val="10"/>
      <color indexed="10"/>
      <name val="Arial"/>
      <family val="2"/>
    </font>
    <font>
      <b/>
      <u/>
      <sz val="10"/>
      <name val="Calibri"/>
      <family val="2"/>
    </font>
    <font>
      <b/>
      <i/>
      <sz val="10"/>
      <color indexed="60"/>
      <name val="Calibri"/>
      <family val="2"/>
    </font>
    <font>
      <b/>
      <sz val="10"/>
      <color indexed="8"/>
      <name val="Calibri"/>
      <family val="2"/>
    </font>
    <font>
      <b/>
      <u/>
      <sz val="14"/>
      <name val="Times New Roman"/>
      <family val="1"/>
    </font>
    <font>
      <b/>
      <sz val="12"/>
      <color rgb="FFFF0000"/>
      <name val="Times New Roman"/>
      <family val="1"/>
    </font>
    <font>
      <b/>
      <i/>
      <u/>
      <sz val="12"/>
      <name val="Times New Roman"/>
      <family val="1"/>
    </font>
    <font>
      <sz val="11"/>
      <name val="Times New Roman"/>
      <family val="1"/>
    </font>
    <font>
      <b/>
      <sz val="11"/>
      <name val="Times New Roman"/>
      <family val="1"/>
    </font>
    <font>
      <b/>
      <i/>
      <sz val="12"/>
      <name val="Times New Roman"/>
      <family val="1"/>
    </font>
    <font>
      <u/>
      <sz val="12"/>
      <name val="Times New Roman"/>
      <family val="1"/>
    </font>
    <font>
      <sz val="12"/>
      <color rgb="FFFF0000"/>
      <name val="Times New Roman"/>
      <family val="1"/>
    </font>
    <font>
      <sz val="10"/>
      <color rgb="FFFF0000"/>
      <name val="Calibri"/>
      <family val="2"/>
    </font>
    <font>
      <sz val="12"/>
      <color indexed="10"/>
      <name val="Times New Roman"/>
      <family val="1"/>
    </font>
    <font>
      <sz val="11"/>
      <color rgb="FFFF0000"/>
      <name val="Calibri"/>
      <family val="2"/>
    </font>
    <font>
      <b/>
      <vertAlign val="superscript"/>
      <sz val="10"/>
      <name val="Calibri"/>
      <family val="2"/>
    </font>
    <font>
      <b/>
      <i/>
      <sz val="10"/>
      <name val="Calibri"/>
      <family val="2"/>
    </font>
    <font>
      <vertAlign val="superscript"/>
      <sz val="11"/>
      <color theme="1"/>
      <name val="Calibri"/>
      <family val="2"/>
      <scheme val="minor"/>
    </font>
    <font>
      <sz val="11"/>
      <color theme="1"/>
      <name val="Calibri"/>
      <family val="2"/>
      <scheme val="minor"/>
    </font>
  </fonts>
  <fills count="16">
    <fill>
      <patternFill patternType="none"/>
    </fill>
    <fill>
      <patternFill patternType="gray125"/>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CCFFFF"/>
        <bgColor indexed="64"/>
      </patternFill>
    </fill>
    <fill>
      <patternFill patternType="solid">
        <fgColor theme="8" tint="0.79998168889431442"/>
        <bgColor indexed="64"/>
      </patternFill>
    </fill>
    <fill>
      <patternFill patternType="solid">
        <fgColor indexed="41"/>
        <bgColor indexed="64"/>
      </patternFill>
    </fill>
    <fill>
      <patternFill patternType="solid">
        <fgColor indexed="13"/>
        <bgColor indexed="64"/>
      </patternFill>
    </fill>
    <fill>
      <patternFill patternType="solid">
        <fgColor indexed="9"/>
        <bgColor indexed="26"/>
      </patternFill>
    </fill>
  </fills>
  <borders count="78">
    <border>
      <left/>
      <right/>
      <top/>
      <bottom/>
      <diagonal/>
    </border>
    <border>
      <left/>
      <right/>
      <top/>
      <bottom style="medium">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8"/>
      </left>
      <right/>
      <top style="thin">
        <color indexed="8"/>
      </top>
      <bottom style="thin">
        <color indexed="8"/>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8"/>
      </bottom>
      <diagonal/>
    </border>
  </borders>
  <cellStyleXfs count="32">
    <xf numFmtId="0" fontId="0" fillId="0" borderId="0"/>
    <xf numFmtId="0" fontId="1" fillId="0" borderId="1" applyNumberFormat="0" applyFill="0" applyAlignment="0" applyProtection="0"/>
    <xf numFmtId="0" fontId="4" fillId="2" borderId="0" applyNumberFormat="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167" fontId="18" fillId="0" borderId="0" applyFill="0" applyBorder="0" applyAlignment="0" applyProtection="0"/>
    <xf numFmtId="0" fontId="24" fillId="0" borderId="0"/>
    <xf numFmtId="0" fontId="18" fillId="0" borderId="0"/>
    <xf numFmtId="0" fontId="18" fillId="0" borderId="0"/>
    <xf numFmtId="0" fontId="18" fillId="0" borderId="0"/>
    <xf numFmtId="0" fontId="18" fillId="0" borderId="0"/>
    <xf numFmtId="0" fontId="18" fillId="0" borderId="0"/>
    <xf numFmtId="0" fontId="18" fillId="0" borderId="0"/>
    <xf numFmtId="0" fontId="24" fillId="0" borderId="0"/>
    <xf numFmtId="0" fontId="18" fillId="0" borderId="0"/>
    <xf numFmtId="0" fontId="18" fillId="0" borderId="0"/>
    <xf numFmtId="0" fontId="24" fillId="0" borderId="0"/>
    <xf numFmtId="176" fontId="18" fillId="0" borderId="0" applyFont="0" applyFill="0" applyBorder="0" applyAlignment="0" applyProtection="0"/>
    <xf numFmtId="0" fontId="24" fillId="0" borderId="0"/>
    <xf numFmtId="176" fontId="18" fillId="0" borderId="0" applyFont="0" applyFill="0" applyBorder="0" applyAlignment="0" applyProtection="0"/>
    <xf numFmtId="176" fontId="18" fillId="0" borderId="0" applyFont="0" applyFill="0" applyBorder="0" applyAlignment="0" applyProtection="0"/>
    <xf numFmtId="0" fontId="18" fillId="0" borderId="0"/>
    <xf numFmtId="0" fontId="24" fillId="0" borderId="0"/>
    <xf numFmtId="0" fontId="24" fillId="0" borderId="0"/>
    <xf numFmtId="0" fontId="24" fillId="0" borderId="0"/>
    <xf numFmtId="0" fontId="24" fillId="0" borderId="0"/>
    <xf numFmtId="0" fontId="24" fillId="0" borderId="0"/>
    <xf numFmtId="43" fontId="97" fillId="0" borderId="0" applyFont="0" applyFill="0" applyBorder="0" applyAlignment="0" applyProtection="0"/>
  </cellStyleXfs>
  <cellXfs count="1422">
    <xf numFmtId="0" fontId="0" fillId="0" borderId="0" xfId="0"/>
    <xf numFmtId="0" fontId="7" fillId="0" borderId="0" xfId="0" applyFont="1"/>
    <xf numFmtId="0" fontId="7" fillId="0" borderId="5" xfId="0" applyFont="1" applyBorder="1"/>
    <xf numFmtId="0" fontId="8" fillId="0" borderId="0" xfId="0" applyFont="1"/>
    <xf numFmtId="0" fontId="8" fillId="0" borderId="6" xfId="0" applyFont="1" applyBorder="1"/>
    <xf numFmtId="0" fontId="7" fillId="0" borderId="6" xfId="0" applyFont="1" applyBorder="1"/>
    <xf numFmtId="0" fontId="9" fillId="0" borderId="5" xfId="0" applyFont="1" applyBorder="1" applyAlignment="1">
      <alignment horizontal="center" vertical="center" wrapText="1"/>
    </xf>
    <xf numFmtId="0" fontId="10" fillId="0" borderId="0" xfId="0" applyFont="1"/>
    <xf numFmtId="0" fontId="10" fillId="0" borderId="6" xfId="0" applyFont="1" applyBorder="1"/>
    <xf numFmtId="0" fontId="5" fillId="0" borderId="5" xfId="0" applyFont="1" applyBorder="1" applyAlignment="1">
      <alignment vertical="center" wrapText="1"/>
    </xf>
    <xf numFmtId="0" fontId="0" fillId="0" borderId="0" xfId="0" applyAlignment="1">
      <alignment vertical="center"/>
    </xf>
    <xf numFmtId="0" fontId="0" fillId="0" borderId="6" xfId="0" applyBorder="1" applyAlignment="1">
      <alignment vertical="center"/>
    </xf>
    <xf numFmtId="0" fontId="8" fillId="0" borderId="5" xfId="0" applyFont="1" applyBorder="1"/>
    <xf numFmtId="0" fontId="11" fillId="0" borderId="6"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2" fillId="0" borderId="5" xfId="0" applyFont="1" applyBorder="1" applyAlignment="1">
      <alignment vertical="center"/>
    </xf>
    <xf numFmtId="0" fontId="12" fillId="0" borderId="0" xfId="0" applyFont="1" applyAlignment="1">
      <alignment vertical="center"/>
    </xf>
    <xf numFmtId="0" fontId="12" fillId="0" borderId="6" xfId="0" applyFont="1" applyBorder="1" applyAlignment="1">
      <alignment vertical="center"/>
    </xf>
    <xf numFmtId="0" fontId="17" fillId="0" borderId="5" xfId="0" applyFont="1" applyBorder="1" applyAlignment="1">
      <alignment vertical="top" wrapText="1"/>
    </xf>
    <xf numFmtId="0" fontId="17" fillId="0" borderId="0" xfId="0" applyFont="1" applyAlignment="1">
      <alignment vertical="top" wrapText="1"/>
    </xf>
    <xf numFmtId="0" fontId="17" fillId="0" borderId="6"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0" fontId="19" fillId="0" borderId="0" xfId="3" applyFont="1" applyAlignment="1">
      <alignment horizontal="center" vertical="center"/>
    </xf>
    <xf numFmtId="0" fontId="20" fillId="0" borderId="0" xfId="0" applyFont="1"/>
    <xf numFmtId="0" fontId="19" fillId="0" borderId="0" xfId="3" applyFont="1" applyAlignment="1">
      <alignment vertical="center"/>
    </xf>
    <xf numFmtId="0" fontId="18" fillId="0" borderId="0" xfId="3" applyAlignment="1">
      <alignment vertical="center"/>
    </xf>
    <xf numFmtId="0" fontId="20" fillId="0" borderId="0" xfId="0" applyFont="1" applyAlignment="1">
      <alignment vertical="center"/>
    </xf>
    <xf numFmtId="0" fontId="21" fillId="0" borderId="0" xfId="0" applyFont="1" applyAlignment="1">
      <alignment horizontal="center" vertical="center"/>
    </xf>
    <xf numFmtId="9" fontId="19" fillId="0" borderId="0" xfId="3" applyNumberFormat="1" applyFont="1" applyAlignment="1">
      <alignment horizontal="center" vertical="center"/>
    </xf>
    <xf numFmtId="9" fontId="19" fillId="0" borderId="0" xfId="3" applyNumberFormat="1" applyFont="1" applyAlignment="1">
      <alignment vertical="center"/>
    </xf>
    <xf numFmtId="9" fontId="18" fillId="0" borderId="0" xfId="4" applyAlignment="1">
      <alignment vertical="center"/>
    </xf>
    <xf numFmtId="0" fontId="18" fillId="0" borderId="0" xfId="3" applyAlignment="1">
      <alignment horizontal="left" vertical="center"/>
    </xf>
    <xf numFmtId="0" fontId="21" fillId="0" borderId="0" xfId="0" applyFont="1" applyAlignment="1">
      <alignment vertical="center"/>
    </xf>
    <xf numFmtId="0" fontId="20" fillId="0" borderId="10" xfId="0" applyFont="1" applyBorder="1" applyAlignment="1">
      <alignment horizontal="right" vertical="center"/>
    </xf>
    <xf numFmtId="0" fontId="21" fillId="0" borderId="11" xfId="0" applyFont="1" applyBorder="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vertical="center"/>
    </xf>
    <xf numFmtId="2" fontId="20" fillId="0" borderId="11" xfId="0" applyNumberFormat="1" applyFont="1" applyBorder="1" applyAlignment="1">
      <alignment horizontal="center" vertical="center"/>
    </xf>
    <xf numFmtId="0" fontId="20" fillId="3" borderId="0" xfId="0" applyFont="1" applyFill="1"/>
    <xf numFmtId="2" fontId="23" fillId="0" borderId="16" xfId="0" applyNumberFormat="1" applyFont="1" applyBorder="1" applyAlignment="1">
      <alignment horizontal="center" vertical="center"/>
    </xf>
    <xf numFmtId="2" fontId="23" fillId="0" borderId="17" xfId="0" applyNumberFormat="1" applyFont="1" applyBorder="1" applyAlignment="1">
      <alignment horizontal="center" vertical="center"/>
    </xf>
    <xf numFmtId="0" fontId="18" fillId="0" borderId="16" xfId="0" applyFont="1" applyBorder="1" applyAlignment="1">
      <alignment horizontal="left" vertical="center"/>
    </xf>
    <xf numFmtId="0" fontId="18" fillId="0" borderId="18" xfId="0" applyFont="1" applyBorder="1" applyAlignment="1">
      <alignment horizontal="left" vertical="center"/>
    </xf>
    <xf numFmtId="0" fontId="18" fillId="0" borderId="17" xfId="0" applyFont="1" applyBorder="1" applyAlignment="1">
      <alignment horizontal="left" vertical="center"/>
    </xf>
    <xf numFmtId="2" fontId="20" fillId="0" borderId="0" xfId="0" applyNumberFormat="1" applyFont="1"/>
    <xf numFmtId="2" fontId="15" fillId="0" borderId="0" xfId="0" applyNumberFormat="1" applyFont="1" applyAlignment="1">
      <alignment horizontal="left"/>
    </xf>
    <xf numFmtId="0" fontId="20" fillId="0" borderId="0" xfId="0" applyFont="1" applyAlignment="1">
      <alignment horizontal="center" vertical="center"/>
    </xf>
    <xf numFmtId="0" fontId="15" fillId="0" borderId="0" xfId="0" applyFont="1" applyAlignment="1">
      <alignment horizontal="center"/>
    </xf>
    <xf numFmtId="2" fontId="21" fillId="0" borderId="0" xfId="0" applyNumberFormat="1" applyFont="1" applyAlignment="1">
      <alignment vertical="center"/>
    </xf>
    <xf numFmtId="0" fontId="19" fillId="0" borderId="0" xfId="6" applyFont="1" applyAlignment="1">
      <alignment horizontal="center"/>
    </xf>
    <xf numFmtId="0" fontId="0" fillId="0" borderId="0" xfId="7" applyFont="1"/>
    <xf numFmtId="0" fontId="19" fillId="0" borderId="17" xfId="6" applyFont="1" applyBorder="1" applyAlignment="1">
      <alignment horizontal="center"/>
    </xf>
    <xf numFmtId="0" fontId="19" fillId="0" borderId="11" xfId="6" applyFont="1" applyBorder="1" applyAlignment="1">
      <alignment horizontal="center" vertical="center" wrapText="1"/>
    </xf>
    <xf numFmtId="166" fontId="19" fillId="0" borderId="11" xfId="6" applyNumberFormat="1" applyFont="1" applyBorder="1" applyAlignment="1">
      <alignment horizontal="center" vertical="center" wrapText="1"/>
    </xf>
    <xf numFmtId="1" fontId="19" fillId="0" borderId="11" xfId="6" applyNumberFormat="1" applyFont="1" applyBorder="1" applyAlignment="1">
      <alignment horizontal="center" vertical="center" wrapText="1"/>
    </xf>
    <xf numFmtId="0" fontId="0" fillId="0" borderId="11" xfId="6" applyFont="1" applyBorder="1" applyAlignment="1">
      <alignment horizontal="center" vertical="top" wrapText="1"/>
    </xf>
    <xf numFmtId="0" fontId="7" fillId="0" borderId="11" xfId="7" applyFont="1" applyBorder="1" applyAlignment="1">
      <alignment horizontal="justify" vertical="top" wrapText="1"/>
    </xf>
    <xf numFmtId="0" fontId="0" fillId="0" borderId="11" xfId="8" applyFont="1" applyBorder="1" applyAlignment="1">
      <alignment horizontal="center" vertical="center" wrapText="1"/>
    </xf>
    <xf numFmtId="2" fontId="0" fillId="0" borderId="11" xfId="6" applyNumberFormat="1" applyFont="1" applyBorder="1" applyAlignment="1">
      <alignment horizontal="center" vertical="center" wrapText="1"/>
    </xf>
    <xf numFmtId="2" fontId="0" fillId="0" borderId="11" xfId="8" applyNumberFormat="1" applyFont="1" applyBorder="1" applyAlignment="1">
      <alignment horizontal="center" vertical="center" wrapText="1"/>
    </xf>
    <xf numFmtId="167" fontId="0" fillId="0" borderId="11" xfId="9" applyFont="1" applyBorder="1" applyAlignment="1">
      <alignment horizontal="center" vertical="center"/>
    </xf>
    <xf numFmtId="0" fontId="0" fillId="0" borderId="11" xfId="7" applyFont="1" applyBorder="1" applyAlignment="1">
      <alignment horizontal="center" vertical="center"/>
    </xf>
    <xf numFmtId="43" fontId="0" fillId="0" borderId="11" xfId="10" applyNumberFormat="1" applyFont="1" applyBorder="1" applyAlignment="1">
      <alignment horizontal="center" vertical="center" wrapText="1"/>
    </xf>
    <xf numFmtId="0" fontId="0" fillId="0" borderId="11" xfId="7" applyFont="1" applyBorder="1" applyAlignment="1">
      <alignment horizontal="center" vertical="center" wrapText="1"/>
    </xf>
    <xf numFmtId="2" fontId="0" fillId="0" borderId="11" xfId="11" applyNumberFormat="1" applyFont="1" applyBorder="1" applyAlignment="1">
      <alignment horizontal="center" vertical="center" wrapText="1"/>
    </xf>
    <xf numFmtId="0" fontId="0" fillId="0" borderId="11" xfId="10" applyFont="1" applyBorder="1" applyAlignment="1">
      <alignment horizontal="center" vertical="center" wrapText="1"/>
    </xf>
    <xf numFmtId="2" fontId="0" fillId="0" borderId="11" xfId="12" applyNumberFormat="1" applyFont="1" applyBorder="1" applyAlignment="1">
      <alignment horizontal="center" vertical="center" wrapText="1"/>
    </xf>
    <xf numFmtId="0" fontId="0" fillId="0" borderId="0" xfId="8" applyFont="1" applyAlignment="1">
      <alignment horizontal="left" vertical="center" wrapText="1"/>
    </xf>
    <xf numFmtId="0" fontId="0" fillId="0" borderId="11" xfId="13" applyFont="1" applyBorder="1" applyAlignment="1">
      <alignment horizontal="center" vertical="center" wrapText="1"/>
    </xf>
    <xf numFmtId="0" fontId="19" fillId="0" borderId="19" xfId="14" applyFont="1" applyBorder="1"/>
    <xf numFmtId="0" fontId="19" fillId="0" borderId="0" xfId="14" applyFont="1"/>
    <xf numFmtId="0" fontId="0" fillId="0" borderId="11" xfId="8" applyFont="1" applyBorder="1" applyAlignment="1">
      <alignment horizontal="center" vertical="top" wrapText="1"/>
    </xf>
    <xf numFmtId="0" fontId="7" fillId="0" borderId="11" xfId="10" applyFont="1" applyBorder="1" applyAlignment="1">
      <alignment horizontal="left" vertical="center" wrapText="1"/>
    </xf>
    <xf numFmtId="2" fontId="25" fillId="0" borderId="20" xfId="5" applyNumberFormat="1" applyFont="1" applyBorder="1" applyAlignment="1">
      <alignment horizontal="center" vertical="center" wrapText="1"/>
    </xf>
    <xf numFmtId="0" fontId="25" fillId="0" borderId="20" xfId="5" applyFont="1" applyBorder="1" applyAlignment="1">
      <alignment horizontal="center" vertical="center" wrapText="1"/>
    </xf>
    <xf numFmtId="2" fontId="25" fillId="0" borderId="20" xfId="5" applyNumberFormat="1" applyFont="1" applyBorder="1" applyAlignment="1">
      <alignment horizontal="center" vertical="top" wrapText="1"/>
    </xf>
    <xf numFmtId="0" fontId="19" fillId="0" borderId="0" xfId="14" applyFont="1" applyAlignment="1">
      <alignment horizontal="right"/>
    </xf>
    <xf numFmtId="0" fontId="25" fillId="0" borderId="11" xfId="5" applyFont="1" applyBorder="1" applyAlignment="1">
      <alignment horizontal="justify" vertical="top" wrapText="1"/>
    </xf>
    <xf numFmtId="168" fontId="0" fillId="0" borderId="11" xfId="8" applyNumberFormat="1" applyFont="1" applyBorder="1" applyAlignment="1">
      <alignment horizontal="center" vertical="center" wrapText="1"/>
    </xf>
    <xf numFmtId="169" fontId="0" fillId="0" borderId="11" xfId="9" applyNumberFormat="1" applyFont="1" applyBorder="1" applyAlignment="1">
      <alignment horizontal="center" vertical="center"/>
    </xf>
    <xf numFmtId="0" fontId="19" fillId="0" borderId="0" xfId="14" applyFont="1" applyAlignment="1">
      <alignment horizontal="center"/>
    </xf>
    <xf numFmtId="0" fontId="0" fillId="0" borderId="11" xfId="8" applyFont="1" applyBorder="1" applyAlignment="1">
      <alignment vertical="center" wrapText="1"/>
    </xf>
    <xf numFmtId="0" fontId="7" fillId="0" borderId="11" xfId="15" applyFont="1" applyBorder="1" applyAlignment="1">
      <alignment horizontal="justify" wrapText="1"/>
    </xf>
    <xf numFmtId="0" fontId="7" fillId="0" borderId="11" xfId="15" applyFont="1" applyBorder="1" applyAlignment="1">
      <alignment vertical="center" wrapText="1"/>
    </xf>
    <xf numFmtId="0" fontId="0" fillId="0" borderId="11" xfId="15" applyFont="1" applyBorder="1" applyAlignment="1">
      <alignment horizontal="center" vertical="center" wrapText="1"/>
    </xf>
    <xf numFmtId="2" fontId="0" fillId="0" borderId="11" xfId="7" applyNumberFormat="1" applyFont="1" applyBorder="1" applyAlignment="1">
      <alignment horizontal="center" vertical="center"/>
    </xf>
    <xf numFmtId="0" fontId="19" fillId="0" borderId="0" xfId="8" applyFont="1" applyAlignment="1">
      <alignment horizontal="center" vertical="center" wrapText="1"/>
    </xf>
    <xf numFmtId="2" fontId="0" fillId="0" borderId="11" xfId="7" applyNumberFormat="1" applyFont="1" applyBorder="1" applyAlignment="1">
      <alignment horizontal="center" vertical="center" wrapText="1"/>
    </xf>
    <xf numFmtId="0" fontId="0" fillId="0" borderId="0" xfId="7" applyFont="1" applyAlignment="1">
      <alignment vertical="center" wrapText="1"/>
    </xf>
    <xf numFmtId="0" fontId="19" fillId="0" borderId="0" xfId="7" applyFont="1" applyAlignment="1">
      <alignment horizontal="center" vertical="center"/>
    </xf>
    <xf numFmtId="2" fontId="0" fillId="0" borderId="11" xfId="15" applyNumberFormat="1" applyFont="1" applyBorder="1" applyAlignment="1">
      <alignment horizontal="center" vertical="center" wrapText="1"/>
    </xf>
    <xf numFmtId="0" fontId="7" fillId="0" borderId="11" xfId="15" applyFont="1" applyBorder="1" applyAlignment="1">
      <alignment horizontal="justify" vertical="top" wrapText="1"/>
    </xf>
    <xf numFmtId="0" fontId="0" fillId="0" borderId="11" xfId="11" applyFont="1" applyBorder="1" applyAlignment="1">
      <alignment horizontal="center" vertical="center" wrapText="1"/>
    </xf>
    <xf numFmtId="0" fontId="0" fillId="0" borderId="0" xfId="7" applyFont="1" applyAlignment="1">
      <alignment horizontal="justify" vertical="center" wrapText="1"/>
    </xf>
    <xf numFmtId="0" fontId="15" fillId="0" borderId="0" xfId="7" applyFont="1" applyAlignment="1">
      <alignment horizontal="justify" vertical="center" wrapText="1"/>
    </xf>
    <xf numFmtId="0" fontId="0" fillId="0" borderId="0" xfId="7" applyFont="1" applyAlignment="1">
      <alignment vertical="center"/>
    </xf>
    <xf numFmtId="0" fontId="16" fillId="0" borderId="0" xfId="16" applyFont="1" applyAlignment="1">
      <alignment wrapText="1"/>
    </xf>
    <xf numFmtId="167" fontId="14" fillId="0" borderId="11" xfId="9" applyFont="1" applyBorder="1" applyAlignment="1">
      <alignment horizontal="center" vertical="center" wrapText="1"/>
    </xf>
    <xf numFmtId="0" fontId="26" fillId="0" borderId="11" xfId="16" applyFont="1" applyBorder="1" applyAlignment="1">
      <alignment horizontal="center" vertical="center" wrapText="1"/>
    </xf>
    <xf numFmtId="0" fontId="14" fillId="0" borderId="0" xfId="7" applyFont="1" applyAlignment="1">
      <alignment horizontal="justify" vertical="center" wrapText="1"/>
    </xf>
    <xf numFmtId="0" fontId="14" fillId="0" borderId="0" xfId="7" applyFont="1"/>
    <xf numFmtId="0" fontId="27" fillId="0" borderId="11" xfId="0" applyFont="1" applyBorder="1" applyAlignment="1">
      <alignment horizontal="left" vertical="top" wrapText="1"/>
    </xf>
    <xf numFmtId="0" fontId="28" fillId="0" borderId="16" xfId="0" applyFont="1" applyBorder="1" applyAlignment="1">
      <alignment horizontal="center"/>
    </xf>
    <xf numFmtId="0" fontId="28" fillId="0" borderId="11" xfId="0" applyFont="1" applyBorder="1" applyAlignment="1">
      <alignment horizontal="center"/>
    </xf>
    <xf numFmtId="0" fontId="28" fillId="0" borderId="0" xfId="0" applyFont="1"/>
    <xf numFmtId="2" fontId="28" fillId="0" borderId="17" xfId="0" applyNumberFormat="1" applyFont="1" applyBorder="1" applyAlignment="1">
      <alignment horizontal="center"/>
    </xf>
    <xf numFmtId="169" fontId="19" fillId="0" borderId="11" xfId="9" applyNumberFormat="1" applyFont="1" applyBorder="1" applyAlignment="1">
      <alignment horizontal="center" vertical="center"/>
    </xf>
    <xf numFmtId="0" fontId="7" fillId="0" borderId="11" xfId="15" applyFont="1" applyBorder="1" applyAlignment="1">
      <alignment vertical="justify" wrapText="1"/>
    </xf>
    <xf numFmtId="0" fontId="0" fillId="0" borderId="11" xfId="8" applyFont="1" applyBorder="1" applyAlignment="1">
      <alignment horizontal="left" vertical="center" wrapText="1"/>
    </xf>
    <xf numFmtId="0" fontId="29" fillId="0" borderId="11" xfId="15" applyFont="1" applyBorder="1" applyAlignment="1">
      <alignment vertical="justify" wrapText="1"/>
    </xf>
    <xf numFmtId="170" fontId="19" fillId="0" borderId="11" xfId="9" applyNumberFormat="1" applyFont="1" applyBorder="1" applyAlignment="1">
      <alignment horizontal="center" vertical="center" wrapText="1"/>
    </xf>
    <xf numFmtId="0" fontId="0" fillId="0" borderId="16" xfId="8" applyFont="1" applyBorder="1" applyAlignment="1">
      <alignment horizontal="center" vertical="top" wrapText="1"/>
    </xf>
    <xf numFmtId="0" fontId="7" fillId="0" borderId="18" xfId="8" applyFont="1" applyBorder="1" applyAlignment="1">
      <alignment horizontal="left" vertical="center" wrapText="1"/>
    </xf>
    <xf numFmtId="0" fontId="0" fillId="0" borderId="18" xfId="8" applyFont="1" applyBorder="1" applyAlignment="1">
      <alignment horizontal="left" vertical="center" wrapText="1"/>
    </xf>
    <xf numFmtId="0" fontId="19" fillId="0" borderId="18" xfId="8" applyFont="1" applyBorder="1" applyAlignment="1">
      <alignment horizontal="right" vertical="center" wrapText="1"/>
    </xf>
    <xf numFmtId="171" fontId="21" fillId="0" borderId="11" xfId="10" applyNumberFormat="1" applyFont="1" applyBorder="1" applyAlignment="1">
      <alignment vertical="center" wrapText="1"/>
    </xf>
    <xf numFmtId="172" fontId="21" fillId="0" borderId="17" xfId="10" applyNumberFormat="1" applyFont="1" applyBorder="1" applyAlignment="1">
      <alignment vertical="center" wrapText="1"/>
    </xf>
    <xf numFmtId="0" fontId="0" fillId="0" borderId="0" xfId="8" applyFont="1" applyAlignment="1">
      <alignment horizontal="center" vertical="top" wrapText="1"/>
    </xf>
    <xf numFmtId="0" fontId="7" fillId="0" borderId="0" xfId="8" applyFont="1" applyAlignment="1">
      <alignment horizontal="left" vertical="center" wrapText="1"/>
    </xf>
    <xf numFmtId="0" fontId="0" fillId="0" borderId="0" xfId="8" applyFont="1" applyAlignment="1">
      <alignment horizontal="center" vertical="center" wrapText="1"/>
    </xf>
    <xf numFmtId="0" fontId="7" fillId="0" borderId="0" xfId="7" applyFont="1"/>
    <xf numFmtId="2" fontId="0" fillId="0" borderId="0" xfId="7" applyNumberFormat="1" applyFont="1" applyAlignment="1">
      <alignment horizontal="center"/>
    </xf>
    <xf numFmtId="2" fontId="0" fillId="0" borderId="0" xfId="7" applyNumberFormat="1" applyFont="1"/>
    <xf numFmtId="0" fontId="0" fillId="0" borderId="0" xfId="7" applyFont="1" applyAlignment="1">
      <alignment horizontal="center"/>
    </xf>
    <xf numFmtId="0" fontId="18" fillId="4" borderId="0" xfId="7" applyFill="1"/>
    <xf numFmtId="0" fontId="18" fillId="0" borderId="0" xfId="7"/>
    <xf numFmtId="0" fontId="18" fillId="5" borderId="0" xfId="7" applyFill="1"/>
    <xf numFmtId="0" fontId="19" fillId="5" borderId="0" xfId="7" applyFont="1" applyFill="1"/>
    <xf numFmtId="0" fontId="30" fillId="5" borderId="0" xfId="7" applyFont="1" applyFill="1"/>
    <xf numFmtId="0" fontId="31" fillId="5" borderId="0" xfId="7" applyFont="1" applyFill="1"/>
    <xf numFmtId="0" fontId="19" fillId="4" borderId="0" xfId="7" applyFont="1" applyFill="1"/>
    <xf numFmtId="0" fontId="32" fillId="4" borderId="11" xfId="7" applyFont="1" applyFill="1" applyBorder="1" applyAlignment="1">
      <alignment horizontal="center" vertical="center"/>
    </xf>
    <xf numFmtId="0" fontId="32" fillId="4" borderId="0" xfId="7" applyFont="1" applyFill="1" applyAlignment="1">
      <alignment horizontal="center" vertical="center"/>
    </xf>
    <xf numFmtId="0" fontId="32" fillId="0" borderId="0" xfId="7" applyFont="1" applyAlignment="1">
      <alignment horizontal="center" vertical="center"/>
    </xf>
    <xf numFmtId="0" fontId="32" fillId="4" borderId="11" xfId="7" applyFont="1" applyFill="1" applyBorder="1" applyAlignment="1">
      <alignment horizontal="center" vertical="center" wrapText="1"/>
    </xf>
    <xf numFmtId="2" fontId="33" fillId="4" borderId="11" xfId="7" applyNumberFormat="1" applyFont="1" applyFill="1" applyBorder="1" applyAlignment="1">
      <alignment horizontal="center" vertical="center"/>
    </xf>
    <xf numFmtId="2" fontId="34" fillId="4" borderId="11" xfId="7" applyNumberFormat="1" applyFont="1" applyFill="1" applyBorder="1" applyAlignment="1">
      <alignment horizontal="center" vertical="center"/>
    </xf>
    <xf numFmtId="2" fontId="33" fillId="4" borderId="11" xfId="7" applyNumberFormat="1" applyFont="1" applyFill="1" applyBorder="1" applyAlignment="1">
      <alignment horizontal="center" vertical="center" wrapText="1"/>
    </xf>
    <xf numFmtId="0" fontId="35" fillId="4" borderId="30" xfId="1" applyFont="1" applyFill="1" applyBorder="1" applyAlignment="1">
      <alignment horizontal="center" vertical="center" wrapText="1"/>
    </xf>
    <xf numFmtId="0" fontId="32" fillId="4" borderId="13" xfId="7" applyFont="1" applyFill="1" applyBorder="1" applyAlignment="1">
      <alignment horizontal="center" vertical="center"/>
    </xf>
    <xf numFmtId="0" fontId="32" fillId="4" borderId="13" xfId="7" applyFont="1" applyFill="1" applyBorder="1" applyAlignment="1">
      <alignment horizontal="center" vertical="center" wrapText="1"/>
    </xf>
    <xf numFmtId="0" fontId="32" fillId="4" borderId="19" xfId="7" applyFont="1" applyFill="1" applyBorder="1" applyAlignment="1">
      <alignment horizontal="center" vertical="center"/>
    </xf>
    <xf numFmtId="0" fontId="32" fillId="4" borderId="2" xfId="7" applyFont="1" applyFill="1" applyBorder="1" applyAlignment="1">
      <alignment horizontal="center" vertical="center"/>
    </xf>
    <xf numFmtId="0" fontId="32" fillId="4" borderId="3" xfId="7" applyFont="1" applyFill="1" applyBorder="1" applyAlignment="1">
      <alignment horizontal="center" vertical="center"/>
    </xf>
    <xf numFmtId="0" fontId="32" fillId="4" borderId="4" xfId="7" applyFont="1" applyFill="1" applyBorder="1" applyAlignment="1">
      <alignment horizontal="center" vertical="center"/>
    </xf>
    <xf numFmtId="0" fontId="32" fillId="4" borderId="35" xfId="7" applyFont="1" applyFill="1" applyBorder="1" applyAlignment="1">
      <alignment horizontal="center" vertical="center"/>
    </xf>
    <xf numFmtId="0" fontId="32" fillId="4" borderId="18" xfId="7" applyFont="1" applyFill="1" applyBorder="1" applyAlignment="1">
      <alignment horizontal="center" vertical="center" wrapText="1"/>
    </xf>
    <xf numFmtId="0" fontId="32" fillId="4" borderId="16" xfId="7" applyFont="1" applyFill="1" applyBorder="1" applyAlignment="1">
      <alignment horizontal="center" vertical="center"/>
    </xf>
    <xf numFmtId="0" fontId="37" fillId="4" borderId="36" xfId="7" applyFont="1" applyFill="1" applyBorder="1" applyAlignment="1">
      <alignment horizontal="center" vertical="center"/>
    </xf>
    <xf numFmtId="0" fontId="37" fillId="4" borderId="18" xfId="7" applyFont="1" applyFill="1" applyBorder="1" applyAlignment="1">
      <alignment horizontal="center" vertical="center"/>
    </xf>
    <xf numFmtId="0" fontId="32" fillId="4" borderId="37" xfId="7" applyFont="1" applyFill="1" applyBorder="1" applyAlignment="1">
      <alignment horizontal="center" vertical="center"/>
    </xf>
    <xf numFmtId="2" fontId="37" fillId="4" borderId="36" xfId="7" applyNumberFormat="1" applyFont="1" applyFill="1" applyBorder="1" applyAlignment="1">
      <alignment horizontal="center" vertical="center"/>
    </xf>
    <xf numFmtId="2" fontId="32" fillId="4" borderId="35" xfId="7" applyNumberFormat="1" applyFont="1" applyFill="1" applyBorder="1" applyAlignment="1">
      <alignment horizontal="center" vertical="center"/>
    </xf>
    <xf numFmtId="2" fontId="33" fillId="4" borderId="36" xfId="7" applyNumberFormat="1" applyFont="1" applyFill="1" applyBorder="1" applyAlignment="1">
      <alignment horizontal="center" vertical="center"/>
    </xf>
    <xf numFmtId="0" fontId="33" fillId="4" borderId="18" xfId="7" applyFont="1" applyFill="1" applyBorder="1" applyAlignment="1">
      <alignment horizontal="center" vertical="center"/>
    </xf>
    <xf numFmtId="2" fontId="33" fillId="4" borderId="30" xfId="7" applyNumberFormat="1" applyFont="1" applyFill="1" applyBorder="1" applyAlignment="1">
      <alignment horizontal="center" vertical="center"/>
    </xf>
    <xf numFmtId="0" fontId="32" fillId="4" borderId="38" xfId="7" applyFont="1" applyFill="1" applyBorder="1" applyAlignment="1">
      <alignment horizontal="center" vertical="center"/>
    </xf>
    <xf numFmtId="2" fontId="37" fillId="4" borderId="35" xfId="7" applyNumberFormat="1" applyFont="1" applyFill="1" applyBorder="1" applyAlignment="1">
      <alignment horizontal="center" vertical="center"/>
    </xf>
    <xf numFmtId="0" fontId="32" fillId="4" borderId="10" xfId="7" applyFont="1" applyFill="1" applyBorder="1" applyAlignment="1">
      <alignment horizontal="center" vertical="center" wrapText="1"/>
    </xf>
    <xf numFmtId="0" fontId="32" fillId="4" borderId="14" xfId="7" applyFont="1" applyFill="1" applyBorder="1" applyAlignment="1">
      <alignment horizontal="center" vertical="center"/>
    </xf>
    <xf numFmtId="166" fontId="32" fillId="4" borderId="7" xfId="7" applyNumberFormat="1" applyFont="1" applyFill="1" applyBorder="1" applyAlignment="1">
      <alignment horizontal="center" vertical="center"/>
    </xf>
    <xf numFmtId="166" fontId="32" fillId="4" borderId="32" xfId="7" applyNumberFormat="1" applyFont="1" applyFill="1" applyBorder="1" applyAlignment="1">
      <alignment horizontal="center" vertical="center"/>
    </xf>
    <xf numFmtId="0" fontId="32" fillId="4" borderId="40" xfId="7" applyFont="1" applyFill="1" applyBorder="1" applyAlignment="1">
      <alignment horizontal="center" vertical="center"/>
    </xf>
    <xf numFmtId="166" fontId="32" fillId="4" borderId="17" xfId="7" applyNumberFormat="1" applyFont="1" applyFill="1" applyBorder="1" applyAlignment="1">
      <alignment horizontal="center" vertical="center"/>
    </xf>
    <xf numFmtId="0" fontId="32" fillId="4" borderId="41" xfId="7" applyFont="1" applyFill="1" applyBorder="1" applyAlignment="1">
      <alignment horizontal="center" vertical="center"/>
    </xf>
    <xf numFmtId="0" fontId="32" fillId="8" borderId="15" xfId="7" applyFont="1" applyFill="1" applyBorder="1" applyAlignment="1">
      <alignment horizontal="center" vertical="center" wrapText="1"/>
    </xf>
    <xf numFmtId="0" fontId="32" fillId="8" borderId="42" xfId="7" applyFont="1" applyFill="1" applyBorder="1" applyAlignment="1">
      <alignment horizontal="center" vertical="center"/>
    </xf>
    <xf numFmtId="166" fontId="32" fillId="8" borderId="42" xfId="7" applyNumberFormat="1" applyFont="1" applyFill="1" applyBorder="1" applyAlignment="1">
      <alignment horizontal="center" vertical="center"/>
    </xf>
    <xf numFmtId="166" fontId="32" fillId="8" borderId="41" xfId="7" applyNumberFormat="1" applyFont="1" applyFill="1" applyBorder="1" applyAlignment="1">
      <alignment horizontal="center" vertical="center"/>
    </xf>
    <xf numFmtId="0" fontId="32" fillId="5" borderId="10" xfId="7" applyFont="1" applyFill="1" applyBorder="1" applyAlignment="1">
      <alignment horizontal="center" vertical="center" wrapText="1"/>
    </xf>
    <xf numFmtId="0" fontId="32" fillId="5" borderId="11" xfId="7" applyFont="1" applyFill="1" applyBorder="1" applyAlignment="1">
      <alignment horizontal="center" vertical="center"/>
    </xf>
    <xf numFmtId="166" fontId="32" fillId="5" borderId="11" xfId="7" applyNumberFormat="1" applyFont="1" applyFill="1" applyBorder="1" applyAlignment="1">
      <alignment horizontal="center" vertical="center"/>
    </xf>
    <xf numFmtId="166" fontId="32" fillId="5" borderId="16" xfId="7" applyNumberFormat="1" applyFont="1" applyFill="1" applyBorder="1" applyAlignment="1">
      <alignment horizontal="center" vertical="center"/>
    </xf>
    <xf numFmtId="166" fontId="32" fillId="5" borderId="17" xfId="7" applyNumberFormat="1" applyFont="1" applyFill="1" applyBorder="1" applyAlignment="1">
      <alignment horizontal="center" vertical="center"/>
    </xf>
    <xf numFmtId="0" fontId="32" fillId="4" borderId="0" xfId="7" applyFont="1" applyFill="1" applyAlignment="1">
      <alignment horizontal="center" vertical="center" wrapText="1"/>
    </xf>
    <xf numFmtId="0" fontId="35" fillId="4" borderId="43" xfId="1" applyFont="1" applyFill="1" applyBorder="1" applyAlignment="1">
      <alignment horizontal="center" vertical="center" wrapText="1"/>
    </xf>
    <xf numFmtId="0" fontId="32" fillId="4" borderId="43" xfId="7" applyFont="1" applyFill="1" applyBorder="1" applyAlignment="1">
      <alignment horizontal="center" vertical="center"/>
    </xf>
    <xf numFmtId="1" fontId="32" fillId="0" borderId="0" xfId="7" applyNumberFormat="1" applyFont="1" applyAlignment="1">
      <alignment horizontal="center" vertical="center"/>
    </xf>
    <xf numFmtId="0" fontId="32" fillId="4" borderId="42" xfId="7" applyFont="1" applyFill="1" applyBorder="1" applyAlignment="1">
      <alignment horizontal="center" vertical="center" wrapText="1"/>
    </xf>
    <xf numFmtId="0" fontId="32" fillId="4" borderId="42" xfId="7" applyFont="1" applyFill="1" applyBorder="1" applyAlignment="1">
      <alignment horizontal="center" vertical="center"/>
    </xf>
    <xf numFmtId="0" fontId="34" fillId="4" borderId="11" xfId="7" applyFont="1" applyFill="1" applyBorder="1" applyAlignment="1">
      <alignment horizontal="center" vertical="center"/>
    </xf>
    <xf numFmtId="166" fontId="37" fillId="4" borderId="0" xfId="7" applyNumberFormat="1" applyFont="1" applyFill="1" applyAlignment="1">
      <alignment horizontal="center" vertical="center"/>
    </xf>
    <xf numFmtId="166" fontId="32" fillId="4" borderId="0" xfId="7" applyNumberFormat="1" applyFont="1" applyFill="1" applyAlignment="1">
      <alignment horizontal="center" vertical="center"/>
    </xf>
    <xf numFmtId="0" fontId="32" fillId="4" borderId="34" xfId="7" applyFont="1" applyFill="1" applyBorder="1" applyAlignment="1">
      <alignment horizontal="center" vertical="center"/>
    </xf>
    <xf numFmtId="0" fontId="32" fillId="4" borderId="45" xfId="7" applyFont="1" applyFill="1" applyBorder="1" applyAlignment="1">
      <alignment horizontal="center" vertical="center"/>
    </xf>
    <xf numFmtId="0" fontId="32" fillId="8" borderId="11" xfId="7" applyFont="1" applyFill="1" applyBorder="1" applyAlignment="1">
      <alignment horizontal="center" vertical="center"/>
    </xf>
    <xf numFmtId="0" fontId="32" fillId="8" borderId="11" xfId="7" applyFont="1" applyFill="1" applyBorder="1" applyAlignment="1">
      <alignment horizontal="center" vertical="center" wrapText="1"/>
    </xf>
    <xf numFmtId="0" fontId="34" fillId="8" borderId="17" xfId="7" applyFont="1" applyFill="1" applyBorder="1" applyAlignment="1">
      <alignment horizontal="center" vertical="center"/>
    </xf>
    <xf numFmtId="166" fontId="32" fillId="8" borderId="11" xfId="7" applyNumberFormat="1" applyFont="1" applyFill="1" applyBorder="1" applyAlignment="1">
      <alignment horizontal="center" vertical="center"/>
    </xf>
    <xf numFmtId="166" fontId="32" fillId="8" borderId="11" xfId="7" applyNumberFormat="1" applyFont="1" applyFill="1" applyBorder="1" applyAlignment="1" applyProtection="1">
      <alignment horizontal="center" vertical="center"/>
      <protection locked="0"/>
    </xf>
    <xf numFmtId="0" fontId="32" fillId="5" borderId="11" xfId="7" applyFont="1" applyFill="1" applyBorder="1" applyAlignment="1">
      <alignment horizontal="center" vertical="center" wrapText="1"/>
    </xf>
    <xf numFmtId="2" fontId="34" fillId="5" borderId="17" xfId="7" applyNumberFormat="1" applyFont="1" applyFill="1" applyBorder="1" applyAlignment="1">
      <alignment horizontal="center" vertical="center"/>
    </xf>
    <xf numFmtId="166" fontId="37" fillId="5" borderId="11" xfId="7" applyNumberFormat="1" applyFont="1" applyFill="1" applyBorder="1" applyAlignment="1" applyProtection="1">
      <alignment horizontal="center" vertical="center"/>
      <protection locked="0"/>
    </xf>
    <xf numFmtId="0" fontId="32" fillId="5" borderId="20" xfId="7" applyFont="1" applyFill="1" applyBorder="1" applyAlignment="1">
      <alignment horizontal="center" vertical="center" wrapText="1"/>
    </xf>
    <xf numFmtId="0" fontId="32" fillId="5" borderId="20" xfId="7" applyFont="1" applyFill="1" applyBorder="1" applyAlignment="1">
      <alignment horizontal="center" vertical="center"/>
    </xf>
    <xf numFmtId="2" fontId="34" fillId="5" borderId="13" xfId="7" applyNumberFormat="1" applyFont="1" applyFill="1" applyBorder="1" applyAlignment="1">
      <alignment horizontal="center" vertical="center"/>
    </xf>
    <xf numFmtId="166" fontId="32" fillId="5" borderId="20" xfId="7" applyNumberFormat="1" applyFont="1" applyFill="1" applyBorder="1" applyAlignment="1">
      <alignment horizontal="center" vertical="center"/>
    </xf>
    <xf numFmtId="166" fontId="37" fillId="5" borderId="20" xfId="7" applyNumberFormat="1" applyFont="1" applyFill="1" applyBorder="1" applyAlignment="1" applyProtection="1">
      <alignment horizontal="center" vertical="center"/>
      <protection locked="0"/>
    </xf>
    <xf numFmtId="1" fontId="34" fillId="5" borderId="11" xfId="7" applyNumberFormat="1" applyFont="1" applyFill="1" applyBorder="1" applyAlignment="1">
      <alignment horizontal="center" vertical="center"/>
    </xf>
    <xf numFmtId="1" fontId="32" fillId="5" borderId="11" xfId="7" applyNumberFormat="1" applyFont="1" applyFill="1" applyBorder="1" applyAlignment="1" applyProtection="1">
      <alignment horizontal="center" vertical="center"/>
      <protection locked="0"/>
    </xf>
    <xf numFmtId="0" fontId="35" fillId="4" borderId="11" xfId="1" applyFont="1" applyFill="1" applyBorder="1" applyAlignment="1">
      <alignment horizontal="center" vertical="center" wrapText="1"/>
    </xf>
    <xf numFmtId="0" fontId="32" fillId="4" borderId="17" xfId="7" applyFont="1" applyFill="1" applyBorder="1" applyAlignment="1">
      <alignment horizontal="center" vertical="center"/>
    </xf>
    <xf numFmtId="0" fontId="34" fillId="4" borderId="17" xfId="7" applyFont="1" applyFill="1" applyBorder="1" applyAlignment="1">
      <alignment horizontal="center" vertical="center"/>
    </xf>
    <xf numFmtId="2" fontId="34" fillId="4" borderId="17" xfId="7" applyNumberFormat="1" applyFont="1" applyFill="1" applyBorder="1" applyAlignment="1">
      <alignment horizontal="center" vertical="center"/>
    </xf>
    <xf numFmtId="2" fontId="32" fillId="4" borderId="11" xfId="7" applyNumberFormat="1" applyFont="1" applyFill="1" applyBorder="1" applyAlignment="1">
      <alignment horizontal="center" vertical="center"/>
    </xf>
    <xf numFmtId="0" fontId="33" fillId="4" borderId="17" xfId="7" applyFont="1" applyFill="1" applyBorder="1" applyAlignment="1">
      <alignment horizontal="center" vertical="center"/>
    </xf>
    <xf numFmtId="0" fontId="33" fillId="4" borderId="11" xfId="7" applyFont="1" applyFill="1" applyBorder="1" applyAlignment="1">
      <alignment horizontal="center" vertical="center"/>
    </xf>
    <xf numFmtId="1" fontId="34" fillId="4" borderId="11" xfId="7" applyNumberFormat="1" applyFont="1" applyFill="1" applyBorder="1" applyAlignment="1">
      <alignment horizontal="center" vertical="center"/>
    </xf>
    <xf numFmtId="0" fontId="18" fillId="8" borderId="17" xfId="7" applyFill="1" applyBorder="1"/>
    <xf numFmtId="0" fontId="32" fillId="8" borderId="14" xfId="7" applyFont="1" applyFill="1" applyBorder="1" applyAlignment="1">
      <alignment horizontal="center" vertical="center" wrapText="1"/>
    </xf>
    <xf numFmtId="0" fontId="32" fillId="8" borderId="10" xfId="7" applyFont="1" applyFill="1" applyBorder="1" applyAlignment="1">
      <alignment horizontal="center" vertical="center"/>
    </xf>
    <xf numFmtId="0" fontId="18" fillId="8" borderId="10" xfId="7" applyFill="1" applyBorder="1"/>
    <xf numFmtId="166" fontId="32" fillId="8" borderId="10" xfId="7" applyNumberFormat="1" applyFont="1" applyFill="1" applyBorder="1" applyAlignment="1">
      <alignment horizontal="center" vertical="center"/>
    </xf>
    <xf numFmtId="166" fontId="32" fillId="8" borderId="15" xfId="7" applyNumberFormat="1" applyFont="1" applyFill="1" applyBorder="1" applyAlignment="1">
      <alignment horizontal="center" vertical="center"/>
    </xf>
    <xf numFmtId="1" fontId="32" fillId="4" borderId="11" xfId="7" applyNumberFormat="1" applyFont="1" applyFill="1" applyBorder="1" applyAlignment="1">
      <alignment horizontal="center" vertical="center"/>
    </xf>
    <xf numFmtId="166" fontId="32" fillId="4" borderId="16" xfId="7" applyNumberFormat="1" applyFont="1" applyFill="1" applyBorder="1" applyAlignment="1" applyProtection="1">
      <alignment horizontal="center" vertical="center"/>
      <protection locked="0"/>
    </xf>
    <xf numFmtId="0" fontId="32" fillId="4" borderId="17" xfId="7" applyFont="1" applyFill="1" applyBorder="1" applyAlignment="1">
      <alignment vertical="center"/>
    </xf>
    <xf numFmtId="166" fontId="32" fillId="4" borderId="0" xfId="7" applyNumberFormat="1" applyFont="1" applyFill="1" applyAlignment="1" applyProtection="1">
      <alignment horizontal="center" vertical="center"/>
      <protection locked="0"/>
    </xf>
    <xf numFmtId="0" fontId="32" fillId="4" borderId="0" xfId="7" applyFont="1" applyFill="1" applyAlignment="1">
      <alignment vertical="center"/>
    </xf>
    <xf numFmtId="0" fontId="32" fillId="4" borderId="20" xfId="7" applyFont="1" applyFill="1" applyBorder="1" applyAlignment="1">
      <alignment horizontal="center" vertical="center"/>
    </xf>
    <xf numFmtId="0" fontId="32" fillId="4" borderId="20" xfId="7" applyFont="1" applyFill="1" applyBorder="1" applyAlignment="1">
      <alignment horizontal="center" vertical="center" wrapText="1"/>
    </xf>
    <xf numFmtId="0" fontId="32" fillId="4" borderId="11" xfId="7" applyFont="1" applyFill="1" applyBorder="1" applyAlignment="1" applyProtection="1">
      <alignment horizontal="center" vertical="center"/>
      <protection locked="0"/>
    </xf>
    <xf numFmtId="0" fontId="39" fillId="6" borderId="11" xfId="7" applyFont="1" applyFill="1" applyBorder="1"/>
    <xf numFmtId="166" fontId="32" fillId="4" borderId="11" xfId="7" applyNumberFormat="1" applyFont="1" applyFill="1" applyBorder="1" applyAlignment="1">
      <alignment horizontal="center" vertical="center"/>
    </xf>
    <xf numFmtId="0" fontId="39" fillId="4" borderId="11" xfId="7" applyFont="1" applyFill="1" applyBorder="1"/>
    <xf numFmtId="0" fontId="18" fillId="6" borderId="11" xfId="7" applyFill="1" applyBorder="1" applyAlignment="1">
      <alignment horizontal="left" vertical="center" wrapText="1"/>
    </xf>
    <xf numFmtId="0" fontId="32" fillId="4" borderId="11" xfId="7" applyFont="1" applyFill="1" applyBorder="1" applyAlignment="1">
      <alignment horizontal="left" vertical="center" wrapText="1"/>
    </xf>
    <xf numFmtId="1" fontId="32" fillId="4" borderId="20" xfId="7" applyNumberFormat="1" applyFont="1" applyFill="1" applyBorder="1" applyAlignment="1">
      <alignment horizontal="center" vertical="center"/>
    </xf>
    <xf numFmtId="0" fontId="32" fillId="4" borderId="18" xfId="7" applyFont="1" applyFill="1" applyBorder="1" applyAlignment="1">
      <alignment horizontal="center" vertical="center"/>
    </xf>
    <xf numFmtId="2" fontId="32" fillId="4" borderId="11" xfId="7" applyNumberFormat="1" applyFont="1" applyFill="1" applyBorder="1" applyAlignment="1" applyProtection="1">
      <alignment horizontal="center" vertical="center"/>
      <protection locked="0"/>
    </xf>
    <xf numFmtId="0" fontId="0" fillId="0" borderId="0" xfId="15" applyFont="1"/>
    <xf numFmtId="0" fontId="42" fillId="0" borderId="0" xfId="15" applyFont="1" applyAlignment="1">
      <alignment vertical="top"/>
    </xf>
    <xf numFmtId="0" fontId="19" fillId="0" borderId="0" xfId="15" applyFont="1" applyAlignment="1">
      <alignment vertical="top" wrapText="1"/>
    </xf>
    <xf numFmtId="0" fontId="19" fillId="0" borderId="11" xfId="15" applyFont="1" applyBorder="1" applyAlignment="1">
      <alignment horizontal="center" vertical="center"/>
    </xf>
    <xf numFmtId="0" fontId="19" fillId="0" borderId="20" xfId="15" applyFont="1" applyBorder="1" applyAlignment="1">
      <alignment horizontal="center" vertical="center"/>
    </xf>
    <xf numFmtId="0" fontId="19" fillId="0" borderId="20" xfId="15" applyFont="1" applyBorder="1" applyAlignment="1">
      <alignment horizontal="center" vertical="top"/>
    </xf>
    <xf numFmtId="0" fontId="19" fillId="0" borderId="20" xfId="6" applyFont="1" applyBorder="1" applyAlignment="1">
      <alignment horizontal="left" vertical="center" wrapText="1"/>
    </xf>
    <xf numFmtId="0" fontId="19" fillId="0" borderId="20" xfId="15" applyFont="1" applyBorder="1" applyAlignment="1">
      <alignment horizontal="center"/>
    </xf>
    <xf numFmtId="0" fontId="19" fillId="0" borderId="41" xfId="15" applyFont="1" applyBorder="1" applyAlignment="1">
      <alignment horizontal="center" vertical="top"/>
    </xf>
    <xf numFmtId="0" fontId="0" fillId="0" borderId="41" xfId="6" applyFont="1" applyBorder="1" applyAlignment="1">
      <alignment horizontal="left" vertical="center" wrapText="1"/>
    </xf>
    <xf numFmtId="0" fontId="0" fillId="0" borderId="41" xfId="15" applyFont="1" applyBorder="1" applyAlignment="1">
      <alignment horizontal="center" vertical="center"/>
    </xf>
    <xf numFmtId="0" fontId="23" fillId="0" borderId="41" xfId="15" applyFont="1" applyBorder="1" applyAlignment="1">
      <alignment horizontal="center" vertical="center"/>
    </xf>
    <xf numFmtId="166" fontId="0" fillId="0" borderId="41" xfId="15" applyNumberFormat="1" applyFont="1" applyBorder="1" applyAlignment="1">
      <alignment horizontal="center" vertical="center"/>
    </xf>
    <xf numFmtId="0" fontId="0" fillId="0" borderId="19" xfId="15" applyFont="1" applyBorder="1" applyAlignment="1">
      <alignment horizontal="center" vertical="center"/>
    </xf>
    <xf numFmtId="2" fontId="0" fillId="0" borderId="41" xfId="15" applyNumberFormat="1" applyFont="1" applyBorder="1" applyAlignment="1">
      <alignment horizontal="center" vertical="center"/>
    </xf>
    <xf numFmtId="0" fontId="0" fillId="0" borderId="41" xfId="15" applyFont="1" applyBorder="1" applyAlignment="1">
      <alignment horizontal="left" vertical="center"/>
    </xf>
    <xf numFmtId="0" fontId="2" fillId="0" borderId="41" xfId="15" applyFont="1" applyBorder="1" applyAlignment="1">
      <alignment horizontal="center" vertical="center"/>
    </xf>
    <xf numFmtId="1" fontId="0" fillId="0" borderId="41" xfId="15" applyNumberFormat="1" applyFont="1" applyBorder="1" applyAlignment="1">
      <alignment horizontal="center" vertical="center"/>
    </xf>
    <xf numFmtId="0" fontId="0" fillId="0" borderId="42" xfId="15" applyFont="1" applyBorder="1" applyAlignment="1">
      <alignment horizontal="center" vertical="center"/>
    </xf>
    <xf numFmtId="2" fontId="19" fillId="0" borderId="11" xfId="15" applyNumberFormat="1" applyFont="1" applyBorder="1" applyAlignment="1">
      <alignment horizontal="center" vertical="center"/>
    </xf>
    <xf numFmtId="0" fontId="0" fillId="0" borderId="11" xfId="15" applyFont="1" applyBorder="1" applyAlignment="1">
      <alignment horizontal="center" vertical="top"/>
    </xf>
    <xf numFmtId="0" fontId="0" fillId="0" borderId="17" xfId="15" applyFont="1" applyBorder="1" applyAlignment="1">
      <alignment horizontal="left" vertical="center" wrapText="1"/>
    </xf>
    <xf numFmtId="0" fontId="0" fillId="0" borderId="11" xfId="15" applyFont="1" applyBorder="1" applyAlignment="1">
      <alignment horizontal="center" vertical="center"/>
    </xf>
    <xf numFmtId="0" fontId="0" fillId="0" borderId="16" xfId="15" applyFont="1" applyBorder="1" applyAlignment="1">
      <alignment horizontal="center" vertical="center"/>
    </xf>
    <xf numFmtId="166" fontId="19" fillId="0" borderId="11" xfId="15" applyNumberFormat="1" applyFont="1" applyBorder="1" applyAlignment="1">
      <alignment horizontal="center" vertical="center"/>
    </xf>
    <xf numFmtId="0" fontId="0" fillId="0" borderId="17" xfId="8" applyFont="1" applyBorder="1" applyAlignment="1">
      <alignment horizontal="left" vertical="center" wrapText="1"/>
    </xf>
    <xf numFmtId="2" fontId="0" fillId="0" borderId="11" xfId="15" applyNumberFormat="1" applyFont="1" applyBorder="1" applyAlignment="1">
      <alignment horizontal="center" vertical="center"/>
    </xf>
    <xf numFmtId="0" fontId="0" fillId="0" borderId="11" xfId="15" applyFont="1" applyBorder="1" applyAlignment="1">
      <alignment vertical="center"/>
    </xf>
    <xf numFmtId="0" fontId="0" fillId="0" borderId="17" xfId="11" applyFont="1" applyBorder="1" applyAlignment="1">
      <alignment horizontal="justify" vertical="top" wrapText="1"/>
    </xf>
    <xf numFmtId="0" fontId="0" fillId="0" borderId="20" xfId="15" applyFont="1" applyBorder="1" applyAlignment="1">
      <alignment horizontal="center" vertical="center"/>
    </xf>
    <xf numFmtId="166" fontId="19" fillId="0" borderId="20" xfId="15" applyNumberFormat="1" applyFont="1" applyBorder="1" applyAlignment="1">
      <alignment horizontal="center" vertical="center"/>
    </xf>
    <xf numFmtId="0" fontId="0" fillId="0" borderId="17" xfId="8" applyFont="1" applyBorder="1" applyAlignment="1">
      <alignment horizontal="justify" vertical="center" wrapText="1"/>
    </xf>
    <xf numFmtId="0" fontId="0" fillId="10" borderId="0" xfId="15" applyFont="1" applyFill="1"/>
    <xf numFmtId="0" fontId="19" fillId="0" borderId="41" xfId="15" applyFont="1" applyBorder="1" applyAlignment="1">
      <alignment horizontal="center" vertical="center"/>
    </xf>
    <xf numFmtId="0" fontId="19" fillId="0" borderId="41" xfId="15" quotePrefix="1" applyFont="1" applyBorder="1" applyAlignment="1">
      <alignment horizontal="center" vertical="center" wrapText="1"/>
    </xf>
    <xf numFmtId="0" fontId="19" fillId="0" borderId="19" xfId="15" applyFont="1" applyBorder="1" applyAlignment="1">
      <alignment horizontal="center" vertical="center"/>
    </xf>
    <xf numFmtId="0" fontId="19" fillId="11" borderId="11" xfId="15" applyFont="1" applyFill="1" applyBorder="1" applyAlignment="1">
      <alignment horizontal="center" vertical="center"/>
    </xf>
    <xf numFmtId="0" fontId="19" fillId="11" borderId="11" xfId="15" applyFont="1" applyFill="1" applyBorder="1" applyAlignment="1">
      <alignment horizontal="left" vertical="center"/>
    </xf>
    <xf numFmtId="0" fontId="0" fillId="0" borderId="30" xfId="13" applyFont="1" applyBorder="1" applyAlignment="1">
      <alignment horizontal="justify" vertical="top" wrapText="1"/>
    </xf>
    <xf numFmtId="0" fontId="19" fillId="0" borderId="20" xfId="15" applyFont="1" applyBorder="1" applyAlignment="1">
      <alignment vertical="center"/>
    </xf>
    <xf numFmtId="2" fontId="19" fillId="0" borderId="20" xfId="15" applyNumberFormat="1" applyFont="1" applyBorder="1" applyAlignment="1">
      <alignment horizontal="center" vertical="center"/>
    </xf>
    <xf numFmtId="0" fontId="19" fillId="11" borderId="11" xfId="15" applyFont="1" applyFill="1" applyBorder="1" applyAlignment="1">
      <alignment horizontal="center" vertical="top"/>
    </xf>
    <xf numFmtId="0" fontId="19" fillId="11" borderId="11" xfId="15" applyFont="1" applyFill="1" applyBorder="1" applyAlignment="1">
      <alignment vertical="center"/>
    </xf>
    <xf numFmtId="0" fontId="19" fillId="11" borderId="16" xfId="15" applyFont="1" applyFill="1" applyBorder="1" applyAlignment="1">
      <alignment horizontal="center" vertical="center"/>
    </xf>
    <xf numFmtId="0" fontId="19" fillId="11" borderId="18" xfId="15" applyFont="1" applyFill="1" applyBorder="1" applyAlignment="1">
      <alignment vertical="center"/>
    </xf>
    <xf numFmtId="0" fontId="19" fillId="11" borderId="17" xfId="15" applyFont="1" applyFill="1" applyBorder="1" applyAlignment="1">
      <alignment vertical="center"/>
    </xf>
    <xf numFmtId="2" fontId="19" fillId="11" borderId="11" xfId="15" applyNumberFormat="1" applyFont="1" applyFill="1" applyBorder="1" applyAlignment="1">
      <alignment horizontal="center" vertical="center"/>
    </xf>
    <xf numFmtId="0" fontId="0" fillId="0" borderId="20" xfId="15" applyFont="1" applyBorder="1" applyAlignment="1">
      <alignment horizontal="justify" vertical="top" wrapText="1"/>
    </xf>
    <xf numFmtId="0" fontId="19" fillId="0" borderId="20" xfId="15" applyFont="1" applyBorder="1" applyAlignment="1">
      <alignment horizontal="left" vertical="center"/>
    </xf>
    <xf numFmtId="0" fontId="0" fillId="0" borderId="12" xfId="15" applyFont="1" applyBorder="1" applyAlignment="1">
      <alignment horizontal="left"/>
    </xf>
    <xf numFmtId="0" fontId="0" fillId="0" borderId="13" xfId="15" applyFont="1" applyBorder="1" applyAlignment="1">
      <alignment horizontal="left"/>
    </xf>
    <xf numFmtId="0" fontId="3" fillId="0" borderId="20" xfId="15" applyFont="1" applyBorder="1" applyAlignment="1">
      <alignment horizontal="justify" wrapText="1"/>
    </xf>
    <xf numFmtId="166" fontId="19" fillId="11" borderId="11" xfId="15" applyNumberFormat="1" applyFont="1" applyFill="1" applyBorder="1" applyAlignment="1">
      <alignment horizontal="center" vertical="center"/>
    </xf>
    <xf numFmtId="0" fontId="19" fillId="12" borderId="20" xfId="15" applyFont="1" applyFill="1" applyBorder="1" applyAlignment="1">
      <alignment horizontal="center" vertical="center"/>
    </xf>
    <xf numFmtId="0" fontId="0" fillId="0" borderId="11" xfId="15" applyFont="1" applyBorder="1" applyAlignment="1">
      <alignment horizontal="justify" vertical="top" wrapText="1"/>
    </xf>
    <xf numFmtId="0" fontId="19" fillId="0" borderId="11" xfId="15" applyFont="1" applyBorder="1" applyAlignment="1">
      <alignment horizontal="center" vertical="top" wrapText="1"/>
    </xf>
    <xf numFmtId="0" fontId="19" fillId="0" borderId="11" xfId="15" applyFont="1" applyBorder="1" applyAlignment="1">
      <alignment horizontal="center" vertical="top"/>
    </xf>
    <xf numFmtId="0" fontId="19" fillId="0" borderId="11" xfId="15" applyFont="1" applyBorder="1" applyAlignment="1">
      <alignment horizontal="left" vertical="top" wrapText="1"/>
    </xf>
    <xf numFmtId="0" fontId="0" fillId="0" borderId="41" xfId="15" applyFont="1" applyBorder="1" applyAlignment="1">
      <alignment horizontal="center" vertical="top"/>
    </xf>
    <xf numFmtId="0" fontId="0" fillId="0" borderId="41" xfId="15" applyFont="1" applyBorder="1" applyAlignment="1">
      <alignment horizontal="left" vertical="top" wrapText="1"/>
    </xf>
    <xf numFmtId="0" fontId="0" fillId="0" borderId="41" xfId="15" applyFont="1" applyBorder="1" applyAlignment="1">
      <alignment horizontal="center" vertical="top" wrapText="1"/>
    </xf>
    <xf numFmtId="2" fontId="0" fillId="0" borderId="19" xfId="15" applyNumberFormat="1" applyFont="1" applyBorder="1" applyAlignment="1">
      <alignment horizontal="center" vertical="top"/>
    </xf>
    <xf numFmtId="0" fontId="0" fillId="0" borderId="19" xfId="15" applyFont="1" applyBorder="1" applyAlignment="1">
      <alignment horizontal="center" vertical="top"/>
    </xf>
    <xf numFmtId="0" fontId="0" fillId="0" borderId="35" xfId="15" applyFont="1" applyBorder="1" applyAlignment="1">
      <alignment horizontal="center" vertical="top"/>
    </xf>
    <xf numFmtId="0" fontId="19" fillId="0" borderId="42" xfId="15" applyFont="1" applyBorder="1" applyAlignment="1">
      <alignment horizontal="center" vertical="top"/>
    </xf>
    <xf numFmtId="0" fontId="0" fillId="0" borderId="42" xfId="15" applyFont="1" applyBorder="1" applyAlignment="1">
      <alignment horizontal="left" vertical="top" wrapText="1"/>
    </xf>
    <xf numFmtId="0" fontId="0" fillId="0" borderId="42" xfId="15" applyFont="1" applyBorder="1" applyAlignment="1">
      <alignment horizontal="center" vertical="top" wrapText="1"/>
    </xf>
    <xf numFmtId="0" fontId="0" fillId="0" borderId="42" xfId="15" applyFont="1" applyBorder="1" applyAlignment="1">
      <alignment horizontal="center" vertical="top"/>
    </xf>
    <xf numFmtId="0" fontId="0" fillId="0" borderId="20" xfId="15" applyFont="1" applyBorder="1" applyAlignment="1">
      <alignment horizontal="left" vertical="top" wrapText="1"/>
    </xf>
    <xf numFmtId="0" fontId="0" fillId="0" borderId="20" xfId="15" applyFont="1" applyBorder="1" applyAlignment="1">
      <alignment horizontal="center" vertical="top" wrapText="1"/>
    </xf>
    <xf numFmtId="0" fontId="0" fillId="0" borderId="12" xfId="15" applyFont="1" applyBorder="1" applyAlignment="1">
      <alignment horizontal="center" vertical="top"/>
    </xf>
    <xf numFmtId="0" fontId="0" fillId="0" borderId="13" xfId="15" applyFont="1" applyBorder="1" applyAlignment="1">
      <alignment horizontal="center" vertical="top"/>
    </xf>
    <xf numFmtId="0" fontId="0" fillId="0" borderId="20" xfId="15" applyFont="1" applyBorder="1" applyAlignment="1">
      <alignment horizontal="center" vertical="top"/>
    </xf>
    <xf numFmtId="0" fontId="43" fillId="0" borderId="41" xfId="15" applyFont="1" applyBorder="1" applyAlignment="1">
      <alignment horizontal="center" vertical="top"/>
    </xf>
    <xf numFmtId="0" fontId="23" fillId="0" borderId="42" xfId="15" applyFont="1" applyBorder="1" applyAlignment="1">
      <alignment horizontal="center" vertical="top" wrapText="1"/>
    </xf>
    <xf numFmtId="0" fontId="23" fillId="0" borderId="20" xfId="15" applyFont="1" applyBorder="1" applyAlignment="1">
      <alignment horizontal="center" vertical="top"/>
    </xf>
    <xf numFmtId="0" fontId="23" fillId="0" borderId="20" xfId="15" applyFont="1" applyBorder="1" applyAlignment="1">
      <alignment horizontal="center" vertical="top" wrapText="1"/>
    </xf>
    <xf numFmtId="2" fontId="0" fillId="0" borderId="20" xfId="15" applyNumberFormat="1" applyFont="1" applyBorder="1" applyAlignment="1">
      <alignment horizontal="center" vertical="top"/>
    </xf>
    <xf numFmtId="2" fontId="23" fillId="0" borderId="35" xfId="15" applyNumberFormat="1" applyFont="1" applyBorder="1" applyAlignment="1">
      <alignment horizontal="center" vertical="top" wrapText="1"/>
    </xf>
    <xf numFmtId="0" fontId="23" fillId="0" borderId="41" xfId="15" applyFont="1" applyBorder="1" applyAlignment="1">
      <alignment horizontal="center" vertical="top"/>
    </xf>
    <xf numFmtId="2" fontId="23" fillId="0" borderId="41" xfId="15" applyNumberFormat="1" applyFont="1" applyBorder="1" applyAlignment="1">
      <alignment horizontal="center" vertical="top" wrapText="1"/>
    </xf>
    <xf numFmtId="2" fontId="0" fillId="0" borderId="41" xfId="15" applyNumberFormat="1" applyFont="1" applyBorder="1" applyAlignment="1">
      <alignment horizontal="center" vertical="top"/>
    </xf>
    <xf numFmtId="0" fontId="23" fillId="0" borderId="12" xfId="15" applyFont="1" applyBorder="1" applyAlignment="1">
      <alignment horizontal="center" vertical="top" wrapText="1"/>
    </xf>
    <xf numFmtId="0" fontId="23" fillId="0" borderId="13" xfId="15" applyFont="1" applyBorder="1" applyAlignment="1">
      <alignment horizontal="center" vertical="top" wrapText="1"/>
    </xf>
    <xf numFmtId="0" fontId="44" fillId="0" borderId="42" xfId="15" applyFont="1" applyBorder="1" applyAlignment="1">
      <alignment horizontal="left" vertical="top" wrapText="1"/>
    </xf>
    <xf numFmtId="0" fontId="44" fillId="0" borderId="42" xfId="15" applyFont="1" applyBorder="1" applyAlignment="1">
      <alignment horizontal="center"/>
    </xf>
    <xf numFmtId="0" fontId="44" fillId="0" borderId="42" xfId="15" applyFont="1" applyBorder="1" applyAlignment="1">
      <alignment horizontal="center" vertical="top" wrapText="1"/>
    </xf>
    <xf numFmtId="0" fontId="44" fillId="0" borderId="14" xfId="15" applyFont="1" applyBorder="1"/>
    <xf numFmtId="0" fontId="44" fillId="0" borderId="15" xfId="15" applyFont="1" applyBorder="1"/>
    <xf numFmtId="0" fontId="44" fillId="0" borderId="42" xfId="15" applyFont="1" applyBorder="1" applyAlignment="1">
      <alignment horizontal="center" vertical="top"/>
    </xf>
    <xf numFmtId="0" fontId="44" fillId="0" borderId="41" xfId="15" applyFont="1" applyBorder="1" applyAlignment="1">
      <alignment horizontal="left" vertical="top" wrapText="1"/>
    </xf>
    <xf numFmtId="0" fontId="44" fillId="0" borderId="41" xfId="15" applyFont="1" applyBorder="1" applyAlignment="1">
      <alignment horizontal="center"/>
    </xf>
    <xf numFmtId="0" fontId="44" fillId="0" borderId="0" xfId="15" applyFont="1" applyAlignment="1">
      <alignment horizontal="center"/>
    </xf>
    <xf numFmtId="0" fontId="44" fillId="0" borderId="41" xfId="15" applyFont="1" applyBorder="1" applyAlignment="1">
      <alignment horizontal="center" vertical="top" wrapText="1"/>
    </xf>
    <xf numFmtId="0" fontId="44" fillId="0" borderId="41" xfId="15" applyFont="1" applyBorder="1" applyAlignment="1">
      <alignment horizontal="left" vertical="center"/>
    </xf>
    <xf numFmtId="2" fontId="44" fillId="0" borderId="19" xfId="15" applyNumberFormat="1" applyFont="1" applyBorder="1" applyAlignment="1">
      <alignment horizontal="center" vertical="top"/>
    </xf>
    <xf numFmtId="0" fontId="44" fillId="0" borderId="41" xfId="15" applyFont="1" applyBorder="1" applyAlignment="1">
      <alignment horizontal="center" vertical="top"/>
    </xf>
    <xf numFmtId="2" fontId="44" fillId="0" borderId="41" xfId="15" applyNumberFormat="1" applyFont="1" applyBorder="1" applyAlignment="1">
      <alignment horizontal="center" vertical="top" wrapText="1"/>
    </xf>
    <xf numFmtId="2" fontId="0" fillId="0" borderId="41" xfId="15" applyNumberFormat="1" applyFont="1" applyBorder="1" applyAlignment="1">
      <alignment horizontal="center" vertical="top" wrapText="1"/>
    </xf>
    <xf numFmtId="0" fontId="19" fillId="13" borderId="11" xfId="15" applyFont="1" applyFill="1" applyBorder="1" applyAlignment="1">
      <alignment horizontal="left" vertical="top" wrapText="1"/>
    </xf>
    <xf numFmtId="0" fontId="19" fillId="13" borderId="11" xfId="15" applyFont="1" applyFill="1" applyBorder="1" applyAlignment="1">
      <alignment horizontal="center" vertical="top" wrapText="1"/>
    </xf>
    <xf numFmtId="0" fontId="19" fillId="13" borderId="11" xfId="15" applyFont="1" applyFill="1" applyBorder="1" applyAlignment="1">
      <alignment horizontal="center" vertical="top"/>
    </xf>
    <xf numFmtId="2" fontId="19" fillId="13" borderId="11" xfId="15" applyNumberFormat="1" applyFont="1" applyFill="1" applyBorder="1" applyAlignment="1">
      <alignment horizontal="center" vertical="top"/>
    </xf>
    <xf numFmtId="0" fontId="19" fillId="0" borderId="41" xfId="15" applyFont="1" applyBorder="1" applyAlignment="1">
      <alignment horizontal="center" vertical="top" wrapText="1"/>
    </xf>
    <xf numFmtId="0" fontId="0" fillId="0" borderId="12" xfId="15" applyFont="1" applyBorder="1" applyAlignment="1">
      <alignment horizontal="justify" vertical="top" wrapText="1"/>
    </xf>
    <xf numFmtId="0" fontId="19" fillId="0" borderId="20" xfId="15" applyFont="1" applyBorder="1" applyAlignment="1">
      <alignment horizontal="center" vertical="top" wrapText="1"/>
    </xf>
    <xf numFmtId="2" fontId="19" fillId="0" borderId="20" xfId="15" applyNumberFormat="1" applyFont="1" applyBorder="1" applyAlignment="1">
      <alignment horizontal="center" vertical="top"/>
    </xf>
    <xf numFmtId="0" fontId="0" fillId="0" borderId="11" xfId="15" applyFont="1" applyBorder="1" applyAlignment="1">
      <alignment horizontal="center" vertical="top" wrapText="1"/>
    </xf>
    <xf numFmtId="166" fontId="0" fillId="0" borderId="11" xfId="15" applyNumberFormat="1" applyFont="1" applyBorder="1" applyAlignment="1">
      <alignment horizontal="center" vertical="top" wrapText="1"/>
    </xf>
    <xf numFmtId="0" fontId="0" fillId="0" borderId="0" xfId="15" applyFont="1" applyAlignment="1">
      <alignment horizontal="justify" vertical="top" wrapText="1"/>
    </xf>
    <xf numFmtId="166" fontId="0" fillId="0" borderId="41" xfId="15" applyNumberFormat="1" applyFont="1" applyBorder="1" applyAlignment="1">
      <alignment horizontal="center" vertical="top" wrapText="1"/>
    </xf>
    <xf numFmtId="2" fontId="0" fillId="0" borderId="42" xfId="15" applyNumberFormat="1" applyFont="1" applyBorder="1" applyAlignment="1">
      <alignment horizontal="center" vertical="top"/>
    </xf>
    <xf numFmtId="0" fontId="0" fillId="0" borderId="11" xfId="15" applyFont="1" applyBorder="1" applyAlignment="1">
      <alignment horizontal="left" vertical="top" wrapText="1"/>
    </xf>
    <xf numFmtId="2" fontId="0" fillId="0" borderId="11" xfId="15" applyNumberFormat="1" applyFont="1" applyBorder="1" applyAlignment="1">
      <alignment horizontal="center" vertical="top"/>
    </xf>
    <xf numFmtId="166" fontId="44" fillId="0" borderId="41" xfId="15" applyNumberFormat="1" applyFont="1" applyBorder="1" applyAlignment="1">
      <alignment horizontal="center" vertical="top" wrapText="1"/>
    </xf>
    <xf numFmtId="2" fontId="19" fillId="0" borderId="41" xfId="15" applyNumberFormat="1" applyFont="1" applyBorder="1" applyAlignment="1">
      <alignment horizontal="center" vertical="top"/>
    </xf>
    <xf numFmtId="0" fontId="19" fillId="3" borderId="41" xfId="15" applyFont="1" applyFill="1" applyBorder="1" applyAlignment="1">
      <alignment horizontal="center" vertical="top"/>
    </xf>
    <xf numFmtId="0" fontId="0" fillId="3" borderId="0" xfId="15" applyFont="1" applyFill="1"/>
    <xf numFmtId="0" fontId="0" fillId="3" borderId="41" xfId="15" applyFont="1" applyFill="1" applyBorder="1" applyAlignment="1">
      <alignment horizontal="center" vertical="top" wrapText="1"/>
    </xf>
    <xf numFmtId="0" fontId="0" fillId="3" borderId="41" xfId="15" applyFont="1" applyFill="1" applyBorder="1" applyAlignment="1">
      <alignment horizontal="center" vertical="top"/>
    </xf>
    <xf numFmtId="2" fontId="0" fillId="3" borderId="41" xfId="15" applyNumberFormat="1" applyFont="1" applyFill="1" applyBorder="1" applyAlignment="1">
      <alignment horizontal="center" vertical="top"/>
    </xf>
    <xf numFmtId="0" fontId="0" fillId="3" borderId="41" xfId="15" applyFont="1" applyFill="1" applyBorder="1" applyAlignment="1">
      <alignment horizontal="left" vertical="top" wrapText="1"/>
    </xf>
    <xf numFmtId="0" fontId="23" fillId="3" borderId="41" xfId="15" applyFont="1" applyFill="1" applyBorder="1" applyAlignment="1">
      <alignment horizontal="center" vertical="top" wrapText="1"/>
    </xf>
    <xf numFmtId="0" fontId="23" fillId="3" borderId="41" xfId="15" applyFont="1" applyFill="1" applyBorder="1" applyAlignment="1">
      <alignment horizontal="center" vertical="top"/>
    </xf>
    <xf numFmtId="0" fontId="0" fillId="0" borderId="11" xfId="15" applyFont="1" applyBorder="1"/>
    <xf numFmtId="0" fontId="18" fillId="0" borderId="11" xfId="16" applyBorder="1" applyAlignment="1">
      <alignment horizontal="justify" vertical="top" wrapText="1"/>
    </xf>
    <xf numFmtId="2" fontId="18" fillId="0" borderId="11" xfId="16" applyNumberFormat="1" applyBorder="1" applyAlignment="1">
      <alignment horizontal="justify" vertical="center" wrapText="1"/>
    </xf>
    <xf numFmtId="0" fontId="18" fillId="0" borderId="11" xfId="16" applyBorder="1" applyAlignment="1">
      <alignment horizontal="center" vertical="center"/>
    </xf>
    <xf numFmtId="1" fontId="18" fillId="0" borderId="11" xfId="16" applyNumberFormat="1" applyBorder="1" applyAlignment="1">
      <alignment vertical="center"/>
    </xf>
    <xf numFmtId="2" fontId="18" fillId="0" borderId="11" xfId="16" applyNumberFormat="1" applyBorder="1"/>
    <xf numFmtId="2" fontId="19" fillId="0" borderId="11" xfId="16" applyNumberFormat="1" applyFont="1" applyBorder="1" applyAlignment="1">
      <alignment horizontal="center" vertical="center"/>
    </xf>
    <xf numFmtId="2" fontId="18" fillId="0" borderId="11" xfId="16" applyNumberFormat="1" applyBorder="1" applyAlignment="1">
      <alignment horizontal="center" vertical="center"/>
    </xf>
    <xf numFmtId="0" fontId="18" fillId="0" borderId="0" xfId="12"/>
    <xf numFmtId="0" fontId="18" fillId="0" borderId="11" xfId="16" applyBorder="1" applyAlignment="1">
      <alignment horizontal="justify" vertical="top"/>
    </xf>
    <xf numFmtId="2" fontId="18" fillId="0" borderId="11" xfId="16" applyNumberFormat="1" applyBorder="1" applyAlignment="1">
      <alignment horizontal="center"/>
    </xf>
    <xf numFmtId="2" fontId="19" fillId="0" borderId="11" xfId="16" applyNumberFormat="1" applyFont="1" applyBorder="1" applyAlignment="1">
      <alignment horizontal="center"/>
    </xf>
    <xf numFmtId="0" fontId="18" fillId="0" borderId="42" xfId="16" applyBorder="1" applyAlignment="1">
      <alignment horizontal="justify" vertical="top"/>
    </xf>
    <xf numFmtId="2" fontId="18" fillId="0" borderId="42" xfId="16" applyNumberFormat="1" applyBorder="1" applyAlignment="1">
      <alignment horizontal="center"/>
    </xf>
    <xf numFmtId="2" fontId="18" fillId="0" borderId="42" xfId="16" applyNumberFormat="1" applyBorder="1"/>
    <xf numFmtId="2" fontId="19" fillId="0" borderId="42" xfId="16" applyNumberFormat="1" applyFont="1" applyBorder="1" applyAlignment="1">
      <alignment horizontal="center"/>
    </xf>
    <xf numFmtId="0" fontId="18" fillId="0" borderId="11" xfId="16" applyBorder="1" applyAlignment="1">
      <alignment vertical="center"/>
    </xf>
    <xf numFmtId="0" fontId="19" fillId="0" borderId="11" xfId="16" applyFont="1" applyBorder="1" applyAlignment="1">
      <alignment horizontal="right" vertical="center" wrapText="1"/>
    </xf>
    <xf numFmtId="2" fontId="18" fillId="0" borderId="42" xfId="16" applyNumberFormat="1" applyBorder="1" applyAlignment="1">
      <alignment vertical="center"/>
    </xf>
    <xf numFmtId="2" fontId="19" fillId="0" borderId="42" xfId="16" applyNumberFormat="1" applyFont="1" applyBorder="1" applyAlignment="1">
      <alignment vertical="center"/>
    </xf>
    <xf numFmtId="0" fontId="18" fillId="0" borderId="0" xfId="12" applyAlignment="1">
      <alignment vertical="center"/>
    </xf>
    <xf numFmtId="0" fontId="18" fillId="0" borderId="42" xfId="16" applyBorder="1" applyAlignment="1">
      <alignment horizontal="center" vertical="center"/>
    </xf>
    <xf numFmtId="2" fontId="18" fillId="0" borderId="42" xfId="16" applyNumberFormat="1" applyBorder="1" applyAlignment="1">
      <alignment horizontal="center" vertical="center"/>
    </xf>
    <xf numFmtId="0" fontId="0" fillId="0" borderId="42" xfId="15" applyFont="1" applyBorder="1" applyAlignment="1">
      <alignment horizontal="justify" vertical="top" wrapText="1"/>
    </xf>
    <xf numFmtId="0" fontId="19" fillId="0" borderId="42" xfId="15" applyFont="1" applyBorder="1" applyAlignment="1">
      <alignment horizontal="center" vertical="top" wrapText="1"/>
    </xf>
    <xf numFmtId="1" fontId="0" fillId="0" borderId="42" xfId="15" applyNumberFormat="1" applyFont="1" applyBorder="1" applyAlignment="1">
      <alignment horizontal="center" vertical="center"/>
    </xf>
    <xf numFmtId="0" fontId="0" fillId="0" borderId="11" xfId="15" applyFont="1" applyBorder="1" applyAlignment="1">
      <alignment horizontal="justify" vertical="top"/>
    </xf>
    <xf numFmtId="2" fontId="0" fillId="0" borderId="16" xfId="15" applyNumberFormat="1" applyFont="1" applyBorder="1" applyAlignment="1">
      <alignment vertical="center"/>
    </xf>
    <xf numFmtId="166" fontId="0" fillId="0" borderId="11" xfId="15" applyNumberFormat="1" applyFont="1" applyBorder="1" applyAlignment="1">
      <alignment horizontal="center" vertical="top"/>
    </xf>
    <xf numFmtId="2" fontId="0" fillId="0" borderId="0" xfId="15" applyNumberFormat="1" applyFont="1"/>
    <xf numFmtId="0" fontId="0" fillId="13" borderId="11" xfId="15" applyFont="1" applyFill="1" applyBorder="1" applyAlignment="1">
      <alignment horizontal="center" vertical="top"/>
    </xf>
    <xf numFmtId="0" fontId="0" fillId="0" borderId="20" xfId="15" applyFont="1" applyBorder="1"/>
    <xf numFmtId="2" fontId="0" fillId="0" borderId="0" xfId="15" applyNumberFormat="1" applyFont="1" applyAlignment="1">
      <alignment horizontal="center" vertical="center"/>
    </xf>
    <xf numFmtId="0" fontId="0" fillId="0" borderId="49" xfId="0" applyBorder="1"/>
    <xf numFmtId="0" fontId="0" fillId="0" borderId="54" xfId="0" applyBorder="1"/>
    <xf numFmtId="0" fontId="0" fillId="0" borderId="25" xfId="0" applyBorder="1"/>
    <xf numFmtId="0" fontId="0" fillId="0" borderId="11" xfId="0" applyBorder="1"/>
    <xf numFmtId="0" fontId="0" fillId="0" borderId="24" xfId="0" applyBorder="1"/>
    <xf numFmtId="0" fontId="0" fillId="0" borderId="25" xfId="0" applyBorder="1" applyAlignment="1">
      <alignment horizontal="center"/>
    </xf>
    <xf numFmtId="0" fontId="0" fillId="0" borderId="11" xfId="0" applyBorder="1" applyAlignment="1">
      <alignment horizontal="center"/>
    </xf>
    <xf numFmtId="0" fontId="0" fillId="0" borderId="24" xfId="0" applyBorder="1" applyAlignment="1">
      <alignment horizontal="center"/>
    </xf>
    <xf numFmtId="168" fontId="0" fillId="0" borderId="25" xfId="0" applyNumberFormat="1" applyBorder="1" applyAlignment="1">
      <alignment horizontal="center" vertical="center"/>
    </xf>
    <xf numFmtId="168" fontId="0" fillId="0" borderId="11" xfId="0" applyNumberFormat="1" applyBorder="1" applyAlignment="1">
      <alignment horizontal="center" vertical="center"/>
    </xf>
    <xf numFmtId="0" fontId="0" fillId="0" borderId="24" xfId="0" applyBorder="1" applyAlignment="1">
      <alignment horizontal="center" vertical="center"/>
    </xf>
    <xf numFmtId="168" fontId="0" fillId="0" borderId="25" xfId="0" applyNumberFormat="1" applyBorder="1" applyAlignment="1">
      <alignment horizontal="center"/>
    </xf>
    <xf numFmtId="168" fontId="0" fillId="0" borderId="11" xfId="0" applyNumberFormat="1" applyBorder="1" applyAlignment="1">
      <alignment horizontal="center"/>
    </xf>
    <xf numFmtId="0" fontId="0" fillId="0" borderId="54" xfId="0" applyBorder="1" applyAlignment="1">
      <alignment wrapText="1"/>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26" xfId="0" applyBorder="1"/>
    <xf numFmtId="0" fontId="0" fillId="0" borderId="27" xfId="0" applyBorder="1"/>
    <xf numFmtId="0" fontId="0" fillId="0" borderId="28" xfId="0" applyBorder="1"/>
    <xf numFmtId="0" fontId="0" fillId="0" borderId="0" xfId="13" applyFont="1"/>
    <xf numFmtId="0" fontId="19" fillId="0" borderId="0" xfId="13" applyFont="1"/>
    <xf numFmtId="0" fontId="19" fillId="0" borderId="0" xfId="13" applyFont="1" applyAlignment="1">
      <alignment horizontal="right"/>
    </xf>
    <xf numFmtId="166" fontId="0" fillId="0" borderId="0" xfId="13" applyNumberFormat="1" applyFont="1"/>
    <xf numFmtId="0" fontId="0" fillId="0" borderId="0" xfId="13" applyFont="1" applyAlignment="1">
      <alignment horizontal="center"/>
    </xf>
    <xf numFmtId="0" fontId="19" fillId="0" borderId="56" xfId="13" applyFont="1" applyBorder="1" applyAlignment="1">
      <alignment horizontal="center" vertical="center" wrapText="1"/>
    </xf>
    <xf numFmtId="0" fontId="19" fillId="0" borderId="56" xfId="13" applyFont="1" applyBorder="1" applyAlignment="1">
      <alignment horizontal="center" vertical="center"/>
    </xf>
    <xf numFmtId="0" fontId="19" fillId="0" borderId="57" xfId="13" applyFont="1" applyBorder="1" applyAlignment="1">
      <alignment horizontal="center" vertical="center" wrapText="1"/>
    </xf>
    <xf numFmtId="0" fontId="19" fillId="0" borderId="11" xfId="13" applyFont="1" applyBorder="1" applyAlignment="1">
      <alignment horizontal="center" vertical="center"/>
    </xf>
    <xf numFmtId="166" fontId="0" fillId="0" borderId="11" xfId="13" applyNumberFormat="1" applyFont="1" applyBorder="1" applyAlignment="1">
      <alignment horizontal="center"/>
    </xf>
    <xf numFmtId="174" fontId="0" fillId="0" borderId="11" xfId="13" applyNumberFormat="1" applyFont="1" applyBorder="1" applyAlignment="1">
      <alignment horizontal="center"/>
    </xf>
    <xf numFmtId="166" fontId="0" fillId="0" borderId="20" xfId="13" applyNumberFormat="1" applyFont="1" applyBorder="1" applyAlignment="1">
      <alignment horizontal="center"/>
    </xf>
    <xf numFmtId="166" fontId="25" fillId="0" borderId="11" xfId="17" applyNumberFormat="1" applyFont="1" applyBorder="1" applyAlignment="1">
      <alignment horizontal="center"/>
    </xf>
    <xf numFmtId="166" fontId="25" fillId="0" borderId="11" xfId="18" applyNumberFormat="1" applyFont="1" applyBorder="1" applyAlignment="1">
      <alignment horizontal="center"/>
    </xf>
    <xf numFmtId="0" fontId="0" fillId="0" borderId="11" xfId="13" applyFont="1" applyBorder="1" applyAlignment="1">
      <alignment horizontal="center"/>
    </xf>
    <xf numFmtId="1" fontId="0" fillId="0" borderId="11" xfId="15" applyNumberFormat="1" applyFont="1" applyBorder="1" applyAlignment="1" applyProtection="1">
      <alignment horizontal="center"/>
      <protection locked="0"/>
    </xf>
    <xf numFmtId="1" fontId="0" fillId="0" borderId="11" xfId="13" applyNumberFormat="1" applyFont="1" applyBorder="1" applyAlignment="1">
      <alignment horizontal="center"/>
    </xf>
    <xf numFmtId="166" fontId="0" fillId="0" borderId="11" xfId="18" applyNumberFormat="1" applyFont="1" applyBorder="1" applyAlignment="1">
      <alignment horizontal="center"/>
    </xf>
    <xf numFmtId="166" fontId="23" fillId="0" borderId="11" xfId="18" applyNumberFormat="1" applyFont="1" applyBorder="1" applyAlignment="1">
      <alignment horizontal="center"/>
    </xf>
    <xf numFmtId="1" fontId="0" fillId="0" borderId="11" xfId="15" applyNumberFormat="1" applyFont="1" applyBorder="1" applyAlignment="1" applyProtection="1">
      <alignment horizontal="center" vertical="center"/>
      <protection locked="0"/>
    </xf>
    <xf numFmtId="0" fontId="0" fillId="0" borderId="11" xfId="13" applyFont="1" applyBorder="1" applyAlignment="1">
      <alignment horizontal="left"/>
    </xf>
    <xf numFmtId="1" fontId="0" fillId="0" borderId="42" xfId="15" applyNumberFormat="1" applyFont="1" applyBorder="1" applyAlignment="1" applyProtection="1">
      <alignment horizontal="center"/>
      <protection locked="0"/>
    </xf>
    <xf numFmtId="1" fontId="0" fillId="0" borderId="42" xfId="13" applyNumberFormat="1" applyFont="1" applyBorder="1" applyAlignment="1">
      <alignment horizontal="center"/>
    </xf>
    <xf numFmtId="166" fontId="25" fillId="0" borderId="42" xfId="18" applyNumberFormat="1" applyFont="1" applyBorder="1" applyAlignment="1">
      <alignment horizontal="center"/>
    </xf>
    <xf numFmtId="166" fontId="0" fillId="0" borderId="42" xfId="13" applyNumberFormat="1" applyFont="1" applyBorder="1" applyAlignment="1">
      <alignment horizontal="center"/>
    </xf>
    <xf numFmtId="174" fontId="0" fillId="0" borderId="42" xfId="13" applyNumberFormat="1" applyFont="1" applyBorder="1" applyAlignment="1">
      <alignment horizontal="center"/>
    </xf>
    <xf numFmtId="0" fontId="0" fillId="0" borderId="42" xfId="13" applyFont="1" applyBorder="1" applyAlignment="1">
      <alignment horizontal="center"/>
    </xf>
    <xf numFmtId="0" fontId="19" fillId="0" borderId="11" xfId="13" applyFont="1" applyBorder="1"/>
    <xf numFmtId="0" fontId="19" fillId="0" borderId="11" xfId="13" applyFont="1" applyBorder="1" applyAlignment="1">
      <alignment horizontal="center"/>
    </xf>
    <xf numFmtId="0" fontId="0" fillId="0" borderId="18" xfId="13" applyFont="1" applyBorder="1"/>
    <xf numFmtId="0" fontId="0" fillId="0" borderId="17" xfId="13" applyFont="1" applyBorder="1" applyAlignment="1">
      <alignment horizontal="center"/>
    </xf>
    <xf numFmtId="0" fontId="0" fillId="0" borderId="16" xfId="13" applyFont="1" applyBorder="1"/>
    <xf numFmtId="0" fontId="19" fillId="0" borderId="18" xfId="13" applyFont="1" applyBorder="1" applyAlignment="1">
      <alignment horizontal="right"/>
    </xf>
    <xf numFmtId="166" fontId="19" fillId="0" borderId="11" xfId="13" applyNumberFormat="1" applyFont="1" applyBorder="1" applyAlignment="1">
      <alignment horizontal="center"/>
    </xf>
    <xf numFmtId="166" fontId="19" fillId="0" borderId="0" xfId="13" applyNumberFormat="1" applyFont="1" applyAlignment="1">
      <alignment horizontal="center"/>
    </xf>
    <xf numFmtId="0" fontId="19" fillId="0" borderId="0" xfId="13" applyFont="1" applyAlignment="1">
      <alignment horizontal="right" vertical="top"/>
    </xf>
    <xf numFmtId="0" fontId="3" fillId="0" borderId="0" xfId="13" applyFont="1"/>
    <xf numFmtId="0" fontId="19" fillId="0" borderId="0" xfId="13" applyFont="1" applyAlignment="1">
      <alignment vertical="top" wrapText="1"/>
    </xf>
    <xf numFmtId="10" fontId="0" fillId="0" borderId="0" xfId="13" applyNumberFormat="1" applyFont="1"/>
    <xf numFmtId="0" fontId="19" fillId="0" borderId="0" xfId="19" applyFont="1" applyAlignment="1">
      <alignment horizontal="center" vertical="top"/>
    </xf>
    <xf numFmtId="0" fontId="18" fillId="0" borderId="0" xfId="19"/>
    <xf numFmtId="2" fontId="18" fillId="0" borderId="0" xfId="19" applyNumberFormat="1" applyAlignment="1">
      <alignment vertical="center"/>
    </xf>
    <xf numFmtId="0" fontId="18" fillId="0" borderId="0" xfId="19" applyAlignment="1">
      <alignment vertical="top"/>
    </xf>
    <xf numFmtId="166" fontId="18" fillId="0" borderId="0" xfId="19" applyNumberFormat="1" applyAlignment="1">
      <alignment vertical="top"/>
    </xf>
    <xf numFmtId="0" fontId="18" fillId="0" borderId="0" xfId="19" applyAlignment="1">
      <alignment horizontal="center" vertical="top"/>
    </xf>
    <xf numFmtId="168" fontId="18" fillId="0" borderId="0" xfId="19" applyNumberFormat="1" applyAlignment="1">
      <alignment horizontal="center" vertical="top"/>
    </xf>
    <xf numFmtId="0" fontId="47" fillId="0" borderId="0" xfId="20" applyFont="1" applyAlignment="1">
      <alignment horizontal="center" vertical="top"/>
    </xf>
    <xf numFmtId="0" fontId="47" fillId="0" borderId="0" xfId="20" applyFont="1" applyAlignment="1">
      <alignment horizontal="center" vertical="center"/>
    </xf>
    <xf numFmtId="0" fontId="19" fillId="0" borderId="0" xfId="19" applyFont="1" applyAlignment="1">
      <alignment horizontal="center" vertical="center"/>
    </xf>
    <xf numFmtId="0" fontId="19" fillId="0" borderId="11" xfId="20" applyFont="1" applyBorder="1" applyAlignment="1">
      <alignment horizontal="center" vertical="center" wrapText="1"/>
    </xf>
    <xf numFmtId="0" fontId="19" fillId="0" borderId="11" xfId="16" applyFont="1" applyBorder="1" applyAlignment="1">
      <alignment horizontal="center" vertical="center" wrapText="1"/>
    </xf>
    <xf numFmtId="2" fontId="21" fillId="0" borderId="11" xfId="19" applyNumberFormat="1" applyFont="1" applyBorder="1" applyAlignment="1">
      <alignment horizontal="center" vertical="center" wrapText="1"/>
    </xf>
    <xf numFmtId="0" fontId="19" fillId="0" borderId="0" xfId="16" applyFont="1" applyAlignment="1">
      <alignment horizontal="center" vertical="center" wrapText="1"/>
    </xf>
    <xf numFmtId="0" fontId="18" fillId="0" borderId="0" xfId="19" applyAlignment="1">
      <alignment horizontal="center" vertical="center" wrapText="1"/>
    </xf>
    <xf numFmtId="0" fontId="19" fillId="0" borderId="11" xfId="19" applyFont="1" applyBorder="1" applyAlignment="1">
      <alignment horizontal="center" vertical="center" wrapText="1"/>
    </xf>
    <xf numFmtId="0" fontId="19" fillId="0" borderId="11" xfId="19" applyFont="1" applyBorder="1" applyAlignment="1">
      <alignment horizontal="center" vertical="top" wrapText="1"/>
    </xf>
    <xf numFmtId="1" fontId="19" fillId="0" borderId="11" xfId="19" applyNumberFormat="1" applyFont="1" applyBorder="1" applyAlignment="1">
      <alignment horizontal="center" vertical="top" wrapText="1"/>
    </xf>
    <xf numFmtId="0" fontId="19" fillId="0" borderId="0" xfId="19" applyFont="1" applyAlignment="1">
      <alignment horizontal="center" vertical="center" wrapText="1"/>
    </xf>
    <xf numFmtId="0" fontId="18" fillId="0" borderId="11" xfId="19" applyBorder="1" applyAlignment="1">
      <alignment horizontal="center" vertical="center" wrapText="1"/>
    </xf>
    <xf numFmtId="0" fontId="0" fillId="0" borderId="11" xfId="20" applyFont="1" applyBorder="1" applyAlignment="1">
      <alignment horizontal="justify" vertical="top"/>
    </xf>
    <xf numFmtId="2" fontId="18" fillId="0" borderId="11" xfId="19" applyNumberFormat="1" applyBorder="1" applyAlignment="1">
      <alignment horizontal="center" vertical="center" wrapText="1"/>
    </xf>
    <xf numFmtId="2" fontId="25" fillId="0" borderId="11" xfId="19" applyNumberFormat="1" applyFont="1" applyBorder="1" applyAlignment="1">
      <alignment horizontal="center" vertical="center" wrapText="1"/>
    </xf>
    <xf numFmtId="177" fontId="0" fillId="0" borderId="11" xfId="21" applyNumberFormat="1" applyFont="1" applyBorder="1" applyAlignment="1">
      <alignment horizontal="left" vertical="center" wrapText="1"/>
    </xf>
    <xf numFmtId="43" fontId="18" fillId="0" borderId="0" xfId="19" applyNumberFormat="1" applyAlignment="1">
      <alignment horizontal="center" vertical="center" wrapText="1"/>
    </xf>
    <xf numFmtId="1" fontId="18" fillId="0" borderId="11" xfId="19" applyNumberFormat="1" applyBorder="1" applyAlignment="1">
      <alignment horizontal="center" vertical="center" wrapText="1"/>
    </xf>
    <xf numFmtId="0" fontId="18" fillId="0" borderId="20" xfId="19" applyBorder="1" applyAlignment="1">
      <alignment horizontal="center" vertical="center" wrapText="1"/>
    </xf>
    <xf numFmtId="0" fontId="18" fillId="0" borderId="11" xfId="20" applyFont="1" applyBorder="1" applyAlignment="1">
      <alignment horizontal="justify" vertical="top"/>
    </xf>
    <xf numFmtId="0" fontId="25" fillId="0" borderId="11" xfId="19" applyFont="1" applyBorder="1" applyAlignment="1">
      <alignment horizontal="center" vertical="center" wrapText="1"/>
    </xf>
    <xf numFmtId="0" fontId="48" fillId="0" borderId="11" xfId="20" applyFont="1" applyBorder="1" applyAlignment="1">
      <alignment horizontal="justify" vertical="top" wrapText="1"/>
    </xf>
    <xf numFmtId="0" fontId="0" fillId="0" borderId="11" xfId="22" applyFont="1" applyBorder="1" applyAlignment="1">
      <alignment horizontal="justify" vertical="top"/>
    </xf>
    <xf numFmtId="0" fontId="0" fillId="0" borderId="11" xfId="20" applyFont="1" applyBorder="1" applyAlignment="1">
      <alignment horizontal="center" vertical="center" wrapText="1"/>
    </xf>
    <xf numFmtId="0" fontId="0" fillId="0" borderId="0" xfId="20" applyFont="1" applyAlignment="1">
      <alignment horizontal="center" vertical="center" wrapText="1"/>
    </xf>
    <xf numFmtId="0" fontId="18" fillId="0" borderId="11" xfId="20" applyFont="1" applyBorder="1" applyAlignment="1">
      <alignment horizontal="left" vertical="top" wrapText="1"/>
    </xf>
    <xf numFmtId="0" fontId="25" fillId="0" borderId="11" xfId="20" applyFont="1" applyBorder="1" applyAlignment="1">
      <alignment horizontal="center" vertical="center" wrapText="1"/>
    </xf>
    <xf numFmtId="0" fontId="18" fillId="0" borderId="11" xfId="20" applyFont="1" applyBorder="1" applyAlignment="1">
      <alignment horizontal="justify" vertical="top" wrapText="1"/>
    </xf>
    <xf numFmtId="0" fontId="49" fillId="0" borderId="11" xfId="19" applyFont="1" applyBorder="1" applyAlignment="1">
      <alignment horizontal="center" vertical="center" wrapText="1"/>
    </xf>
    <xf numFmtId="177" fontId="0" fillId="0" borderId="11" xfId="21" applyNumberFormat="1" applyFont="1" applyBorder="1" applyAlignment="1">
      <alignment horizontal="center" vertical="center" wrapText="1"/>
    </xf>
    <xf numFmtId="0" fontId="18" fillId="0" borderId="11" xfId="19" applyBorder="1" applyAlignment="1">
      <alignment horizontal="left" vertical="center" wrapText="1"/>
    </xf>
    <xf numFmtId="1" fontId="25" fillId="0" borderId="11" xfId="20" applyNumberFormat="1" applyFont="1" applyBorder="1" applyAlignment="1">
      <alignment horizontal="center" vertical="center" wrapText="1"/>
    </xf>
    <xf numFmtId="1" fontId="25" fillId="0" borderId="11" xfId="19" applyNumberFormat="1" applyFont="1" applyBorder="1" applyAlignment="1">
      <alignment horizontal="center" vertical="center" wrapText="1"/>
    </xf>
    <xf numFmtId="0" fontId="18" fillId="0" borderId="11" xfId="19" applyBorder="1" applyAlignment="1">
      <alignment horizontal="justify" vertical="top"/>
    </xf>
    <xf numFmtId="0" fontId="18" fillId="0" borderId="11" xfId="19" applyBorder="1" applyAlignment="1">
      <alignment horizontal="justify" vertical="top" wrapText="1"/>
    </xf>
    <xf numFmtId="2" fontId="18" fillId="0" borderId="0" xfId="19" applyNumberFormat="1" applyAlignment="1">
      <alignment horizontal="center" vertical="center" wrapText="1"/>
    </xf>
    <xf numFmtId="0" fontId="18" fillId="0" borderId="11" xfId="19" applyBorder="1" applyAlignment="1">
      <alignment vertical="center" wrapText="1"/>
    </xf>
    <xf numFmtId="0" fontId="0" fillId="0" borderId="20" xfId="20" applyFont="1" applyBorder="1" applyAlignment="1">
      <alignment horizontal="center" vertical="center" wrapText="1"/>
    </xf>
    <xf numFmtId="0" fontId="0" fillId="0" borderId="42" xfId="20" applyFont="1" applyBorder="1" applyAlignment="1">
      <alignment horizontal="center" vertical="center" wrapText="1"/>
    </xf>
    <xf numFmtId="0" fontId="50" fillId="0" borderId="11" xfId="19" applyFont="1" applyBorder="1" applyAlignment="1">
      <alignment horizontal="center" vertical="top" wrapText="1"/>
    </xf>
    <xf numFmtId="2" fontId="50" fillId="0" borderId="11" xfId="19" applyNumberFormat="1" applyFont="1" applyBorder="1" applyAlignment="1">
      <alignment horizontal="center" vertical="top" wrapText="1"/>
    </xf>
    <xf numFmtId="177" fontId="0" fillId="0" borderId="11" xfId="21" applyNumberFormat="1" applyFont="1" applyBorder="1" applyAlignment="1">
      <alignment horizontal="left" vertical="top" wrapText="1"/>
    </xf>
    <xf numFmtId="0" fontId="18" fillId="0" borderId="11" xfId="19" applyBorder="1" applyAlignment="1">
      <alignment horizontal="center" vertical="top" wrapText="1"/>
    </xf>
    <xf numFmtId="2" fontId="18" fillId="0" borderId="11" xfId="19" applyNumberFormat="1" applyBorder="1" applyAlignment="1">
      <alignment horizontal="center" vertical="top"/>
    </xf>
    <xf numFmtId="1" fontId="18" fillId="0" borderId="11" xfId="19" applyNumberFormat="1" applyBorder="1" applyAlignment="1">
      <alignment horizontal="center" vertical="top" wrapText="1"/>
    </xf>
    <xf numFmtId="0" fontId="18" fillId="0" borderId="11" xfId="20" applyFont="1" applyBorder="1" applyAlignment="1">
      <alignment horizontal="center" vertical="center" wrapText="1"/>
    </xf>
    <xf numFmtId="0" fontId="18" fillId="0" borderId="0" xfId="20" applyFont="1" applyAlignment="1">
      <alignment horizontal="center" vertical="center" wrapText="1"/>
    </xf>
    <xf numFmtId="2" fontId="18" fillId="0" borderId="11" xfId="19" applyNumberFormat="1" applyBorder="1" applyAlignment="1">
      <alignment horizontal="center" vertical="top" wrapText="1"/>
    </xf>
    <xf numFmtId="2" fontId="25" fillId="0" borderId="11" xfId="19" applyNumberFormat="1" applyFont="1" applyBorder="1" applyAlignment="1">
      <alignment horizontal="center" vertical="top" wrapText="1"/>
    </xf>
    <xf numFmtId="2" fontId="19" fillId="0" borderId="0" xfId="19" applyNumberFormat="1" applyFont="1" applyAlignment="1">
      <alignment horizontal="center" vertical="center" wrapText="1"/>
    </xf>
    <xf numFmtId="168" fontId="25" fillId="0" borderId="11" xfId="19" applyNumberFormat="1" applyFont="1" applyBorder="1" applyAlignment="1">
      <alignment horizontal="center" vertical="top" wrapText="1"/>
    </xf>
    <xf numFmtId="168" fontId="25" fillId="0" borderId="11" xfId="19" applyNumberFormat="1" applyFont="1" applyBorder="1" applyAlignment="1">
      <alignment horizontal="center" vertical="center" wrapText="1"/>
    </xf>
    <xf numFmtId="0" fontId="25" fillId="0" borderId="11" xfId="19" applyFont="1" applyBorder="1" applyAlignment="1">
      <alignment horizontal="justify" vertical="top" wrapText="1"/>
    </xf>
    <xf numFmtId="168" fontId="18" fillId="0" borderId="11" xfId="19" applyNumberFormat="1" applyBorder="1" applyAlignment="1">
      <alignment horizontal="center" vertical="center" wrapText="1"/>
    </xf>
    <xf numFmtId="168" fontId="18" fillId="0" borderId="0" xfId="19" applyNumberFormat="1" applyAlignment="1">
      <alignment horizontal="center" vertical="center" wrapText="1"/>
    </xf>
    <xf numFmtId="0" fontId="0" fillId="0" borderId="11" xfId="20" applyFont="1" applyBorder="1" applyAlignment="1">
      <alignment horizontal="justify" vertical="top" wrapText="1"/>
    </xf>
    <xf numFmtId="2" fontId="23" fillId="0" borderId="11" xfId="19" applyNumberFormat="1" applyFont="1" applyBorder="1" applyAlignment="1">
      <alignment horizontal="center" vertical="top" wrapText="1"/>
    </xf>
    <xf numFmtId="0" fontId="0" fillId="0" borderId="11" xfId="0" applyBorder="1" applyAlignment="1">
      <alignment horizontal="center" vertical="top" wrapText="1"/>
    </xf>
    <xf numFmtId="2" fontId="0" fillId="0" borderId="11" xfId="0" applyNumberFormat="1" applyBorder="1" applyAlignment="1">
      <alignment horizontal="center" vertical="center" wrapText="1"/>
    </xf>
    <xf numFmtId="0" fontId="25" fillId="0" borderId="11" xfId="5" applyFont="1" applyBorder="1" applyAlignment="1">
      <alignment horizontal="center" vertical="center" wrapText="1"/>
    </xf>
    <xf numFmtId="169" fontId="0" fillId="0" borderId="11" xfId="9" applyNumberFormat="1" applyFont="1" applyBorder="1" applyAlignment="1">
      <alignment horizontal="center" vertical="center" wrapText="1"/>
    </xf>
    <xf numFmtId="0" fontId="25" fillId="0" borderId="0" xfId="5" applyFont="1" applyAlignment="1">
      <alignment horizontal="center" vertical="center" wrapText="1"/>
    </xf>
    <xf numFmtId="0" fontId="19" fillId="0" borderId="0" xfId="0" applyFont="1" applyAlignment="1">
      <alignment horizontal="center" vertical="center" wrapText="1"/>
    </xf>
    <xf numFmtId="0" fontId="14" fillId="0" borderId="11" xfId="8" applyFont="1" applyBorder="1" applyAlignment="1">
      <alignment horizontal="center" vertical="top" wrapText="1"/>
    </xf>
    <xf numFmtId="0" fontId="24" fillId="0" borderId="11" xfId="5" applyFont="1" applyBorder="1" applyAlignment="1">
      <alignment horizontal="justify" vertical="top" wrapText="1"/>
    </xf>
    <xf numFmtId="0" fontId="14" fillId="0" borderId="11" xfId="8" applyFont="1" applyBorder="1" applyAlignment="1">
      <alignment horizontal="center" vertical="center" wrapText="1"/>
    </xf>
    <xf numFmtId="2" fontId="14" fillId="0" borderId="11" xfId="8" applyNumberFormat="1" applyFont="1" applyBorder="1" applyAlignment="1">
      <alignment horizontal="center" vertical="center" wrapText="1"/>
    </xf>
    <xf numFmtId="0" fontId="14" fillId="0" borderId="11" xfId="7" applyFont="1" applyBorder="1" applyAlignment="1">
      <alignment horizontal="center" vertical="center"/>
    </xf>
    <xf numFmtId="177" fontId="14" fillId="0" borderId="11" xfId="9" applyNumberFormat="1" applyFont="1" applyBorder="1" applyAlignment="1">
      <alignment horizontal="center" vertical="center"/>
    </xf>
    <xf numFmtId="0" fontId="14" fillId="0" borderId="19" xfId="7" applyFont="1" applyBorder="1" applyAlignment="1">
      <alignment horizontal="center" vertical="center"/>
    </xf>
    <xf numFmtId="0" fontId="25" fillId="0" borderId="11" xfId="5" applyFont="1" applyBorder="1" applyAlignment="1">
      <alignment horizontal="justify" vertical="top"/>
    </xf>
    <xf numFmtId="2" fontId="25" fillId="0" borderId="11" xfId="5" applyNumberFormat="1" applyFont="1" applyBorder="1" applyAlignment="1">
      <alignment horizontal="center" vertical="top" wrapText="1"/>
    </xf>
    <xf numFmtId="167" fontId="0" fillId="0" borderId="11" xfId="9" applyFont="1" applyBorder="1" applyAlignment="1">
      <alignment horizontal="center" vertical="center" wrapText="1"/>
    </xf>
    <xf numFmtId="168" fontId="25" fillId="0" borderId="11" xfId="5" applyNumberFormat="1" applyFont="1" applyBorder="1" applyAlignment="1">
      <alignment horizontal="center" vertical="center" wrapText="1"/>
    </xf>
    <xf numFmtId="178" fontId="0" fillId="0" borderId="11" xfId="9" applyNumberFormat="1" applyFont="1" applyBorder="1" applyAlignment="1">
      <alignment horizontal="center" vertical="center" wrapText="1"/>
    </xf>
    <xf numFmtId="0" fontId="19" fillId="0" borderId="11" xfId="19" applyFont="1" applyBorder="1" applyAlignment="1">
      <alignment horizontal="left" vertical="center" wrapText="1"/>
    </xf>
    <xf numFmtId="0" fontId="25" fillId="0" borderId="11" xfId="22" applyFont="1" applyBorder="1" applyAlignment="1">
      <alignment horizontal="center" vertical="center" wrapText="1"/>
    </xf>
    <xf numFmtId="177" fontId="0" fillId="0" borderId="11" xfId="23" applyNumberFormat="1" applyFont="1" applyBorder="1" applyAlignment="1">
      <alignment horizontal="left" vertical="center" wrapText="1"/>
    </xf>
    <xf numFmtId="0" fontId="18" fillId="0" borderId="17" xfId="19" applyBorder="1" applyAlignment="1">
      <alignment horizontal="center" vertical="center" wrapText="1"/>
    </xf>
    <xf numFmtId="2" fontId="23" fillId="0" borderId="11" xfId="19" applyNumberFormat="1" applyFont="1" applyBorder="1" applyAlignment="1">
      <alignment horizontal="center" vertical="center" wrapText="1"/>
    </xf>
    <xf numFmtId="0" fontId="0" fillId="0" borderId="17" xfId="22" applyFont="1" applyBorder="1" applyAlignment="1">
      <alignment horizontal="center" vertical="center" wrapText="1"/>
    </xf>
    <xf numFmtId="0" fontId="0" fillId="0" borderId="0" xfId="22" applyFont="1" applyAlignment="1">
      <alignment horizontal="center" vertical="center" wrapText="1"/>
    </xf>
    <xf numFmtId="0" fontId="0" fillId="0" borderId="11" xfId="20" applyFont="1" applyBorder="1" applyAlignment="1">
      <alignment horizontal="left" vertical="center" wrapText="1"/>
    </xf>
    <xf numFmtId="2" fontId="21" fillId="0" borderId="11" xfId="19" applyNumberFormat="1" applyFont="1" applyBorder="1" applyAlignment="1">
      <alignment horizontal="center" vertical="top"/>
    </xf>
    <xf numFmtId="177" fontId="51" fillId="0" borderId="11" xfId="2" applyNumberFormat="1" applyFont="1" applyFill="1" applyBorder="1" applyAlignment="1">
      <alignment horizontal="center" vertical="center" wrapText="1"/>
    </xf>
    <xf numFmtId="171" fontId="21" fillId="0" borderId="11" xfId="5" applyNumberFormat="1" applyFont="1" applyBorder="1" applyAlignment="1">
      <alignment vertical="center" wrapText="1"/>
    </xf>
    <xf numFmtId="172" fontId="21" fillId="0" borderId="11" xfId="5" applyNumberFormat="1" applyFont="1" applyBorder="1" applyAlignment="1">
      <alignment horizontal="center" vertical="center" wrapText="1"/>
    </xf>
    <xf numFmtId="172" fontId="21" fillId="0" borderId="0" xfId="5" applyNumberFormat="1" applyFont="1" applyAlignment="1">
      <alignment horizontal="center" vertical="center" wrapText="1"/>
    </xf>
    <xf numFmtId="0" fontId="19" fillId="0" borderId="0" xfId="19" applyFont="1" applyAlignment="1">
      <alignment horizontal="left" vertical="top" wrapText="1"/>
    </xf>
    <xf numFmtId="0" fontId="21" fillId="0" borderId="0" xfId="19" applyFont="1" applyAlignment="1">
      <alignment horizontal="center" vertical="top"/>
    </xf>
    <xf numFmtId="179" fontId="25" fillId="0" borderId="0" xfId="19" applyNumberFormat="1" applyFont="1" applyAlignment="1">
      <alignment horizontal="center" vertical="top" wrapText="1"/>
    </xf>
    <xf numFmtId="179" fontId="25" fillId="0" borderId="0" xfId="19" applyNumberFormat="1" applyFont="1" applyAlignment="1">
      <alignment horizontal="center" vertical="center" wrapText="1"/>
    </xf>
    <xf numFmtId="180" fontId="18" fillId="0" borderId="0" xfId="19" applyNumberFormat="1" applyAlignment="1">
      <alignment horizontal="center"/>
    </xf>
    <xf numFmtId="180" fontId="19" fillId="0" borderId="0" xfId="19" applyNumberFormat="1" applyFont="1" applyAlignment="1">
      <alignment horizontal="center" vertical="center"/>
    </xf>
    <xf numFmtId="0" fontId="50" fillId="0" borderId="0" xfId="19" applyFont="1" applyAlignment="1">
      <alignment horizontal="left" vertical="top"/>
    </xf>
    <xf numFmtId="0" fontId="52" fillId="0" borderId="0" xfId="19" applyFont="1" applyAlignment="1">
      <alignment horizontal="left" vertical="top"/>
    </xf>
    <xf numFmtId="0" fontId="53" fillId="0" borderId="0" xfId="19" applyFont="1" applyAlignment="1">
      <alignment horizontal="left" vertical="top"/>
    </xf>
    <xf numFmtId="0" fontId="18" fillId="0" borderId="0" xfId="19" applyAlignment="1">
      <alignment horizontal="left" vertical="top"/>
    </xf>
    <xf numFmtId="0" fontId="0" fillId="0" borderId="0" xfId="20" applyFont="1" applyAlignment="1">
      <alignment horizontal="left" vertical="center" wrapText="1"/>
    </xf>
    <xf numFmtId="179" fontId="21" fillId="0" borderId="0" xfId="19" applyNumberFormat="1" applyFont="1" applyAlignment="1">
      <alignment horizontal="center" vertical="center" wrapText="1"/>
    </xf>
    <xf numFmtId="0" fontId="19" fillId="0" borderId="0" xfId="19" applyFont="1" applyAlignment="1">
      <alignment horizontal="left" vertical="center"/>
    </xf>
    <xf numFmtId="0" fontId="54" fillId="0" borderId="0" xfId="0" applyFont="1" applyAlignment="1">
      <alignment horizontal="center" vertical="top"/>
    </xf>
    <xf numFmtId="0" fontId="3" fillId="0" borderId="0" xfId="0" applyFont="1" applyAlignment="1">
      <alignment horizontal="center"/>
    </xf>
    <xf numFmtId="179" fontId="18" fillId="0" borderId="0" xfId="19" applyNumberFormat="1" applyAlignment="1">
      <alignment horizontal="center" vertical="top" wrapText="1"/>
    </xf>
    <xf numFmtId="179" fontId="18" fillId="0" borderId="0" xfId="19" applyNumberFormat="1" applyAlignment="1">
      <alignment horizontal="center" vertical="center" wrapText="1"/>
    </xf>
    <xf numFmtId="0" fontId="18" fillId="0" borderId="0" xfId="19" applyAlignment="1">
      <alignment horizontal="center" vertical="center"/>
    </xf>
    <xf numFmtId="0" fontId="18" fillId="0" borderId="0" xfId="19" applyAlignment="1">
      <alignment vertical="top" wrapText="1"/>
    </xf>
    <xf numFmtId="181" fontId="18" fillId="0" borderId="0" xfId="19" applyNumberFormat="1" applyAlignment="1">
      <alignment horizontal="center" vertical="center"/>
    </xf>
    <xf numFmtId="181" fontId="18" fillId="0" borderId="0" xfId="19" applyNumberFormat="1" applyAlignment="1">
      <alignment vertical="top"/>
    </xf>
    <xf numFmtId="0" fontId="18" fillId="0" borderId="0" xfId="19" applyAlignment="1">
      <alignment vertical="center"/>
    </xf>
    <xf numFmtId="0" fontId="55" fillId="0" borderId="0" xfId="19" applyFont="1" applyAlignment="1">
      <alignment vertical="top"/>
    </xf>
    <xf numFmtId="0" fontId="57" fillId="0" borderId="0" xfId="19" applyFont="1" applyAlignment="1">
      <alignment vertical="top"/>
    </xf>
    <xf numFmtId="166" fontId="57" fillId="0" borderId="0" xfId="19" applyNumberFormat="1" applyFont="1" applyAlignment="1">
      <alignment vertical="top"/>
    </xf>
    <xf numFmtId="0" fontId="57" fillId="0" borderId="0" xfId="19" applyFont="1"/>
    <xf numFmtId="2" fontId="56" fillId="0" borderId="0" xfId="19" applyNumberFormat="1" applyFont="1" applyAlignment="1">
      <alignment vertical="top"/>
    </xf>
    <xf numFmtId="0" fontId="57" fillId="0" borderId="0" xfId="19" applyFont="1" applyAlignment="1">
      <alignment wrapText="1"/>
    </xf>
    <xf numFmtId="0" fontId="59" fillId="0" borderId="0" xfId="22" applyFont="1" applyAlignment="1">
      <alignment horizontal="left" vertical="center"/>
    </xf>
    <xf numFmtId="0" fontId="59" fillId="0" borderId="0" xfId="22" applyFont="1" applyAlignment="1">
      <alignment horizontal="right" wrapText="1"/>
    </xf>
    <xf numFmtId="10" fontId="59" fillId="0" borderId="0" xfId="22" applyNumberFormat="1" applyFont="1" applyAlignment="1">
      <alignment horizontal="center" vertical="center" wrapText="1"/>
    </xf>
    <xf numFmtId="0" fontId="57" fillId="0" borderId="0" xfId="22" applyFont="1" applyAlignment="1">
      <alignment wrapText="1"/>
    </xf>
    <xf numFmtId="0" fontId="59" fillId="0" borderId="20" xfId="22" applyFont="1" applyBorder="1" applyAlignment="1">
      <alignment horizontal="center" vertical="center"/>
    </xf>
    <xf numFmtId="0" fontId="59" fillId="0" borderId="18" xfId="22" applyFont="1" applyBorder="1" applyAlignment="1">
      <alignment vertical="center" wrapText="1"/>
    </xf>
    <xf numFmtId="0" fontId="59" fillId="0" borderId="17" xfId="22" applyFont="1" applyBorder="1" applyAlignment="1">
      <alignment vertical="center" wrapText="1"/>
    </xf>
    <xf numFmtId="0" fontId="59" fillId="0" borderId="11" xfId="22" applyFont="1" applyBorder="1" applyAlignment="1">
      <alignment horizontal="center" vertical="center" wrapText="1"/>
    </xf>
    <xf numFmtId="0" fontId="26" fillId="0" borderId="11" xfId="22" applyFont="1" applyBorder="1" applyAlignment="1">
      <alignment horizontal="center" vertical="center" wrapText="1"/>
    </xf>
    <xf numFmtId="0" fontId="26" fillId="0" borderId="11" xfId="22" applyFont="1" applyBorder="1" applyAlignment="1">
      <alignment vertical="center"/>
    </xf>
    <xf numFmtId="166" fontId="26" fillId="0" borderId="11" xfId="22" applyNumberFormat="1" applyFont="1" applyBorder="1" applyAlignment="1">
      <alignment horizontal="center" vertical="center"/>
    </xf>
    <xf numFmtId="2" fontId="26" fillId="0" borderId="11" xfId="22" applyNumberFormat="1" applyFont="1" applyBorder="1" applyAlignment="1">
      <alignment horizontal="center" vertical="center"/>
    </xf>
    <xf numFmtId="0" fontId="26" fillId="0" borderId="11" xfId="22" applyFont="1" applyBorder="1" applyAlignment="1">
      <alignment horizontal="left" vertical="center"/>
    </xf>
    <xf numFmtId="0" fontId="26" fillId="0" borderId="16" xfId="22" applyFont="1" applyBorder="1" applyAlignment="1">
      <alignment horizontal="center" vertical="center" wrapText="1"/>
    </xf>
    <xf numFmtId="0" fontId="26" fillId="0" borderId="18" xfId="22" applyFont="1" applyBorder="1" applyAlignment="1">
      <alignment vertical="center"/>
    </xf>
    <xf numFmtId="166" fontId="26" fillId="0" borderId="18" xfId="22" applyNumberFormat="1" applyFont="1" applyBorder="1" applyAlignment="1">
      <alignment horizontal="center" vertical="center"/>
    </xf>
    <xf numFmtId="166" fontId="26" fillId="0" borderId="17" xfId="22" applyNumberFormat="1" applyFont="1" applyBorder="1" applyAlignment="1">
      <alignment horizontal="center" vertical="center"/>
    </xf>
    <xf numFmtId="2" fontId="59" fillId="0" borderId="11" xfId="22" applyNumberFormat="1" applyFont="1" applyBorder="1" applyAlignment="1">
      <alignment horizontal="center" vertical="center" wrapText="1"/>
    </xf>
    <xf numFmtId="1" fontId="59" fillId="0" borderId="11" xfId="22" applyNumberFormat="1" applyFont="1" applyBorder="1" applyAlignment="1">
      <alignment horizontal="center" vertical="center" wrapText="1"/>
    </xf>
    <xf numFmtId="0" fontId="59" fillId="0" borderId="0" xfId="22" applyFont="1" applyAlignment="1">
      <alignment horizontal="center" wrapText="1"/>
    </xf>
    <xf numFmtId="0" fontId="26" fillId="0" borderId="0" xfId="22" applyFont="1" applyAlignment="1">
      <alignment wrapText="1"/>
    </xf>
    <xf numFmtId="2" fontId="26" fillId="0" borderId="0" xfId="22" applyNumberFormat="1" applyFont="1" applyAlignment="1">
      <alignment wrapText="1"/>
    </xf>
    <xf numFmtId="2" fontId="59" fillId="0" borderId="0" xfId="22" applyNumberFormat="1" applyFont="1" applyAlignment="1">
      <alignment wrapText="1"/>
    </xf>
    <xf numFmtId="0" fontId="60" fillId="0" borderId="0" xfId="22" applyFont="1" applyAlignment="1">
      <alignment wrapText="1"/>
    </xf>
    <xf numFmtId="0" fontId="26" fillId="0" borderId="0" xfId="19" applyFont="1"/>
    <xf numFmtId="0" fontId="26" fillId="0" borderId="0" xfId="19" applyFont="1" applyAlignment="1">
      <alignment wrapText="1"/>
    </xf>
    <xf numFmtId="0" fontId="59" fillId="0" borderId="0" xfId="19" applyFont="1"/>
    <xf numFmtId="0" fontId="59" fillId="0" borderId="12" xfId="22" applyFont="1" applyBorder="1" applyAlignment="1">
      <alignment horizontal="center" vertical="center"/>
    </xf>
    <xf numFmtId="0" fontId="26" fillId="0" borderId="11" xfId="19" applyFont="1" applyBorder="1" applyAlignment="1">
      <alignment horizontal="center" vertical="center"/>
    </xf>
    <xf numFmtId="0" fontId="26" fillId="0" borderId="16" xfId="22" applyFont="1" applyBorder="1" applyAlignment="1">
      <alignment horizontal="left" vertical="center"/>
    </xf>
    <xf numFmtId="2" fontId="61" fillId="0" borderId="16" xfId="19" applyNumberFormat="1" applyFont="1" applyBorder="1" applyAlignment="1">
      <alignment horizontal="center" vertical="center"/>
    </xf>
    <xf numFmtId="2" fontId="61" fillId="0" borderId="17" xfId="19" applyNumberFormat="1" applyFont="1" applyBorder="1" applyAlignment="1">
      <alignment horizontal="center" vertical="center"/>
    </xf>
    <xf numFmtId="0" fontId="26" fillId="0" borderId="0" xfId="19" applyFont="1" applyAlignment="1">
      <alignment vertical="center" wrapText="1"/>
    </xf>
    <xf numFmtId="0" fontId="59" fillId="0" borderId="16" xfId="22" applyFont="1" applyBorder="1" applyAlignment="1">
      <alignment horizontal="left" vertical="center"/>
    </xf>
    <xf numFmtId="2" fontId="26" fillId="0" borderId="0" xfId="19" applyNumberFormat="1" applyFont="1" applyAlignment="1">
      <alignment vertical="center" wrapText="1"/>
    </xf>
    <xf numFmtId="0" fontId="26" fillId="0" borderId="16" xfId="22" applyFont="1" applyBorder="1" applyAlignment="1">
      <alignment vertical="center"/>
    </xf>
    <xf numFmtId="166" fontId="26" fillId="0" borderId="0" xfId="19" applyNumberFormat="1" applyFont="1" applyAlignment="1">
      <alignment vertical="center" wrapText="1"/>
    </xf>
    <xf numFmtId="0" fontId="57" fillId="0" borderId="11" xfId="19" applyFont="1" applyBorder="1"/>
    <xf numFmtId="2" fontId="61" fillId="0" borderId="14" xfId="19" applyNumberFormat="1" applyFont="1" applyBorder="1" applyAlignment="1">
      <alignment vertical="center"/>
    </xf>
    <xf numFmtId="2" fontId="61" fillId="0" borderId="15" xfId="19" applyNumberFormat="1" applyFont="1" applyBorder="1" applyAlignment="1">
      <alignment vertical="center"/>
    </xf>
    <xf numFmtId="2" fontId="57" fillId="0" borderId="0" xfId="19" applyNumberFormat="1" applyFont="1" applyAlignment="1">
      <alignment wrapText="1"/>
    </xf>
    <xf numFmtId="0" fontId="57" fillId="0" borderId="0" xfId="19" applyFont="1" applyAlignment="1">
      <alignment horizontal="left" wrapText="1"/>
    </xf>
    <xf numFmtId="0" fontId="62" fillId="0" borderId="0" xfId="19" applyFont="1" applyAlignment="1">
      <alignment horizontal="center"/>
    </xf>
    <xf numFmtId="0" fontId="63" fillId="0" borderId="0" xfId="19" applyFont="1"/>
    <xf numFmtId="0" fontId="64" fillId="0" borderId="0" xfId="19" applyFont="1" applyAlignment="1">
      <alignment horizontal="left"/>
    </xf>
    <xf numFmtId="0" fontId="42" fillId="0" borderId="11" xfId="19" applyFont="1" applyBorder="1" applyAlignment="1">
      <alignment horizontal="right"/>
    </xf>
    <xf numFmtId="0" fontId="31" fillId="0" borderId="0" xfId="19" applyFont="1" applyAlignment="1">
      <alignment horizontal="right"/>
    </xf>
    <xf numFmtId="166" fontId="31" fillId="0" borderId="0" xfId="19" applyNumberFormat="1" applyFont="1"/>
    <xf numFmtId="0" fontId="64" fillId="0" borderId="0" xfId="19" applyFont="1" applyAlignment="1">
      <alignment horizontal="center" vertical="top"/>
    </xf>
    <xf numFmtId="0" fontId="63" fillId="0" borderId="0" xfId="19" applyFont="1" applyAlignment="1">
      <alignment horizontal="left" vertical="top"/>
    </xf>
    <xf numFmtId="0" fontId="31" fillId="0" borderId="0" xfId="19" applyFont="1"/>
    <xf numFmtId="0" fontId="42" fillId="0" borderId="0" xfId="19" applyFont="1" applyAlignment="1">
      <alignment horizontal="center" vertical="center"/>
    </xf>
    <xf numFmtId="0" fontId="42" fillId="0" borderId="0" xfId="19" applyFont="1" applyAlignment="1">
      <alignment vertical="center"/>
    </xf>
    <xf numFmtId="0" fontId="42" fillId="0" borderId="0" xfId="19" applyFont="1" applyAlignment="1">
      <alignment vertical="top" wrapText="1" shrinkToFit="1"/>
    </xf>
    <xf numFmtId="0" fontId="31" fillId="0" borderId="0" xfId="19" applyFont="1" applyAlignment="1">
      <alignment horizontal="left" vertical="top" wrapText="1" shrinkToFit="1"/>
    </xf>
    <xf numFmtId="2" fontId="42" fillId="0" borderId="0" xfId="19" applyNumberFormat="1" applyFont="1" applyAlignment="1">
      <alignment vertical="center"/>
    </xf>
    <xf numFmtId="2" fontId="31" fillId="0" borderId="23" xfId="19" applyNumberFormat="1" applyFont="1" applyBorder="1"/>
    <xf numFmtId="0" fontId="31" fillId="0" borderId="42" xfId="19" applyFont="1" applyBorder="1" applyAlignment="1">
      <alignment horizontal="center"/>
    </xf>
    <xf numFmtId="2" fontId="31" fillId="0" borderId="42" xfId="19" applyNumberFormat="1" applyFont="1" applyBorder="1" applyAlignment="1">
      <alignment horizontal="right"/>
    </xf>
    <xf numFmtId="182" fontId="31" fillId="0" borderId="42" xfId="19" applyNumberFormat="1" applyFont="1" applyBorder="1" applyAlignment="1">
      <alignment horizontal="right"/>
    </xf>
    <xf numFmtId="0" fontId="66" fillId="0" borderId="0" xfId="19" applyFont="1" applyAlignment="1">
      <alignment horizontal="center" vertical="center"/>
    </xf>
    <xf numFmtId="166" fontId="31" fillId="0" borderId="0" xfId="19" applyNumberFormat="1" applyFont="1" applyAlignment="1">
      <alignment horizontal="right"/>
    </xf>
    <xf numFmtId="2" fontId="31" fillId="0" borderId="25" xfId="19" applyNumberFormat="1" applyFont="1" applyBorder="1"/>
    <xf numFmtId="0" fontId="31" fillId="0" borderId="11" xfId="19" applyFont="1" applyBorder="1" applyAlignment="1">
      <alignment horizontal="center"/>
    </xf>
    <xf numFmtId="2" fontId="31" fillId="0" borderId="11" xfId="19" applyNumberFormat="1" applyFont="1" applyBorder="1" applyAlignment="1">
      <alignment horizontal="right"/>
    </xf>
    <xf numFmtId="2" fontId="31" fillId="0" borderId="59" xfId="19" applyNumberFormat="1" applyFont="1" applyBorder="1"/>
    <xf numFmtId="0" fontId="31" fillId="0" borderId="20" xfId="19" applyFont="1" applyBorder="1" applyAlignment="1">
      <alignment horizontal="center"/>
    </xf>
    <xf numFmtId="2" fontId="31" fillId="0" borderId="20" xfId="19" applyNumberFormat="1" applyFont="1" applyBorder="1" applyAlignment="1">
      <alignment horizontal="right"/>
    </xf>
    <xf numFmtId="182" fontId="31" fillId="0" borderId="41" xfId="19" applyNumberFormat="1" applyFont="1" applyBorder="1" applyAlignment="1">
      <alignment horizontal="right"/>
    </xf>
    <xf numFmtId="174" fontId="31" fillId="0" borderId="42" xfId="19" applyNumberFormat="1" applyFont="1" applyBorder="1" applyAlignment="1">
      <alignment horizontal="right"/>
    </xf>
    <xf numFmtId="0" fontId="63" fillId="0" borderId="5" xfId="19" applyFont="1" applyBorder="1"/>
    <xf numFmtId="2" fontId="31" fillId="0" borderId="0" xfId="19" applyNumberFormat="1" applyFont="1" applyAlignment="1">
      <alignment horizontal="right"/>
    </xf>
    <xf numFmtId="2" fontId="67" fillId="0" borderId="0" xfId="19" applyNumberFormat="1" applyFont="1"/>
    <xf numFmtId="2" fontId="31" fillId="0" borderId="26" xfId="19" applyNumberFormat="1" applyFont="1" applyBorder="1"/>
    <xf numFmtId="0" fontId="31" fillId="0" borderId="27" xfId="19" applyFont="1" applyBorder="1" applyAlignment="1">
      <alignment horizontal="center"/>
    </xf>
    <xf numFmtId="2" fontId="31" fillId="0" borderId="27" xfId="19" applyNumberFormat="1" applyFont="1" applyBorder="1" applyAlignment="1">
      <alignment horizontal="right"/>
    </xf>
    <xf numFmtId="2" fontId="31" fillId="0" borderId="28" xfId="19" applyNumberFormat="1" applyFont="1" applyBorder="1" applyAlignment="1">
      <alignment horizontal="right"/>
    </xf>
    <xf numFmtId="2" fontId="31" fillId="0" borderId="0" xfId="19" applyNumberFormat="1" applyFont="1"/>
    <xf numFmtId="0" fontId="31" fillId="0" borderId="0" xfId="19" applyFont="1" applyAlignment="1">
      <alignment horizontal="center"/>
    </xf>
    <xf numFmtId="49" fontId="42" fillId="0" borderId="25" xfId="19" applyNumberFormat="1" applyFont="1" applyBorder="1" applyAlignment="1">
      <alignment horizontal="center" vertical="top" wrapText="1"/>
    </xf>
    <xf numFmtId="49" fontId="42" fillId="0" borderId="11" xfId="19" applyNumberFormat="1" applyFont="1" applyBorder="1" applyAlignment="1">
      <alignment horizontal="center" vertical="top" wrapText="1"/>
    </xf>
    <xf numFmtId="2" fontId="42" fillId="0" borderId="25" xfId="19" applyNumberFormat="1" applyFont="1" applyBorder="1" applyAlignment="1">
      <alignment horizontal="center" vertical="top" wrapText="1"/>
    </xf>
    <xf numFmtId="2" fontId="42" fillId="0" borderId="11" xfId="19" applyNumberFormat="1" applyFont="1" applyBorder="1" applyAlignment="1">
      <alignment horizontal="center" vertical="top" wrapText="1"/>
    </xf>
    <xf numFmtId="2" fontId="42" fillId="0" borderId="27" xfId="19" applyNumberFormat="1" applyFont="1" applyBorder="1" applyAlignment="1">
      <alignment horizontal="center" vertical="top" wrapText="1"/>
    </xf>
    <xf numFmtId="2" fontId="42" fillId="0" borderId="31" xfId="19" applyNumberFormat="1" applyFont="1" applyBorder="1" applyAlignment="1">
      <alignment horizontal="center" vertical="top" wrapText="1"/>
    </xf>
    <xf numFmtId="2" fontId="42" fillId="0" borderId="58" xfId="19" applyNumberFormat="1" applyFont="1" applyBorder="1" applyAlignment="1">
      <alignment horizontal="center" vertical="top" wrapText="1"/>
    </xf>
    <xf numFmtId="0" fontId="63" fillId="0" borderId="11" xfId="19" applyFont="1" applyBorder="1" applyAlignment="1">
      <alignment horizontal="right"/>
    </xf>
    <xf numFmtId="2" fontId="63" fillId="0" borderId="11" xfId="19" applyNumberFormat="1" applyFont="1" applyBorder="1" applyAlignment="1">
      <alignment horizontal="right"/>
    </xf>
    <xf numFmtId="2" fontId="63" fillId="0" borderId="11" xfId="19" applyNumberFormat="1" applyFont="1" applyBorder="1"/>
    <xf numFmtId="166" fontId="63" fillId="0" borderId="0" xfId="19" applyNumberFormat="1" applyFont="1"/>
    <xf numFmtId="1" fontId="68" fillId="0" borderId="0" xfId="19" applyNumberFormat="1" applyFont="1" applyAlignment="1">
      <alignment horizontal="center"/>
    </xf>
    <xf numFmtId="0" fontId="68" fillId="0" borderId="0" xfId="19" applyFont="1" applyAlignment="1">
      <alignment horizontal="left"/>
    </xf>
    <xf numFmtId="2" fontId="68" fillId="0" borderId="0" xfId="19" applyNumberFormat="1" applyFont="1" applyAlignment="1">
      <alignment horizontal="center" vertical="center"/>
    </xf>
    <xf numFmtId="0" fontId="55" fillId="0" borderId="0" xfId="19" applyFont="1"/>
    <xf numFmtId="167" fontId="55" fillId="0" borderId="0" xfId="24" applyNumberFormat="1" applyFont="1" applyAlignment="1">
      <alignment vertical="center" wrapText="1"/>
    </xf>
    <xf numFmtId="166" fontId="68" fillId="0" borderId="0" xfId="19" applyNumberFormat="1" applyFont="1" applyAlignment="1">
      <alignment horizontal="center" vertical="center"/>
    </xf>
    <xf numFmtId="183" fontId="55" fillId="0" borderId="0" xfId="19" applyNumberFormat="1" applyFont="1" applyAlignment="1">
      <alignment horizontal="left" vertical="center" wrapText="1"/>
    </xf>
    <xf numFmtId="166" fontId="69" fillId="0" borderId="0" xfId="19" applyNumberFormat="1" applyFont="1" applyAlignment="1">
      <alignment horizontal="center"/>
    </xf>
    <xf numFmtId="0" fontId="55" fillId="0" borderId="0" xfId="19" applyFont="1" applyAlignment="1">
      <alignment horizontal="left"/>
    </xf>
    <xf numFmtId="2" fontId="68" fillId="0" borderId="0" xfId="19" applyNumberFormat="1" applyFont="1" applyAlignment="1">
      <alignment horizontal="left"/>
    </xf>
    <xf numFmtId="0" fontId="68" fillId="0" borderId="0" xfId="19" applyFont="1"/>
    <xf numFmtId="166" fontId="67" fillId="0" borderId="0" xfId="19" applyNumberFormat="1" applyFont="1" applyAlignment="1">
      <alignment horizontal="center"/>
    </xf>
    <xf numFmtId="0" fontId="68" fillId="0" borderId="0" xfId="19" applyFont="1" applyAlignment="1">
      <alignment horizontal="center"/>
    </xf>
    <xf numFmtId="0" fontId="70" fillId="0" borderId="0" xfId="19" applyFont="1"/>
    <xf numFmtId="2" fontId="68" fillId="0" borderId="0" xfId="19" applyNumberFormat="1" applyFont="1"/>
    <xf numFmtId="2" fontId="68" fillId="0" borderId="0" xfId="19" applyNumberFormat="1" applyFont="1" applyAlignment="1">
      <alignment horizontal="center"/>
    </xf>
    <xf numFmtId="2" fontId="68" fillId="0" borderId="0" xfId="19" applyNumberFormat="1" applyFont="1" applyAlignment="1">
      <alignment horizontal="right"/>
    </xf>
    <xf numFmtId="0" fontId="67" fillId="0" borderId="0" xfId="19" applyFont="1"/>
    <xf numFmtId="0" fontId="69" fillId="0" borderId="0" xfId="19" applyFont="1"/>
    <xf numFmtId="2" fontId="55" fillId="0" borderId="0" xfId="19" applyNumberFormat="1" applyFont="1" applyAlignment="1">
      <alignment horizontal="left" vertical="center" wrapText="1"/>
    </xf>
    <xf numFmtId="184" fontId="69" fillId="0" borderId="0" xfId="19" applyNumberFormat="1" applyFont="1" applyAlignment="1">
      <alignment horizontal="center" vertical="center" wrapText="1"/>
    </xf>
    <xf numFmtId="0" fontId="69" fillId="0" borderId="0" xfId="19" applyFont="1" applyAlignment="1">
      <alignment vertical="center"/>
    </xf>
    <xf numFmtId="2" fontId="69" fillId="0" borderId="0" xfId="19" applyNumberFormat="1" applyFont="1" applyAlignment="1">
      <alignment vertical="center"/>
    </xf>
    <xf numFmtId="0" fontId="71" fillId="0" borderId="0" xfId="19" applyFont="1"/>
    <xf numFmtId="2" fontId="55" fillId="0" borderId="0" xfId="19" applyNumberFormat="1" applyFont="1" applyAlignment="1">
      <alignment horizontal="center"/>
    </xf>
    <xf numFmtId="0" fontId="55" fillId="0" borderId="18" xfId="19" applyFont="1" applyBorder="1"/>
    <xf numFmtId="2" fontId="69" fillId="0" borderId="0" xfId="19" applyNumberFormat="1" applyFont="1" applyAlignment="1">
      <alignment horizontal="right"/>
    </xf>
    <xf numFmtId="2" fontId="69" fillId="0" borderId="0" xfId="19" applyNumberFormat="1" applyFont="1" applyAlignment="1">
      <alignment horizontal="center"/>
    </xf>
    <xf numFmtId="185" fontId="69" fillId="0" borderId="0" xfId="19" applyNumberFormat="1" applyFont="1" applyAlignment="1">
      <alignment horizontal="left"/>
    </xf>
    <xf numFmtId="2" fontId="63" fillId="0" borderId="0" xfId="19" applyNumberFormat="1" applyFont="1" applyAlignment="1">
      <alignment vertical="top" wrapText="1"/>
    </xf>
    <xf numFmtId="0" fontId="63" fillId="0" borderId="0" xfId="19" applyFont="1" applyAlignment="1">
      <alignment vertical="top" wrapText="1"/>
    </xf>
    <xf numFmtId="2" fontId="63" fillId="0" borderId="0" xfId="19" applyNumberFormat="1" applyFont="1" applyAlignment="1">
      <alignment horizontal="center" vertical="top"/>
    </xf>
    <xf numFmtId="2" fontId="63" fillId="0" borderId="0" xfId="19" applyNumberFormat="1" applyFont="1" applyAlignment="1">
      <alignment vertical="top"/>
    </xf>
    <xf numFmtId="2" fontId="63" fillId="0" borderId="0" xfId="19" applyNumberFormat="1" applyFont="1" applyAlignment="1">
      <alignment horizontal="center" vertical="center"/>
    </xf>
    <xf numFmtId="0" fontId="63" fillId="0" borderId="0" xfId="19" applyFont="1" applyAlignment="1">
      <alignment horizontal="center"/>
    </xf>
    <xf numFmtId="2" fontId="26" fillId="0" borderId="0" xfId="19" applyNumberFormat="1" applyFont="1" applyAlignment="1">
      <alignment vertical="top"/>
    </xf>
    <xf numFmtId="0" fontId="26" fillId="0" borderId="0" xfId="19" applyFont="1" applyAlignment="1">
      <alignment vertical="top"/>
    </xf>
    <xf numFmtId="166" fontId="26" fillId="0" borderId="0" xfId="19" applyNumberFormat="1" applyFont="1" applyAlignment="1">
      <alignment vertical="top"/>
    </xf>
    <xf numFmtId="0" fontId="57" fillId="0" borderId="0" xfId="19" applyFont="1" applyAlignment="1">
      <alignment horizontal="right"/>
    </xf>
    <xf numFmtId="0" fontId="72" fillId="0" borderId="0" xfId="19" applyFont="1"/>
    <xf numFmtId="0" fontId="72" fillId="0" borderId="0" xfId="19" applyFont="1" applyAlignment="1">
      <alignment horizontal="left"/>
    </xf>
    <xf numFmtId="2" fontId="26" fillId="0" borderId="0" xfId="19" applyNumberFormat="1" applyFont="1" applyAlignment="1">
      <alignment horizontal="center" vertical="top"/>
    </xf>
    <xf numFmtId="2" fontId="57" fillId="0" borderId="0" xfId="19" applyNumberFormat="1" applyFont="1" applyAlignment="1">
      <alignment horizontal="center"/>
    </xf>
    <xf numFmtId="0" fontId="56" fillId="0" borderId="19" xfId="19" applyFont="1" applyBorder="1" applyAlignment="1">
      <alignment horizontal="center" vertical="center"/>
    </xf>
    <xf numFmtId="0" fontId="56" fillId="0" borderId="35" xfId="19" applyFont="1" applyBorder="1" applyAlignment="1">
      <alignment horizontal="center" vertical="center"/>
    </xf>
    <xf numFmtId="0" fontId="56" fillId="0" borderId="35" xfId="19" applyFont="1" applyBorder="1" applyAlignment="1">
      <alignment horizontal="center" wrapText="1"/>
    </xf>
    <xf numFmtId="2" fontId="57" fillId="0" borderId="0" xfId="19" applyNumberFormat="1" applyFont="1"/>
    <xf numFmtId="0" fontId="73" fillId="0" borderId="0" xfId="19" applyFont="1" applyAlignment="1">
      <alignment horizontal="center"/>
    </xf>
    <xf numFmtId="0" fontId="74" fillId="0" borderId="0" xfId="19" applyFont="1"/>
    <xf numFmtId="0" fontId="57" fillId="0" borderId="12" xfId="19" applyFont="1" applyBorder="1" applyAlignment="1">
      <alignment horizontal="center"/>
    </xf>
    <xf numFmtId="0" fontId="57" fillId="0" borderId="13" xfId="19" applyFont="1" applyBorder="1" applyAlignment="1">
      <alignment horizontal="center"/>
    </xf>
    <xf numFmtId="186" fontId="57" fillId="0" borderId="13" xfId="19" applyNumberFormat="1" applyFont="1" applyBorder="1" applyAlignment="1">
      <alignment horizontal="center"/>
    </xf>
    <xf numFmtId="2" fontId="56" fillId="0" borderId="20" xfId="19" applyNumberFormat="1" applyFont="1" applyBorder="1" applyAlignment="1">
      <alignment horizontal="center"/>
    </xf>
    <xf numFmtId="186" fontId="56" fillId="0" borderId="13" xfId="19" applyNumberFormat="1" applyFont="1" applyBorder="1" applyAlignment="1">
      <alignment horizontal="center"/>
    </xf>
    <xf numFmtId="2" fontId="56" fillId="0" borderId="20" xfId="19" applyNumberFormat="1" applyFont="1" applyBorder="1" applyAlignment="1">
      <alignment horizontal="center" vertical="center" wrapText="1"/>
    </xf>
    <xf numFmtId="0" fontId="57" fillId="0" borderId="20" xfId="19" applyFont="1" applyBorder="1" applyAlignment="1">
      <alignment vertical="center" wrapText="1"/>
    </xf>
    <xf numFmtId="0" fontId="57" fillId="0" borderId="19" xfId="19" applyFont="1" applyBorder="1" applyAlignment="1">
      <alignment horizontal="center"/>
    </xf>
    <xf numFmtId="0" fontId="57" fillId="0" borderId="35" xfId="19" applyFont="1" applyBorder="1" applyAlignment="1">
      <alignment horizontal="center"/>
    </xf>
    <xf numFmtId="186" fontId="57" fillId="0" borderId="35" xfId="19" applyNumberFormat="1" applyFont="1" applyBorder="1" applyAlignment="1">
      <alignment horizontal="center"/>
    </xf>
    <xf numFmtId="0" fontId="57" fillId="0" borderId="41" xfId="19" applyFont="1" applyBorder="1" applyAlignment="1">
      <alignment horizontal="center"/>
    </xf>
    <xf numFmtId="1" fontId="75" fillId="0" borderId="11" xfId="19" applyNumberFormat="1" applyFont="1" applyBorder="1" applyAlignment="1">
      <alignment horizontal="center" vertical="center" wrapText="1"/>
    </xf>
    <xf numFmtId="0" fontId="57" fillId="0" borderId="11" xfId="19" applyFont="1" applyBorder="1" applyAlignment="1">
      <alignment horizontal="center" wrapText="1"/>
    </xf>
    <xf numFmtId="0" fontId="57" fillId="0" borderId="14" xfId="19" applyFont="1" applyBorder="1" applyAlignment="1">
      <alignment horizontal="center"/>
    </xf>
    <xf numFmtId="0" fontId="57" fillId="0" borderId="15" xfId="19" applyFont="1" applyBorder="1" applyAlignment="1">
      <alignment horizontal="center"/>
    </xf>
    <xf numFmtId="1" fontId="57" fillId="0" borderId="68" xfId="25" applyNumberFormat="1" applyFont="1" applyBorder="1" applyAlignment="1">
      <alignment horizontal="center" vertical="center"/>
    </xf>
    <xf numFmtId="1" fontId="57" fillId="0" borderId="11" xfId="19" applyNumberFormat="1" applyFont="1" applyBorder="1" applyAlignment="1">
      <alignment horizontal="center" vertical="center" wrapText="1"/>
    </xf>
    <xf numFmtId="2" fontId="57" fillId="0" borderId="11" xfId="19" applyNumberFormat="1" applyFont="1" applyBorder="1" applyAlignment="1">
      <alignment horizontal="center" vertical="center"/>
    </xf>
    <xf numFmtId="2" fontId="72" fillId="0" borderId="11" xfId="19" applyNumberFormat="1" applyFont="1" applyBorder="1" applyAlignment="1">
      <alignment horizontal="center" vertical="center" wrapText="1"/>
    </xf>
    <xf numFmtId="1" fontId="57" fillId="0" borderId="16" xfId="19" applyNumberFormat="1" applyFont="1" applyBorder="1" applyAlignment="1">
      <alignment horizontal="right" vertical="center"/>
    </xf>
    <xf numFmtId="187" fontId="72" fillId="0" borderId="18" xfId="19" applyNumberFormat="1" applyFont="1" applyBorder="1" applyAlignment="1">
      <alignment vertical="center"/>
    </xf>
    <xf numFmtId="168" fontId="57" fillId="0" borderId="16" xfId="19" applyNumberFormat="1" applyFont="1" applyBorder="1" applyAlignment="1">
      <alignment horizontal="right" vertical="center"/>
    </xf>
    <xf numFmtId="187" fontId="72" fillId="0" borderId="18" xfId="19" applyNumberFormat="1" applyFont="1" applyBorder="1" applyAlignment="1">
      <alignment horizontal="left" vertical="center"/>
    </xf>
    <xf numFmtId="2" fontId="57" fillId="0" borderId="11" xfId="19" applyNumberFormat="1" applyFont="1" applyBorder="1" applyAlignment="1">
      <alignment horizontal="center"/>
    </xf>
    <xf numFmtId="166" fontId="57" fillId="0" borderId="0" xfId="19" applyNumberFormat="1" applyFont="1" applyAlignment="1">
      <alignment horizontal="center" vertical="center"/>
    </xf>
    <xf numFmtId="1" fontId="57" fillId="0" borderId="0" xfId="19" applyNumberFormat="1" applyFont="1" applyAlignment="1">
      <alignment horizontal="center" vertical="center" wrapText="1"/>
    </xf>
    <xf numFmtId="188" fontId="57" fillId="0" borderId="0" xfId="19" applyNumberFormat="1" applyFont="1" applyAlignment="1">
      <alignment horizontal="right" vertical="center"/>
    </xf>
    <xf numFmtId="188" fontId="72" fillId="0" borderId="0" xfId="19" applyNumberFormat="1" applyFont="1" applyAlignment="1">
      <alignment vertical="center"/>
    </xf>
    <xf numFmtId="168" fontId="57" fillId="0" borderId="0" xfId="19" applyNumberFormat="1" applyFont="1" applyAlignment="1">
      <alignment horizontal="right" vertical="center"/>
    </xf>
    <xf numFmtId="188" fontId="72" fillId="0" borderId="0" xfId="19" applyNumberFormat="1" applyFont="1" applyAlignment="1">
      <alignment horizontal="left" vertical="center"/>
    </xf>
    <xf numFmtId="0" fontId="56" fillId="0" borderId="0" xfId="19" applyFont="1" applyAlignment="1">
      <alignment horizontal="center" vertical="center"/>
    </xf>
    <xf numFmtId="2" fontId="72" fillId="0" borderId="0" xfId="22" applyNumberFormat="1" applyFont="1"/>
    <xf numFmtId="1" fontId="72" fillId="0" borderId="0" xfId="22" applyNumberFormat="1" applyFont="1" applyAlignment="1">
      <alignment horizontal="center"/>
    </xf>
    <xf numFmtId="166" fontId="57" fillId="0" borderId="0" xfId="19" applyNumberFormat="1" applyFont="1"/>
    <xf numFmtId="166" fontId="57" fillId="0" borderId="0" xfId="19" applyNumberFormat="1" applyFont="1" applyAlignment="1">
      <alignment horizontal="center"/>
    </xf>
    <xf numFmtId="188" fontId="57" fillId="0" borderId="0" xfId="19" applyNumberFormat="1" applyFont="1" applyAlignment="1">
      <alignment horizontal="right"/>
    </xf>
    <xf numFmtId="188" fontId="72" fillId="0" borderId="0" xfId="19" applyNumberFormat="1" applyFont="1"/>
    <xf numFmtId="188" fontId="72" fillId="0" borderId="0" xfId="19" applyNumberFormat="1" applyFont="1" applyAlignment="1">
      <alignment horizontal="left"/>
    </xf>
    <xf numFmtId="0" fontId="56" fillId="0" borderId="0" xfId="19" applyFont="1"/>
    <xf numFmtId="0" fontId="56" fillId="0" borderId="0" xfId="19" applyFont="1" applyAlignment="1">
      <alignment horizontal="right"/>
    </xf>
    <xf numFmtId="166" fontId="56" fillId="0" borderId="0" xfId="19" applyNumberFormat="1" applyFont="1" applyAlignment="1">
      <alignment horizontal="center"/>
    </xf>
    <xf numFmtId="2" fontId="18" fillId="0" borderId="0" xfId="19" applyNumberFormat="1" applyAlignment="1">
      <alignment horizontal="center" vertical="center"/>
    </xf>
    <xf numFmtId="2" fontId="18" fillId="0" borderId="0" xfId="19" applyNumberFormat="1"/>
    <xf numFmtId="0" fontId="76" fillId="0" borderId="0" xfId="19" applyFont="1" applyAlignment="1">
      <alignment horizontal="center"/>
    </xf>
    <xf numFmtId="2" fontId="42" fillId="0" borderId="0" xfId="19" applyNumberFormat="1" applyFont="1" applyAlignment="1">
      <alignment horizontal="left"/>
    </xf>
    <xf numFmtId="0" fontId="42" fillId="0" borderId="0" xfId="19" applyFont="1" applyAlignment="1">
      <alignment horizontal="left"/>
    </xf>
    <xf numFmtId="2" fontId="76" fillId="0" borderId="0" xfId="19" applyNumberFormat="1" applyFont="1" applyAlignment="1">
      <alignment horizontal="center"/>
    </xf>
    <xf numFmtId="2" fontId="18" fillId="0" borderId="0" xfId="19" applyNumberFormat="1" applyAlignment="1">
      <alignment horizontal="left" vertical="top"/>
    </xf>
    <xf numFmtId="0" fontId="19" fillId="0" borderId="0" xfId="19" applyFont="1" applyAlignment="1">
      <alignment horizontal="right"/>
    </xf>
    <xf numFmtId="0" fontId="18" fillId="3" borderId="0" xfId="19" applyFill="1" applyAlignment="1">
      <alignment horizontal="center" vertical="center"/>
    </xf>
    <xf numFmtId="0" fontId="78" fillId="0" borderId="0" xfId="19" applyFont="1" applyAlignment="1">
      <alignment horizontal="center" vertical="center"/>
    </xf>
    <xf numFmtId="0" fontId="19" fillId="0" borderId="0" xfId="19" applyFont="1"/>
    <xf numFmtId="2" fontId="19" fillId="0" borderId="0" xfId="19" applyNumberFormat="1" applyFont="1" applyAlignment="1">
      <alignment horizontal="center"/>
    </xf>
    <xf numFmtId="49" fontId="19" fillId="0" borderId="70" xfId="19" applyNumberFormat="1" applyFont="1" applyBorder="1" applyAlignment="1">
      <alignment horizontal="center" vertical="top" wrapText="1"/>
    </xf>
    <xf numFmtId="49" fontId="19" fillId="0" borderId="71" xfId="19" applyNumberFormat="1" applyFont="1" applyBorder="1" applyAlignment="1">
      <alignment horizontal="center" vertical="top" wrapText="1"/>
    </xf>
    <xf numFmtId="49" fontId="19" fillId="0" borderId="72" xfId="19" applyNumberFormat="1" applyFont="1" applyBorder="1" applyAlignment="1">
      <alignment horizontal="center" vertical="top" wrapText="1"/>
    </xf>
    <xf numFmtId="49" fontId="19" fillId="0" borderId="74" xfId="19" applyNumberFormat="1" applyFont="1" applyBorder="1" applyAlignment="1">
      <alignment horizontal="center" vertical="top" wrapText="1"/>
    </xf>
    <xf numFmtId="49" fontId="19" fillId="0" borderId="46" xfId="19" applyNumberFormat="1" applyFont="1" applyBorder="1" applyAlignment="1">
      <alignment horizontal="center" vertical="top" wrapText="1"/>
    </xf>
    <xf numFmtId="49" fontId="19" fillId="0" borderId="22" xfId="19" applyNumberFormat="1" applyFont="1" applyBorder="1" applyAlignment="1">
      <alignment horizontal="center" vertical="top" wrapText="1"/>
    </xf>
    <xf numFmtId="49" fontId="18" fillId="0" borderId="0" xfId="19" applyNumberFormat="1"/>
    <xf numFmtId="0" fontId="19" fillId="0" borderId="70" xfId="19" applyFont="1" applyBorder="1" applyAlignment="1">
      <alignment horizontal="center"/>
    </xf>
    <xf numFmtId="0" fontId="19" fillId="0" borderId="71" xfId="19" applyFont="1" applyBorder="1" applyAlignment="1">
      <alignment horizontal="center"/>
    </xf>
    <xf numFmtId="0" fontId="19" fillId="0" borderId="72" xfId="19" applyFont="1" applyBorder="1" applyAlignment="1">
      <alignment horizontal="center"/>
    </xf>
    <xf numFmtId="0" fontId="19" fillId="0" borderId="45" xfId="19" applyFont="1" applyBorder="1" applyAlignment="1">
      <alignment horizontal="center"/>
    </xf>
    <xf numFmtId="0" fontId="19" fillId="0" borderId="41" xfId="19" applyFont="1" applyBorder="1" applyAlignment="1">
      <alignment horizontal="center"/>
    </xf>
    <xf numFmtId="0" fontId="19" fillId="0" borderId="19" xfId="19" applyFont="1" applyBorder="1" applyAlignment="1">
      <alignment horizontal="center"/>
    </xf>
    <xf numFmtId="0" fontId="18" fillId="0" borderId="11" xfId="19" applyBorder="1" applyAlignment="1">
      <alignment horizontal="center"/>
    </xf>
    <xf numFmtId="2" fontId="18" fillId="0" borderId="11" xfId="19" applyNumberFormat="1" applyBorder="1" applyAlignment="1">
      <alignment horizontal="right"/>
    </xf>
    <xf numFmtId="166" fontId="18" fillId="0" borderId="11" xfId="19" applyNumberFormat="1" applyBorder="1"/>
    <xf numFmtId="2" fontId="18" fillId="0" borderId="11" xfId="19" applyNumberFormat="1" applyBorder="1"/>
    <xf numFmtId="2" fontId="18" fillId="0" borderId="11" xfId="19" applyNumberFormat="1" applyBorder="1" applyAlignment="1">
      <alignment horizontal="center"/>
    </xf>
    <xf numFmtId="0" fontId="18" fillId="3" borderId="0" xfId="19" applyFill="1"/>
    <xf numFmtId="2" fontId="19" fillId="0" borderId="65" xfId="19" applyNumberFormat="1" applyFont="1" applyBorder="1"/>
    <xf numFmtId="0" fontId="19" fillId="0" borderId="66" xfId="19" applyFont="1" applyBorder="1"/>
    <xf numFmtId="0" fontId="18" fillId="0" borderId="72" xfId="19" applyBorder="1"/>
    <xf numFmtId="0" fontId="18" fillId="0" borderId="76" xfId="19" applyBorder="1"/>
    <xf numFmtId="166" fontId="18" fillId="0" borderId="0" xfId="19" applyNumberFormat="1"/>
    <xf numFmtId="2" fontId="19" fillId="0" borderId="0" xfId="19" applyNumberFormat="1" applyFont="1"/>
    <xf numFmtId="0" fontId="50" fillId="0" borderId="0" xfId="19" applyFont="1"/>
    <xf numFmtId="10" fontId="50" fillId="0" borderId="0" xfId="19" applyNumberFormat="1" applyFont="1"/>
    <xf numFmtId="2" fontId="18" fillId="0" borderId="0" xfId="19" applyNumberFormat="1" applyAlignment="1">
      <alignment horizontal="center"/>
    </xf>
    <xf numFmtId="10" fontId="18" fillId="0" borderId="0" xfId="19" applyNumberFormat="1"/>
    <xf numFmtId="2" fontId="18" fillId="0" borderId="0" xfId="19" applyNumberFormat="1" applyAlignment="1">
      <alignment horizontal="right"/>
    </xf>
    <xf numFmtId="0" fontId="18" fillId="0" borderId="0" xfId="19" applyAlignment="1">
      <alignment horizontal="right"/>
    </xf>
    <xf numFmtId="2" fontId="18" fillId="0" borderId="0" xfId="19" applyNumberFormat="1" applyAlignment="1">
      <alignment vertical="top"/>
    </xf>
    <xf numFmtId="2" fontId="18" fillId="0" borderId="0" xfId="19" applyNumberFormat="1" applyAlignment="1">
      <alignment horizontal="center" vertical="top"/>
    </xf>
    <xf numFmtId="0" fontId="18" fillId="0" borderId="0" xfId="19" applyAlignment="1">
      <alignment horizontal="center"/>
    </xf>
    <xf numFmtId="2" fontId="18" fillId="0" borderId="0" xfId="19" applyNumberFormat="1" applyAlignment="1">
      <alignment horizontal="center" vertical="top" wrapText="1"/>
    </xf>
    <xf numFmtId="0" fontId="18" fillId="0" borderId="0" xfId="19" applyAlignment="1">
      <alignment horizontal="center" vertical="top" wrapText="1"/>
    </xf>
    <xf numFmtId="0" fontId="50" fillId="0" borderId="0" xfId="19" applyFont="1" applyAlignment="1">
      <alignment horizontal="left"/>
    </xf>
    <xf numFmtId="0" fontId="50" fillId="0" borderId="0" xfId="19" applyFont="1" applyAlignment="1">
      <alignment horizontal="right"/>
    </xf>
    <xf numFmtId="9" fontId="50" fillId="0" borderId="0" xfId="19" applyNumberFormat="1" applyFont="1" applyAlignment="1">
      <alignment horizontal="left"/>
    </xf>
    <xf numFmtId="2" fontId="50" fillId="0" borderId="0" xfId="19" applyNumberFormat="1" applyFont="1"/>
    <xf numFmtId="0" fontId="50" fillId="0" borderId="0" xfId="19" applyFont="1" applyAlignment="1">
      <alignment horizontal="left" indent="2"/>
    </xf>
    <xf numFmtId="2" fontId="50" fillId="0" borderId="0" xfId="19" applyNumberFormat="1" applyFont="1" applyAlignment="1">
      <alignment horizontal="center"/>
    </xf>
    <xf numFmtId="2" fontId="50" fillId="0" borderId="0" xfId="19" applyNumberFormat="1" applyFont="1" applyAlignment="1">
      <alignment horizontal="right"/>
    </xf>
    <xf numFmtId="9" fontId="50" fillId="0" borderId="0" xfId="19" quotePrefix="1" applyNumberFormat="1" applyFont="1" applyAlignment="1">
      <alignment horizontal="right"/>
    </xf>
    <xf numFmtId="166" fontId="50" fillId="0" borderId="0" xfId="19" applyNumberFormat="1" applyFont="1" applyAlignment="1">
      <alignment horizontal="center"/>
    </xf>
    <xf numFmtId="0" fontId="50" fillId="0" borderId="0" xfId="19" quotePrefix="1" applyFont="1"/>
    <xf numFmtId="0" fontId="67" fillId="0" borderId="0" xfId="19" applyFont="1" applyAlignment="1">
      <alignment horizontal="right"/>
    </xf>
    <xf numFmtId="0" fontId="50" fillId="0" borderId="18" xfId="19" applyFont="1" applyBorder="1"/>
    <xf numFmtId="2" fontId="50" fillId="0" borderId="18" xfId="19" applyNumberFormat="1" applyFont="1" applyBorder="1"/>
    <xf numFmtId="0" fontId="67" fillId="0" borderId="0" xfId="19" quotePrefix="1" applyFont="1"/>
    <xf numFmtId="0" fontId="50" fillId="0" borderId="0" xfId="19" applyFont="1" applyAlignment="1">
      <alignment horizontal="center" vertical="top" wrapText="1"/>
    </xf>
    <xf numFmtId="0" fontId="79" fillId="0" borderId="0" xfId="19" applyFont="1"/>
    <xf numFmtId="2" fontId="79" fillId="0" borderId="0" xfId="19" applyNumberFormat="1" applyFont="1"/>
    <xf numFmtId="0" fontId="79" fillId="0" borderId="0" xfId="19" applyFont="1" applyAlignment="1">
      <alignment horizontal="center"/>
    </xf>
    <xf numFmtId="2" fontId="56" fillId="0" borderId="11" xfId="19" applyNumberFormat="1" applyFont="1" applyBorder="1" applyAlignment="1">
      <alignment horizontal="center" vertical="center" wrapText="1"/>
    </xf>
    <xf numFmtId="2" fontId="56" fillId="0" borderId="0" xfId="22" applyNumberFormat="1" applyFont="1" applyAlignment="1">
      <alignment horizontal="center" vertical="center"/>
    </xf>
    <xf numFmtId="166" fontId="56" fillId="0" borderId="41" xfId="19" applyNumberFormat="1" applyFont="1" applyBorder="1" applyAlignment="1">
      <alignment horizontal="center" vertical="center" wrapText="1"/>
    </xf>
    <xf numFmtId="1" fontId="81" fillId="0" borderId="11" xfId="19" applyNumberFormat="1" applyFont="1" applyBorder="1" applyAlignment="1">
      <alignment horizontal="center" vertical="center" wrapText="1"/>
    </xf>
    <xf numFmtId="1" fontId="72" fillId="0" borderId="11" xfId="19" applyNumberFormat="1" applyFont="1" applyBorder="1" applyAlignment="1">
      <alignment horizontal="center" vertical="center"/>
    </xf>
    <xf numFmtId="1" fontId="72" fillId="0" borderId="11" xfId="19" applyNumberFormat="1" applyFont="1" applyBorder="1" applyAlignment="1">
      <alignment horizontal="center"/>
    </xf>
    <xf numFmtId="2" fontId="72" fillId="0" borderId="11" xfId="19" applyNumberFormat="1" applyFont="1" applyBorder="1" applyAlignment="1">
      <alignment horizontal="center"/>
    </xf>
    <xf numFmtId="166" fontId="72" fillId="0" borderId="0" xfId="19" applyNumberFormat="1" applyFont="1" applyAlignment="1">
      <alignment horizontal="center"/>
    </xf>
    <xf numFmtId="1" fontId="72" fillId="0" borderId="0" xfId="19" applyNumberFormat="1" applyFont="1" applyAlignment="1">
      <alignment horizontal="center"/>
    </xf>
    <xf numFmtId="0" fontId="72" fillId="0" borderId="0" xfId="19" applyFont="1" applyAlignment="1">
      <alignment horizontal="center"/>
    </xf>
    <xf numFmtId="0" fontId="82" fillId="0" borderId="0" xfId="19" applyFont="1" applyAlignment="1">
      <alignment horizontal="right"/>
    </xf>
    <xf numFmtId="0" fontId="57" fillId="0" borderId="0" xfId="19" applyFont="1" applyAlignment="1">
      <alignment horizontal="center"/>
    </xf>
    <xf numFmtId="0" fontId="56" fillId="0" borderId="11" xfId="19" applyFont="1" applyBorder="1" applyAlignment="1">
      <alignment horizontal="center" vertical="center" wrapText="1"/>
    </xf>
    <xf numFmtId="2" fontId="56" fillId="0" borderId="18" xfId="19" applyNumberFormat="1" applyFont="1" applyBorder="1" applyAlignment="1">
      <alignment horizontal="center" vertical="center" wrapText="1"/>
    </xf>
    <xf numFmtId="0" fontId="64" fillId="0" borderId="0" xfId="19" applyFont="1" applyAlignment="1">
      <alignment horizontal="right" vertical="top"/>
    </xf>
    <xf numFmtId="0" fontId="63" fillId="0" borderId="0" xfId="19" applyFont="1" applyAlignment="1">
      <alignment horizontal="left"/>
    </xf>
    <xf numFmtId="0" fontId="84" fillId="0" borderId="0" xfId="19" applyFont="1" applyAlignment="1">
      <alignment horizontal="center" vertical="center"/>
    </xf>
    <xf numFmtId="49" fontId="64" fillId="0" borderId="11" xfId="19" applyNumberFormat="1" applyFont="1" applyBorder="1" applyAlignment="1">
      <alignment horizontal="center" vertical="center" wrapText="1"/>
    </xf>
    <xf numFmtId="49" fontId="64" fillId="0" borderId="11" xfId="19" applyNumberFormat="1" applyFont="1" applyBorder="1" applyAlignment="1">
      <alignment horizontal="center"/>
    </xf>
    <xf numFmtId="0" fontId="63" fillId="0" borderId="11" xfId="19" applyFont="1" applyBorder="1" applyAlignment="1">
      <alignment horizontal="center"/>
    </xf>
    <xf numFmtId="166" fontId="63" fillId="0" borderId="11" xfId="19" applyNumberFormat="1" applyFont="1" applyBorder="1" applyAlignment="1">
      <alignment horizontal="right"/>
    </xf>
    <xf numFmtId="166" fontId="63" fillId="0" borderId="11" xfId="19" applyNumberFormat="1" applyFont="1" applyBorder="1"/>
    <xf numFmtId="49" fontId="63" fillId="0" borderId="0" xfId="19" applyNumberFormat="1" applyFont="1" applyAlignment="1">
      <alignment horizontal="center"/>
    </xf>
    <xf numFmtId="166" fontId="63" fillId="0" borderId="0" xfId="19" applyNumberFormat="1" applyFont="1" applyAlignment="1">
      <alignment horizontal="right"/>
    </xf>
    <xf numFmtId="2" fontId="63" fillId="0" borderId="0" xfId="19" applyNumberFormat="1" applyFont="1" applyAlignment="1">
      <alignment horizontal="center"/>
    </xf>
    <xf numFmtId="166" fontId="64" fillId="0" borderId="0" xfId="19" applyNumberFormat="1" applyFont="1" applyAlignment="1">
      <alignment horizontal="center"/>
    </xf>
    <xf numFmtId="0" fontId="57" fillId="0" borderId="0" xfId="19" applyFont="1" applyAlignment="1">
      <alignment horizontal="right" vertical="top" wrapText="1"/>
    </xf>
    <xf numFmtId="10" fontId="57" fillId="14" borderId="0" xfId="19" applyNumberFormat="1" applyFont="1" applyFill="1" applyAlignment="1">
      <alignment horizontal="center"/>
    </xf>
    <xf numFmtId="183" fontId="56" fillId="0" borderId="0" xfId="19" applyNumberFormat="1" applyFont="1" applyAlignment="1">
      <alignment horizontal="center" vertical="center" wrapText="1"/>
    </xf>
    <xf numFmtId="0" fontId="63" fillId="0" borderId="0" xfId="19" applyFont="1" applyAlignment="1">
      <alignment vertical="center"/>
    </xf>
    <xf numFmtId="1" fontId="57" fillId="15" borderId="11" xfId="25" applyNumberFormat="1" applyFont="1" applyFill="1" applyBorder="1" applyAlignment="1">
      <alignment horizontal="center" vertical="center"/>
    </xf>
    <xf numFmtId="2" fontId="74" fillId="0" borderId="11" xfId="19" applyNumberFormat="1" applyFont="1" applyBorder="1" applyAlignment="1">
      <alignment horizontal="center" vertical="center"/>
    </xf>
    <xf numFmtId="2" fontId="72" fillId="0" borderId="11" xfId="27" applyNumberFormat="1" applyFont="1" applyBorder="1" applyAlignment="1">
      <alignment horizontal="center" vertical="center"/>
    </xf>
    <xf numFmtId="2" fontId="63" fillId="0" borderId="17" xfId="19" applyNumberFormat="1" applyFont="1" applyBorder="1"/>
    <xf numFmtId="1" fontId="74" fillId="0" borderId="0" xfId="19" applyNumberFormat="1" applyFont="1" applyAlignment="1">
      <alignment horizontal="center"/>
    </xf>
    <xf numFmtId="192" fontId="56" fillId="0" borderId="0" xfId="19" applyNumberFormat="1" applyFont="1" applyAlignment="1">
      <alignment horizontal="center"/>
    </xf>
    <xf numFmtId="1" fontId="57" fillId="0" borderId="0" xfId="19" applyNumberFormat="1" applyFont="1" applyAlignment="1">
      <alignment horizontal="center"/>
    </xf>
    <xf numFmtId="2" fontId="56" fillId="0" borderId="0" xfId="19" applyNumberFormat="1" applyFont="1"/>
    <xf numFmtId="192" fontId="56" fillId="0" borderId="0" xfId="19" applyNumberFormat="1" applyFont="1" applyAlignment="1">
      <alignment horizontal="left"/>
    </xf>
    <xf numFmtId="10" fontId="19" fillId="0" borderId="0" xfId="19" applyNumberFormat="1" applyFont="1"/>
    <xf numFmtId="183" fontId="56" fillId="0" borderId="0" xfId="19" applyNumberFormat="1" applyFont="1" applyAlignment="1">
      <alignment horizontal="left" vertical="center" wrapText="1"/>
    </xf>
    <xf numFmtId="0" fontId="86" fillId="0" borderId="0" xfId="19" applyFont="1"/>
    <xf numFmtId="49" fontId="86" fillId="0" borderId="0" xfId="19" applyNumberFormat="1" applyFont="1" applyAlignment="1">
      <alignment horizontal="center"/>
    </xf>
    <xf numFmtId="2" fontId="87" fillId="0" borderId="0" xfId="19" applyNumberFormat="1" applyFont="1" applyAlignment="1">
      <alignment horizontal="center"/>
    </xf>
    <xf numFmtId="166" fontId="87" fillId="0" borderId="0" xfId="19" applyNumberFormat="1" applyFont="1"/>
    <xf numFmtId="2" fontId="87" fillId="0" borderId="0" xfId="19" applyNumberFormat="1" applyFont="1" applyAlignment="1">
      <alignment vertical="top" wrapText="1"/>
    </xf>
    <xf numFmtId="0" fontId="87" fillId="0" borderId="0" xfId="19" applyFont="1" applyAlignment="1">
      <alignment vertical="top" wrapText="1"/>
    </xf>
    <xf numFmtId="2" fontId="87" fillId="0" borderId="0" xfId="19" applyNumberFormat="1" applyFont="1" applyAlignment="1">
      <alignment horizontal="center" vertical="center"/>
    </xf>
    <xf numFmtId="0" fontId="86" fillId="0" borderId="0" xfId="19" applyFont="1" applyAlignment="1">
      <alignment vertical="center"/>
    </xf>
    <xf numFmtId="0" fontId="87" fillId="0" borderId="0" xfId="19" applyFont="1"/>
    <xf numFmtId="2" fontId="86" fillId="0" borderId="0" xfId="19" applyNumberFormat="1" applyFont="1" applyAlignment="1">
      <alignment vertical="top" wrapText="1"/>
    </xf>
    <xf numFmtId="0" fontId="86" fillId="0" borderId="0" xfId="19" applyFont="1" applyAlignment="1">
      <alignment vertical="top" wrapText="1"/>
    </xf>
    <xf numFmtId="0" fontId="88" fillId="0" borderId="0" xfId="19" applyFont="1" applyAlignment="1">
      <alignment horizontal="center"/>
    </xf>
    <xf numFmtId="0" fontId="62" fillId="0" borderId="0" xfId="19" applyFont="1" applyAlignment="1">
      <alignment horizontal="center" vertical="center"/>
    </xf>
    <xf numFmtId="0" fontId="64" fillId="0" borderId="0" xfId="19" applyFont="1"/>
    <xf numFmtId="0" fontId="89" fillId="0" borderId="0" xfId="19" applyFont="1" applyAlignment="1">
      <alignment horizontal="center" vertical="center"/>
    </xf>
    <xf numFmtId="2" fontId="89" fillId="0" borderId="0" xfId="19" applyNumberFormat="1" applyFont="1" applyAlignment="1">
      <alignment horizontal="center" vertical="center"/>
    </xf>
    <xf numFmtId="0" fontId="31" fillId="0" borderId="10" xfId="19" applyFont="1" applyBorder="1" applyAlignment="1">
      <alignment horizontal="center"/>
    </xf>
    <xf numFmtId="0" fontId="64" fillId="0" borderId="11" xfId="19" applyFont="1" applyBorder="1" applyAlignment="1">
      <alignment horizontal="right"/>
    </xf>
    <xf numFmtId="0" fontId="89" fillId="0" borderId="11" xfId="19" applyFont="1" applyBorder="1" applyAlignment="1">
      <alignment horizontal="center" vertical="center"/>
    </xf>
    <xf numFmtId="0" fontId="64" fillId="0" borderId="11" xfId="19" applyFont="1" applyBorder="1" applyAlignment="1">
      <alignment horizontal="center" vertical="center"/>
    </xf>
    <xf numFmtId="0" fontId="64" fillId="0" borderId="11" xfId="19" applyFont="1" applyBorder="1" applyAlignment="1">
      <alignment vertical="center"/>
    </xf>
    <xf numFmtId="0" fontId="63" fillId="0" borderId="11" xfId="19" applyFont="1" applyBorder="1" applyAlignment="1">
      <alignment horizontal="left"/>
    </xf>
    <xf numFmtId="0" fontId="63" fillId="0" borderId="11" xfId="19" applyFont="1" applyBorder="1"/>
    <xf numFmtId="193" fontId="63" fillId="0" borderId="11" xfId="19" applyNumberFormat="1" applyFont="1" applyBorder="1"/>
    <xf numFmtId="193" fontId="63" fillId="0" borderId="11" xfId="19" applyNumberFormat="1" applyFont="1" applyBorder="1" applyAlignment="1">
      <alignment horizontal="center"/>
    </xf>
    <xf numFmtId="0" fontId="31" fillId="0" borderId="11" xfId="19" applyFont="1" applyBorder="1" applyAlignment="1">
      <alignment vertical="center" wrapText="1"/>
    </xf>
    <xf numFmtId="0" fontId="31" fillId="0" borderId="19" xfId="19" applyFont="1" applyBorder="1"/>
    <xf numFmtId="2" fontId="31" fillId="0" borderId="17" xfId="19" applyNumberFormat="1" applyFont="1" applyBorder="1" applyAlignment="1">
      <alignment horizontal="right" vertical="center"/>
    </xf>
    <xf numFmtId="194" fontId="31" fillId="0" borderId="11" xfId="19" applyNumberFormat="1" applyFont="1" applyBorder="1" applyAlignment="1">
      <alignment horizontal="left" vertical="center"/>
    </xf>
    <xf numFmtId="0" fontId="31" fillId="0" borderId="11" xfId="19" applyFont="1" applyBorder="1" applyAlignment="1">
      <alignment vertical="center"/>
    </xf>
    <xf numFmtId="0" fontId="31" fillId="0" borderId="19" xfId="19" applyFont="1" applyBorder="1" applyAlignment="1">
      <alignment vertical="center"/>
    </xf>
    <xf numFmtId="193" fontId="63" fillId="0" borderId="11" xfId="19" applyNumberFormat="1" applyFont="1" applyBorder="1" applyAlignment="1">
      <alignment horizontal="center" vertical="center"/>
    </xf>
    <xf numFmtId="2" fontId="63" fillId="0" borderId="11" xfId="19" applyNumberFormat="1" applyFont="1" applyBorder="1" applyAlignment="1">
      <alignment horizontal="left"/>
    </xf>
    <xf numFmtId="0" fontId="63" fillId="0" borderId="11" xfId="19" applyFont="1" applyBorder="1" applyAlignment="1">
      <alignment horizontal="center" vertical="center"/>
    </xf>
    <xf numFmtId="0" fontId="64" fillId="0" borderId="11" xfId="19" applyFont="1" applyBorder="1" applyAlignment="1">
      <alignment vertical="center" wrapText="1"/>
    </xf>
    <xf numFmtId="0" fontId="64" fillId="0" borderId="11" xfId="19" applyFont="1" applyBorder="1" applyAlignment="1">
      <alignment horizontal="center" vertical="center" wrapText="1"/>
    </xf>
    <xf numFmtId="0" fontId="64" fillId="0" borderId="0" xfId="19" applyFont="1" applyAlignment="1">
      <alignment vertical="top" wrapText="1"/>
    </xf>
    <xf numFmtId="2" fontId="63" fillId="0" borderId="0" xfId="19" applyNumberFormat="1" applyFont="1"/>
    <xf numFmtId="0" fontId="64" fillId="0" borderId="11" xfId="19" applyFont="1" applyBorder="1" applyAlignment="1">
      <alignment horizontal="center"/>
    </xf>
    <xf numFmtId="0" fontId="64" fillId="0" borderId="11" xfId="19" applyFont="1" applyBorder="1"/>
    <xf numFmtId="2" fontId="63" fillId="0" borderId="11" xfId="19" applyNumberFormat="1" applyFont="1" applyBorder="1" applyAlignment="1">
      <alignment horizontal="center"/>
    </xf>
    <xf numFmtId="2" fontId="63" fillId="0" borderId="17" xfId="19" applyNumberFormat="1" applyFont="1" applyBorder="1" applyAlignment="1">
      <alignment horizontal="right"/>
    </xf>
    <xf numFmtId="0" fontId="63" fillId="0" borderId="0" xfId="19" applyFont="1" applyAlignment="1">
      <alignment horizontal="right"/>
    </xf>
    <xf numFmtId="195" fontId="90" fillId="0" borderId="0" xfId="19" applyNumberFormat="1" applyFont="1" applyAlignment="1">
      <alignment horizontal="right"/>
    </xf>
    <xf numFmtId="2" fontId="63" fillId="0" borderId="0" xfId="19" applyNumberFormat="1" applyFont="1" applyAlignment="1">
      <alignment horizontal="left"/>
    </xf>
    <xf numFmtId="2" fontId="63" fillId="0" borderId="7" xfId="19" applyNumberFormat="1" applyFont="1" applyBorder="1" applyAlignment="1">
      <alignment horizontal="right"/>
    </xf>
    <xf numFmtId="0" fontId="63" fillId="0" borderId="9" xfId="19" applyFont="1" applyBorder="1" applyAlignment="1">
      <alignment horizontal="left"/>
    </xf>
    <xf numFmtId="0" fontId="63" fillId="0" borderId="48" xfId="19" applyFont="1" applyBorder="1" applyAlignment="1">
      <alignment horizontal="left"/>
    </xf>
    <xf numFmtId="0" fontId="56" fillId="0" borderId="0" xfId="19" applyFont="1" applyAlignment="1">
      <alignment vertical="center" wrapText="1"/>
    </xf>
    <xf numFmtId="2" fontId="63" fillId="0" borderId="0" xfId="19" applyNumberFormat="1" applyFont="1" applyAlignment="1">
      <alignment horizontal="right"/>
    </xf>
    <xf numFmtId="196" fontId="91" fillId="0" borderId="0" xfId="19" applyNumberFormat="1" applyFont="1"/>
    <xf numFmtId="197" fontId="56" fillId="0" borderId="0" xfId="19" applyNumberFormat="1" applyFont="1" applyAlignment="1">
      <alignment vertical="center" wrapText="1"/>
    </xf>
    <xf numFmtId="189" fontId="56" fillId="0" borderId="0" xfId="19" applyNumberFormat="1" applyFont="1" applyAlignment="1">
      <alignment vertical="center" wrapText="1"/>
    </xf>
    <xf numFmtId="0" fontId="63" fillId="0" borderId="0" xfId="19" applyFont="1" applyAlignment="1">
      <alignment horizontal="left" vertical="center"/>
    </xf>
    <xf numFmtId="0" fontId="56" fillId="0" borderId="0" xfId="19" applyFont="1" applyAlignment="1">
      <alignment horizontal="center"/>
    </xf>
    <xf numFmtId="198" fontId="56" fillId="0" borderId="0" xfId="19" applyNumberFormat="1" applyFont="1" applyAlignment="1">
      <alignment vertical="center" wrapText="1"/>
    </xf>
    <xf numFmtId="0" fontId="56" fillId="0" borderId="0" xfId="19" applyFont="1" applyAlignment="1">
      <alignment horizontal="left"/>
    </xf>
    <xf numFmtId="2" fontId="92" fillId="0" borderId="0" xfId="19" applyNumberFormat="1" applyFont="1" applyAlignment="1">
      <alignment horizontal="left"/>
    </xf>
    <xf numFmtId="0" fontId="63" fillId="0" borderId="0" xfId="19" applyFont="1" applyAlignment="1">
      <alignment vertical="top"/>
    </xf>
    <xf numFmtId="2" fontId="64" fillId="0" borderId="0" xfId="19" applyNumberFormat="1" applyFont="1" applyAlignment="1">
      <alignment horizontal="center" vertical="center"/>
    </xf>
    <xf numFmtId="2" fontId="26" fillId="0" borderId="0" xfId="19" applyNumberFormat="1" applyFont="1" applyAlignment="1">
      <alignment horizontal="right" vertical="top"/>
    </xf>
    <xf numFmtId="0" fontId="26" fillId="0" borderId="0" xfId="19" applyFont="1" applyAlignment="1">
      <alignment horizontal="right" vertical="top"/>
    </xf>
    <xf numFmtId="174" fontId="57" fillId="0" borderId="0" xfId="19" applyNumberFormat="1" applyFont="1"/>
    <xf numFmtId="2" fontId="58" fillId="0" borderId="10" xfId="19" applyNumberFormat="1" applyFont="1" applyBorder="1" applyAlignment="1">
      <alignment horizontal="center" vertical="center"/>
    </xf>
    <xf numFmtId="0" fontId="93" fillId="0" borderId="0" xfId="19" applyFont="1" applyAlignment="1">
      <alignment horizontal="center" vertical="center"/>
    </xf>
    <xf numFmtId="2" fontId="58" fillId="0" borderId="0" xfId="19" applyNumberFormat="1" applyFont="1" applyAlignment="1">
      <alignment horizontal="center" vertical="center"/>
    </xf>
    <xf numFmtId="1" fontId="74" fillId="0" borderId="11" xfId="28" applyNumberFormat="1" applyFont="1" applyBorder="1" applyAlignment="1">
      <alignment horizontal="center" vertical="center"/>
    </xf>
    <xf numFmtId="1" fontId="57" fillId="0" borderId="16" xfId="19" applyNumberFormat="1" applyFont="1" applyBorder="1" applyAlignment="1">
      <alignment horizontal="right"/>
    </xf>
    <xf numFmtId="2" fontId="72" fillId="0" borderId="11" xfId="29" applyNumberFormat="1" applyFont="1" applyBorder="1" applyAlignment="1">
      <alignment horizontal="center"/>
    </xf>
    <xf numFmtId="2" fontId="57" fillId="0" borderId="11" xfId="19" applyNumberFormat="1" applyFont="1" applyBorder="1" applyAlignment="1">
      <alignment horizontal="center" vertical="center" wrapText="1"/>
    </xf>
    <xf numFmtId="2" fontId="57" fillId="0" borderId="17" xfId="19" applyNumberFormat="1" applyFont="1" applyBorder="1" applyAlignment="1">
      <alignment horizontal="center" vertical="center" wrapText="1"/>
    </xf>
    <xf numFmtId="0" fontId="57" fillId="0" borderId="30" xfId="19" applyFont="1" applyBorder="1"/>
    <xf numFmtId="187" fontId="57" fillId="0" borderId="17" xfId="19" applyNumberFormat="1" applyFont="1" applyBorder="1" applyAlignment="1">
      <alignment horizontal="left"/>
    </xf>
    <xf numFmtId="0" fontId="56" fillId="0" borderId="30" xfId="19" applyFont="1" applyBorder="1"/>
    <xf numFmtId="2" fontId="56" fillId="0" borderId="0" xfId="19" applyNumberFormat="1" applyFont="1" applyAlignment="1">
      <alignment horizontal="center" vertical="center"/>
    </xf>
    <xf numFmtId="199" fontId="56" fillId="0" borderId="0" xfId="19" applyNumberFormat="1" applyFont="1" applyAlignment="1">
      <alignment horizontal="left"/>
    </xf>
    <xf numFmtId="0" fontId="57" fillId="3" borderId="0" xfId="19" applyFont="1" applyFill="1"/>
    <xf numFmtId="0" fontId="74" fillId="3" borderId="0" xfId="19" applyFont="1" applyFill="1"/>
    <xf numFmtId="187" fontId="74" fillId="3" borderId="0" xfId="19" applyNumberFormat="1" applyFont="1" applyFill="1" applyAlignment="1">
      <alignment horizontal="left"/>
    </xf>
    <xf numFmtId="0" fontId="57" fillId="3" borderId="0" xfId="19" applyFont="1" applyFill="1" applyAlignment="1">
      <alignment vertical="top"/>
    </xf>
    <xf numFmtId="0" fontId="74" fillId="3" borderId="0" xfId="19" applyFont="1" applyFill="1" applyAlignment="1">
      <alignment vertical="top"/>
    </xf>
    <xf numFmtId="2" fontId="74" fillId="3" borderId="0" xfId="19" applyNumberFormat="1" applyFont="1" applyFill="1" applyAlignment="1">
      <alignment horizontal="left" vertical="top"/>
    </xf>
    <xf numFmtId="2" fontId="56" fillId="0" borderId="77" xfId="19" applyNumberFormat="1" applyFont="1" applyBorder="1" applyAlignment="1">
      <alignment horizontal="center" vertical="center" wrapText="1"/>
    </xf>
    <xf numFmtId="1" fontId="72" fillId="0" borderId="30" xfId="22" applyNumberFormat="1" applyFont="1" applyBorder="1" applyAlignment="1">
      <alignment horizontal="center"/>
    </xf>
    <xf numFmtId="2" fontId="19" fillId="0" borderId="0" xfId="19" applyNumberFormat="1" applyFont="1" applyAlignment="1">
      <alignment horizontal="center" vertical="center"/>
    </xf>
    <xf numFmtId="200" fontId="74" fillId="0" borderId="0" xfId="19" applyNumberFormat="1" applyFont="1" applyAlignment="1">
      <alignment vertical="center"/>
    </xf>
    <xf numFmtId="0" fontId="91" fillId="0" borderId="0" xfId="19" applyFont="1"/>
    <xf numFmtId="2" fontId="57" fillId="0" borderId="42" xfId="19" applyNumberFormat="1" applyFont="1" applyBorder="1" applyAlignment="1">
      <alignment horizontal="center"/>
    </xf>
    <xf numFmtId="2" fontId="82" fillId="0" borderId="0" xfId="30" applyNumberFormat="1" applyFont="1" applyAlignment="1">
      <alignment horizontal="center"/>
    </xf>
    <xf numFmtId="2" fontId="56" fillId="0" borderId="11" xfId="19" applyNumberFormat="1" applyFont="1" applyBorder="1" applyAlignment="1">
      <alignment horizontal="center"/>
    </xf>
    <xf numFmtId="2" fontId="80" fillId="0" borderId="0" xfId="19" applyNumberFormat="1" applyFont="1"/>
    <xf numFmtId="2" fontId="74" fillId="0" borderId="0" xfId="19" applyNumberFormat="1" applyFont="1"/>
    <xf numFmtId="0" fontId="57" fillId="0" borderId="0" xfId="19" applyFont="1" applyAlignment="1">
      <alignment horizontal="center" vertical="top" wrapText="1"/>
    </xf>
    <xf numFmtId="201" fontId="57" fillId="0" borderId="0" xfId="19" applyNumberFormat="1" applyFont="1" applyAlignment="1">
      <alignment horizontal="center"/>
    </xf>
    <xf numFmtId="0" fontId="19" fillId="0" borderId="0" xfId="19" applyFont="1" applyAlignment="1">
      <alignment horizontal="center"/>
    </xf>
    <xf numFmtId="202" fontId="18" fillId="0" borderId="0" xfId="19" applyNumberFormat="1"/>
    <xf numFmtId="203" fontId="18" fillId="0" borderId="0" xfId="19" applyNumberFormat="1"/>
    <xf numFmtId="0" fontId="91" fillId="0" borderId="0" xfId="19" applyFont="1" applyAlignment="1">
      <alignment horizontal="center" vertical="center"/>
    </xf>
    <xf numFmtId="2" fontId="56" fillId="0" borderId="41" xfId="19" applyNumberFormat="1" applyFont="1" applyBorder="1" applyAlignment="1">
      <alignment horizontal="center" vertical="center" wrapText="1"/>
    </xf>
    <xf numFmtId="2" fontId="56" fillId="0" borderId="19" xfId="19" applyNumberFormat="1" applyFont="1" applyBorder="1" applyAlignment="1">
      <alignment horizontal="center" vertical="center" wrapText="1"/>
    </xf>
    <xf numFmtId="1" fontId="95" fillId="0" borderId="11" xfId="19" applyNumberFormat="1" applyFont="1" applyBorder="1" applyAlignment="1">
      <alignment horizontal="center" vertical="center" wrapText="1"/>
    </xf>
    <xf numFmtId="1" fontId="81" fillId="0" borderId="16" xfId="19" applyNumberFormat="1" applyFont="1" applyBorder="1" applyAlignment="1">
      <alignment horizontal="center" vertical="center" wrapText="1"/>
    </xf>
    <xf numFmtId="1" fontId="81" fillId="0" borderId="17" xfId="19" applyNumberFormat="1" applyFont="1" applyBorder="1" applyAlignment="1">
      <alignment horizontal="center" vertical="center" wrapText="1"/>
    </xf>
    <xf numFmtId="1" fontId="72" fillId="0" borderId="11" xfId="28" applyNumberFormat="1" applyFont="1" applyBorder="1" applyAlignment="1">
      <alignment horizontal="center" vertical="center"/>
    </xf>
    <xf numFmtId="1" fontId="72" fillId="0" borderId="11" xfId="19" applyNumberFormat="1" applyFont="1" applyBorder="1" applyAlignment="1">
      <alignment horizontal="center" vertical="center" wrapText="1"/>
    </xf>
    <xf numFmtId="168" fontId="72" fillId="0" borderId="16" xfId="19" applyNumberFormat="1" applyFont="1" applyBorder="1" applyAlignment="1">
      <alignment horizontal="right" vertical="center" wrapText="1"/>
    </xf>
    <xf numFmtId="187" fontId="72" fillId="0" borderId="17" xfId="19" applyNumberFormat="1" applyFont="1" applyBorder="1" applyAlignment="1">
      <alignment horizontal="left"/>
    </xf>
    <xf numFmtId="1" fontId="72" fillId="0" borderId="16" xfId="19" applyNumberFormat="1" applyFont="1" applyBorder="1" applyAlignment="1">
      <alignment horizontal="right" vertical="center" wrapText="1"/>
    </xf>
    <xf numFmtId="168" fontId="72" fillId="0" borderId="11" xfId="19" applyNumberFormat="1" applyFont="1" applyBorder="1" applyAlignment="1">
      <alignment horizontal="center"/>
    </xf>
    <xf numFmtId="0" fontId="72" fillId="0" borderId="11" xfId="19" applyFont="1" applyBorder="1" applyAlignment="1">
      <alignment horizontal="center"/>
    </xf>
    <xf numFmtId="1" fontId="72" fillId="0" borderId="0" xfId="19" applyNumberFormat="1" applyFont="1" applyAlignment="1">
      <alignment horizontal="center" vertical="center" wrapText="1"/>
    </xf>
    <xf numFmtId="2" fontId="82" fillId="0" borderId="10" xfId="30" applyNumberFormat="1" applyFont="1" applyBorder="1" applyAlignment="1">
      <alignment horizontal="center"/>
    </xf>
    <xf numFmtId="2" fontId="82" fillId="0" borderId="18" xfId="19" applyNumberFormat="1" applyFont="1" applyBorder="1" applyAlignment="1">
      <alignment horizontal="center" vertical="center" wrapText="1"/>
    </xf>
    <xf numFmtId="2" fontId="82" fillId="0" borderId="0" xfId="19" applyNumberFormat="1" applyFont="1" applyAlignment="1">
      <alignment horizontal="center" vertical="center" wrapText="1"/>
    </xf>
    <xf numFmtId="2" fontId="82" fillId="0" borderId="10" xfId="19" applyNumberFormat="1" applyFont="1" applyBorder="1" applyAlignment="1">
      <alignment horizontal="center" vertical="center" wrapText="1"/>
    </xf>
    <xf numFmtId="2" fontId="82" fillId="0" borderId="15" xfId="19" applyNumberFormat="1" applyFont="1" applyBorder="1" applyAlignment="1">
      <alignment horizontal="center" vertical="center" wrapText="1"/>
    </xf>
    <xf numFmtId="0" fontId="56" fillId="0" borderId="0" xfId="19" applyFont="1" applyAlignment="1">
      <alignment vertical="top"/>
    </xf>
    <xf numFmtId="2" fontId="57" fillId="0" borderId="16" xfId="19" applyNumberFormat="1" applyFont="1" applyBorder="1" applyAlignment="1">
      <alignment horizontal="right" vertical="center" wrapText="1"/>
    </xf>
    <xf numFmtId="1" fontId="57" fillId="0" borderId="18" xfId="19" applyNumberFormat="1" applyFont="1" applyBorder="1" applyAlignment="1">
      <alignment horizontal="left" vertical="center" wrapText="1"/>
    </xf>
    <xf numFmtId="1" fontId="57" fillId="0" borderId="16" xfId="19" applyNumberFormat="1" applyFont="1" applyBorder="1" applyAlignment="1">
      <alignment horizontal="right" vertical="center" wrapText="1"/>
    </xf>
    <xf numFmtId="2" fontId="72" fillId="0" borderId="30" xfId="19" applyNumberFormat="1" applyFont="1" applyBorder="1" applyAlignment="1">
      <alignment horizontal="center"/>
    </xf>
    <xf numFmtId="0" fontId="57" fillId="0" borderId="0" xfId="19" applyFont="1" applyAlignment="1">
      <alignment horizontal="center" vertical="center"/>
    </xf>
    <xf numFmtId="0" fontId="56" fillId="0" borderId="11" xfId="22" applyFont="1" applyBorder="1" applyAlignment="1">
      <alignment horizontal="center"/>
    </xf>
    <xf numFmtId="0" fontId="56" fillId="0" borderId="11" xfId="22" applyFont="1" applyBorder="1" applyAlignment="1">
      <alignment horizontal="center" wrapText="1"/>
    </xf>
    <xf numFmtId="0" fontId="56" fillId="0" borderId="11" xfId="19" applyFont="1" applyBorder="1" applyAlignment="1">
      <alignment horizontal="center"/>
    </xf>
    <xf numFmtId="0" fontId="57" fillId="0" borderId="11" xfId="19" applyFont="1" applyBorder="1" applyAlignment="1">
      <alignment horizontal="center"/>
    </xf>
    <xf numFmtId="0" fontId="57" fillId="0" borderId="11" xfId="22" applyFont="1" applyBorder="1" applyAlignment="1">
      <alignment horizontal="center"/>
    </xf>
    <xf numFmtId="1" fontId="57" fillId="0" borderId="11" xfId="22" applyNumberFormat="1" applyFont="1" applyBorder="1" applyAlignment="1">
      <alignment horizontal="center"/>
    </xf>
    <xf numFmtId="199" fontId="56" fillId="0" borderId="0" xfId="19" applyNumberFormat="1" applyFont="1" applyAlignment="1">
      <alignment horizontal="center"/>
    </xf>
    <xf numFmtId="2" fontId="57" fillId="0" borderId="0" xfId="19" applyNumberFormat="1" applyFont="1" applyAlignment="1">
      <alignment horizontal="right"/>
    </xf>
    <xf numFmtId="204" fontId="57" fillId="0" borderId="0" xfId="19" applyNumberFormat="1" applyFont="1" applyAlignment="1">
      <alignment horizontal="center" vertical="center"/>
    </xf>
    <xf numFmtId="201" fontId="57" fillId="0" borderId="0" xfId="19" applyNumberFormat="1" applyFont="1" applyAlignment="1">
      <alignment horizontal="center" vertical="center"/>
    </xf>
    <xf numFmtId="205" fontId="56" fillId="0" borderId="0" xfId="19" applyNumberFormat="1" applyFont="1" applyAlignment="1">
      <alignment horizontal="left"/>
    </xf>
    <xf numFmtId="0" fontId="57" fillId="0" borderId="0" xfId="5" applyFont="1"/>
    <xf numFmtId="0" fontId="57" fillId="0" borderId="0" xfId="5" applyFont="1" applyAlignment="1">
      <alignment vertical="center"/>
    </xf>
    <xf numFmtId="2" fontId="80" fillId="0" borderId="10" xfId="19" applyNumberFormat="1" applyFont="1" applyBorder="1" applyAlignment="1">
      <alignment horizontal="center" vertical="center"/>
    </xf>
    <xf numFmtId="0" fontId="56" fillId="0" borderId="11" xfId="5" applyFont="1" applyBorder="1" applyAlignment="1">
      <alignment horizontal="center" vertical="center" wrapText="1"/>
    </xf>
    <xf numFmtId="9" fontId="56" fillId="0" borderId="11" xfId="5" applyNumberFormat="1" applyFont="1" applyBorder="1" applyAlignment="1">
      <alignment horizontal="center" vertical="center" wrapText="1"/>
    </xf>
    <xf numFmtId="0" fontId="57" fillId="0" borderId="0" xfId="5" applyFont="1" applyAlignment="1">
      <alignment horizontal="center" vertical="top" wrapText="1"/>
    </xf>
    <xf numFmtId="2" fontId="57" fillId="0" borderId="0" xfId="5" applyNumberFormat="1" applyFont="1"/>
    <xf numFmtId="2" fontId="57" fillId="0" borderId="11" xfId="5" applyNumberFormat="1" applyFont="1" applyBorder="1" applyAlignment="1">
      <alignment horizontal="center" vertical="center"/>
    </xf>
    <xf numFmtId="166" fontId="57" fillId="0" borderId="11" xfId="5" applyNumberFormat="1" applyFont="1" applyBorder="1" applyAlignment="1">
      <alignment horizontal="center" vertical="center"/>
    </xf>
    <xf numFmtId="0" fontId="57" fillId="0" borderId="11" xfId="5" applyFont="1" applyBorder="1" applyAlignment="1">
      <alignment horizontal="center" vertical="center"/>
    </xf>
    <xf numFmtId="2" fontId="56" fillId="0" borderId="11" xfId="5" applyNumberFormat="1" applyFont="1" applyBorder="1" applyAlignment="1">
      <alignment horizontal="center"/>
    </xf>
    <xf numFmtId="2" fontId="18" fillId="3" borderId="0" xfId="19" applyNumberFormat="1" applyFill="1"/>
    <xf numFmtId="206" fontId="18" fillId="0" borderId="0" xfId="19" applyNumberFormat="1"/>
    <xf numFmtId="0" fontId="56" fillId="0" borderId="0" xfId="5" applyFont="1" applyAlignment="1">
      <alignment horizontal="right"/>
    </xf>
    <xf numFmtId="2" fontId="56" fillId="0" borderId="0" xfId="5" applyNumberFormat="1" applyFont="1"/>
    <xf numFmtId="0" fontId="57" fillId="0" borderId="0" xfId="3" applyFont="1"/>
    <xf numFmtId="2" fontId="57" fillId="0" borderId="0" xfId="3" applyNumberFormat="1" applyFont="1" applyAlignment="1">
      <alignment horizontal="center" vertical="center"/>
    </xf>
    <xf numFmtId="2" fontId="57" fillId="0" borderId="0" xfId="3" applyNumberFormat="1" applyFont="1" applyAlignment="1">
      <alignment horizontal="center"/>
    </xf>
    <xf numFmtId="43" fontId="0" fillId="0" borderId="0" xfId="7" applyNumberFormat="1" applyFont="1"/>
    <xf numFmtId="1" fontId="57" fillId="15" borderId="11" xfId="25" applyNumberFormat="1" applyFont="1" applyFill="1" applyBorder="1" applyAlignment="1">
      <alignment horizontal="center" vertical="center"/>
    </xf>
    <xf numFmtId="1" fontId="0" fillId="0" borderId="11" xfId="15" applyNumberFormat="1" applyFont="1" applyBorder="1" applyAlignment="1">
      <alignment horizontal="center" vertical="center" wrapText="1"/>
    </xf>
    <xf numFmtId="207" fontId="42" fillId="0" borderId="26" xfId="19" applyNumberFormat="1" applyFont="1" applyBorder="1" applyAlignment="1">
      <alignment horizontal="center" vertical="top" wrapText="1"/>
    </xf>
    <xf numFmtId="166" fontId="65" fillId="0" borderId="0" xfId="19" applyNumberFormat="1" applyFont="1" applyBorder="1" applyAlignment="1">
      <alignment horizontal="center" vertical="center"/>
    </xf>
    <xf numFmtId="2" fontId="31" fillId="0" borderId="0" xfId="19" applyNumberFormat="1" applyFont="1" applyAlignment="1">
      <alignment horizontal="center" vertical="center"/>
    </xf>
    <xf numFmtId="2" fontId="31" fillId="0" borderId="0" xfId="19" applyNumberFormat="1" applyFont="1" applyAlignment="1">
      <alignment horizontal="center"/>
    </xf>
    <xf numFmtId="2" fontId="31" fillId="0" borderId="0" xfId="19" applyNumberFormat="1" applyFont="1" applyAlignment="1">
      <alignment horizontal="left"/>
    </xf>
    <xf numFmtId="2" fontId="31" fillId="0" borderId="0" xfId="19" applyNumberFormat="1" applyFont="1" applyAlignment="1">
      <alignment horizontal="right" vertical="center"/>
    </xf>
    <xf numFmtId="0" fontId="63" fillId="0" borderId="11" xfId="19" applyFont="1" applyBorder="1" applyAlignment="1">
      <alignment horizontal="right"/>
    </xf>
    <xf numFmtId="2" fontId="64" fillId="0" borderId="0" xfId="19" applyNumberFormat="1" applyFont="1"/>
    <xf numFmtId="168" fontId="25" fillId="0" borderId="11" xfId="17" applyNumberFormat="1" applyFont="1" applyBorder="1" applyAlignment="1">
      <alignment horizontal="center"/>
    </xf>
    <xf numFmtId="43" fontId="28" fillId="0" borderId="11" xfId="0" applyNumberFormat="1" applyFont="1" applyBorder="1" applyAlignment="1">
      <alignment horizontal="center"/>
    </xf>
    <xf numFmtId="0" fontId="0" fillId="0" borderId="42" xfId="15" applyFont="1" applyBorder="1" applyAlignment="1">
      <alignment horizontal="center" vertical="center"/>
    </xf>
    <xf numFmtId="0" fontId="2" fillId="0" borderId="17" xfId="15" applyFont="1" applyBorder="1" applyAlignment="1">
      <alignment horizontal="center" vertical="center"/>
    </xf>
    <xf numFmtId="0" fontId="0" fillId="0" borderId="16" xfId="15" applyFont="1" applyBorder="1" applyAlignment="1">
      <alignment horizontal="center" vertical="center"/>
    </xf>
    <xf numFmtId="2" fontId="2" fillId="0" borderId="17" xfId="15" applyNumberFormat="1" applyFont="1" applyBorder="1" applyAlignment="1">
      <alignment vertical="center"/>
    </xf>
    <xf numFmtId="2" fontId="28" fillId="0" borderId="18" xfId="0" applyNumberFormat="1" applyFont="1" applyBorder="1" applyAlignment="1">
      <alignment horizontal="center"/>
    </xf>
    <xf numFmtId="0" fontId="0" fillId="0" borderId="11" xfId="0" applyBorder="1" applyAlignment="1">
      <alignment horizontal="right" vertical="center"/>
    </xf>
    <xf numFmtId="1" fontId="0" fillId="0" borderId="11" xfId="15" applyNumberFormat="1" applyFont="1" applyBorder="1" applyAlignment="1">
      <alignment horizontal="center" vertical="top"/>
    </xf>
    <xf numFmtId="43" fontId="32" fillId="4" borderId="11" xfId="31" applyFont="1" applyFill="1" applyBorder="1" applyAlignment="1">
      <alignment horizontal="center" vertical="center"/>
    </xf>
    <xf numFmtId="43" fontId="28" fillId="0" borderId="11" xfId="31" applyFont="1" applyBorder="1" applyAlignment="1">
      <alignment horizontal="center"/>
    </xf>
    <xf numFmtId="2" fontId="28" fillId="0" borderId="0" xfId="0" applyNumberFormat="1" applyFont="1"/>
    <xf numFmtId="2" fontId="57" fillId="15" borderId="11" xfId="25" applyNumberFormat="1" applyFont="1" applyFill="1" applyBorder="1" applyAlignment="1">
      <alignment horizontal="center" vertical="center"/>
    </xf>
    <xf numFmtId="0" fontId="0" fillId="0" borderId="19" xfId="0" applyFill="1" applyBorder="1"/>
    <xf numFmtId="0" fontId="63" fillId="0" borderId="11" xfId="19" applyFont="1" applyBorder="1" applyAlignment="1">
      <alignment horizontal="right"/>
    </xf>
    <xf numFmtId="2" fontId="26" fillId="0" borderId="0" xfId="19" applyNumberFormat="1" applyFont="1" applyAlignment="1">
      <alignment horizontal="right" vertical="top"/>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168" fontId="0" fillId="0" borderId="11" xfId="13" applyNumberFormat="1" applyFont="1" applyBorder="1" applyAlignment="1">
      <alignment horizontal="center"/>
    </xf>
    <xf numFmtId="168" fontId="0" fillId="0" borderId="11" xfId="15" applyNumberFormat="1" applyFont="1" applyBorder="1" applyAlignment="1" applyProtection="1">
      <alignment horizontal="center"/>
      <protection locked="0"/>
    </xf>
    <xf numFmtId="2" fontId="82" fillId="0" borderId="11" xfId="19" applyNumberFormat="1" applyFont="1" applyBorder="1" applyAlignment="1">
      <alignment horizontal="center"/>
    </xf>
    <xf numFmtId="0" fontId="63" fillId="0" borderId="11" xfId="19" applyNumberFormat="1" applyFont="1" applyBorder="1" applyAlignment="1">
      <alignment horizontal="center"/>
    </xf>
    <xf numFmtId="0" fontId="18" fillId="0" borderId="11" xfId="19" applyBorder="1" applyAlignment="1">
      <alignment horizontal="center" vertical="center" wrapText="1"/>
    </xf>
    <xf numFmtId="168" fontId="0" fillId="0" borderId="41" xfId="15" applyNumberFormat="1" applyFont="1" applyBorder="1" applyAlignment="1">
      <alignment horizontal="center" vertical="center"/>
    </xf>
    <xf numFmtId="0" fontId="11" fillId="0" borderId="0" xfId="0" applyFont="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Alignment="1">
      <alignment horizontal="center" vertical="top" wrapText="1"/>
    </xf>
    <xf numFmtId="0" fontId="5" fillId="0" borderId="6" xfId="0" applyFont="1" applyBorder="1" applyAlignment="1">
      <alignment horizontal="center" vertical="top"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0" xfId="0" applyFont="1"/>
    <xf numFmtId="0" fontId="10" fillId="0" borderId="6" xfId="0" applyFont="1" applyBorder="1"/>
    <xf numFmtId="0" fontId="28" fillId="0" borderId="16" xfId="0" applyFont="1" applyBorder="1" applyAlignment="1">
      <alignment horizontal="center"/>
    </xf>
    <xf numFmtId="0" fontId="28" fillId="0" borderId="18" xfId="0" applyFont="1" applyBorder="1" applyAlignment="1">
      <alignment horizontal="center"/>
    </xf>
    <xf numFmtId="0" fontId="28" fillId="0" borderId="17" xfId="0" applyFont="1" applyBorder="1" applyAlignment="1">
      <alignment horizontal="center"/>
    </xf>
    <xf numFmtId="0" fontId="19" fillId="0" borderId="11" xfId="8" applyFont="1" applyBorder="1" applyAlignment="1">
      <alignment horizontal="right" vertical="center" wrapText="1"/>
    </xf>
    <xf numFmtId="0" fontId="29" fillId="0" borderId="11" xfId="15" applyFont="1" applyBorder="1" applyAlignment="1">
      <alignment horizontal="right" vertical="justify" wrapText="1"/>
    </xf>
    <xf numFmtId="43" fontId="0" fillId="0" borderId="0" xfId="7" applyNumberFormat="1" applyFont="1" applyAlignment="1">
      <alignment horizontal="center"/>
    </xf>
    <xf numFmtId="0" fontId="0" fillId="0" borderId="0" xfId="7" applyFont="1" applyAlignment="1">
      <alignment horizontal="center"/>
    </xf>
    <xf numFmtId="0" fontId="19" fillId="0" borderId="0" xfId="6" applyFont="1" applyAlignment="1">
      <alignment horizontal="center"/>
    </xf>
    <xf numFmtId="2" fontId="19" fillId="0" borderId="0" xfId="6" applyNumberFormat="1" applyFont="1" applyAlignment="1">
      <alignment horizontal="left"/>
    </xf>
    <xf numFmtId="0" fontId="19" fillId="0" borderId="0" xfId="6" applyFont="1" applyAlignment="1">
      <alignment horizontal="left"/>
    </xf>
    <xf numFmtId="2" fontId="19" fillId="0" borderId="0" xfId="6" applyNumberFormat="1" applyFont="1" applyAlignment="1">
      <alignment horizontal="right"/>
    </xf>
    <xf numFmtId="0" fontId="19" fillId="0" borderId="0" xfId="6" applyFont="1" applyAlignment="1">
      <alignment horizontal="right"/>
    </xf>
    <xf numFmtId="165" fontId="19" fillId="0" borderId="0" xfId="6" applyNumberFormat="1" applyFont="1" applyAlignment="1">
      <alignment horizontal="center" vertical="center" wrapText="1"/>
    </xf>
    <xf numFmtId="0" fontId="19" fillId="0" borderId="16" xfId="6" applyFont="1" applyBorder="1" applyAlignment="1">
      <alignment horizontal="center"/>
    </xf>
    <xf numFmtId="0" fontId="19" fillId="0" borderId="18" xfId="6" applyFont="1" applyBorder="1" applyAlignment="1">
      <alignment horizontal="center"/>
    </xf>
    <xf numFmtId="0" fontId="0" fillId="0" borderId="16" xfId="7" applyFont="1" applyBorder="1" applyAlignment="1">
      <alignment horizontal="center" vertical="center" wrapText="1"/>
    </xf>
    <xf numFmtId="0" fontId="0" fillId="0" borderId="18" xfId="7" applyFont="1" applyBorder="1" applyAlignment="1">
      <alignment horizontal="center" vertical="center" wrapText="1"/>
    </xf>
    <xf numFmtId="0" fontId="0" fillId="0" borderId="17" xfId="7" applyFont="1" applyBorder="1" applyAlignment="1">
      <alignment horizontal="center" vertical="center" wrapText="1"/>
    </xf>
    <xf numFmtId="0" fontId="21" fillId="0" borderId="11" xfId="0" applyFont="1" applyBorder="1" applyAlignment="1">
      <alignment horizontal="right" vertical="center"/>
    </xf>
    <xf numFmtId="0" fontId="21" fillId="0" borderId="11" xfId="0" applyFont="1" applyBorder="1" applyAlignment="1">
      <alignment horizontal="center" vertical="center"/>
    </xf>
    <xf numFmtId="164" fontId="21" fillId="0" borderId="11" xfId="5" applyNumberFormat="1" applyFont="1" applyBorder="1" applyAlignment="1">
      <alignment horizontal="center" vertical="center" wrapText="1"/>
    </xf>
    <xf numFmtId="0" fontId="21" fillId="0" borderId="0" xfId="0" applyFont="1" applyAlignment="1">
      <alignment horizontal="center" vertical="center" wrapText="1"/>
    </xf>
    <xf numFmtId="0" fontId="18" fillId="0" borderId="11" xfId="0" applyFont="1" applyBorder="1" applyAlignment="1">
      <alignment horizontal="left" vertical="center"/>
    </xf>
    <xf numFmtId="2" fontId="20" fillId="0" borderId="11" xfId="0" applyNumberFormat="1" applyFont="1" applyBorder="1" applyAlignment="1">
      <alignment horizontal="center" vertical="center"/>
    </xf>
    <xf numFmtId="0" fontId="20" fillId="0" borderId="11" xfId="0" applyFont="1" applyBorder="1" applyAlignment="1">
      <alignment horizontal="center" vertical="center"/>
    </xf>
    <xf numFmtId="2" fontId="23" fillId="0" borderId="11" xfId="0" applyNumberFormat="1" applyFont="1" applyBorder="1" applyAlignment="1">
      <alignment horizontal="center" vertical="center"/>
    </xf>
    <xf numFmtId="2" fontId="23" fillId="0" borderId="16" xfId="0" applyNumberFormat="1" applyFont="1" applyBorder="1" applyAlignment="1">
      <alignment horizontal="center" vertical="center"/>
    </xf>
    <xf numFmtId="2" fontId="23" fillId="0" borderId="17" xfId="0" applyNumberFormat="1" applyFont="1" applyBorder="1" applyAlignment="1">
      <alignment horizontal="center" vertical="center"/>
    </xf>
    <xf numFmtId="0" fontId="20" fillId="0" borderId="11" xfId="0" applyFont="1" applyBorder="1" applyAlignment="1">
      <alignment horizontal="left"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0" xfId="3"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34" fillId="4" borderId="16" xfId="1" applyFont="1" applyFill="1" applyBorder="1" applyAlignment="1">
      <alignment horizontal="left" vertical="center"/>
    </xf>
    <xf numFmtId="0" fontId="18" fillId="0" borderId="18" xfId="7" applyBorder="1" applyAlignment="1">
      <alignment horizontal="left" vertical="center"/>
    </xf>
    <xf numFmtId="0" fontId="18" fillId="0" borderId="13" xfId="7" applyBorder="1" applyAlignment="1">
      <alignment horizontal="left" vertical="center"/>
    </xf>
    <xf numFmtId="0" fontId="32" fillId="4" borderId="11" xfId="7" applyFont="1" applyFill="1" applyBorder="1" applyAlignment="1">
      <alignment horizontal="center" vertical="center" wrapText="1"/>
    </xf>
    <xf numFmtId="0" fontId="32" fillId="4" borderId="16" xfId="7" applyFont="1" applyFill="1" applyBorder="1" applyAlignment="1">
      <alignment horizontal="center" vertical="center" wrapText="1"/>
    </xf>
    <xf numFmtId="0" fontId="32" fillId="4" borderId="20" xfId="7" applyFont="1" applyFill="1" applyBorder="1" applyAlignment="1">
      <alignment horizontal="center" vertical="center"/>
    </xf>
    <xf numFmtId="43" fontId="41" fillId="4" borderId="20" xfId="31" applyFont="1" applyFill="1" applyBorder="1" applyAlignment="1">
      <alignment horizontal="center" vertical="center"/>
    </xf>
    <xf numFmtId="0" fontId="32" fillId="7" borderId="29" xfId="7" applyFont="1" applyFill="1" applyBorder="1" applyAlignment="1">
      <alignment horizontal="center" vertical="center" textRotation="255"/>
    </xf>
    <xf numFmtId="0" fontId="32" fillId="7" borderId="34" xfId="7" applyFont="1" applyFill="1" applyBorder="1" applyAlignment="1">
      <alignment horizontal="center" vertical="center" textRotation="255"/>
    </xf>
    <xf numFmtId="0" fontId="32" fillId="7" borderId="39" xfId="7" applyFont="1" applyFill="1" applyBorder="1" applyAlignment="1">
      <alignment horizontal="center" vertical="center" textRotation="255"/>
    </xf>
    <xf numFmtId="0" fontId="36" fillId="4" borderId="31" xfId="7" applyFont="1" applyFill="1" applyBorder="1" applyAlignment="1">
      <alignment horizontal="center" vertical="center"/>
    </xf>
    <xf numFmtId="0" fontId="36" fillId="4" borderId="32" xfId="7" applyFont="1" applyFill="1" applyBorder="1" applyAlignment="1">
      <alignment horizontal="center" vertical="center"/>
    </xf>
    <xf numFmtId="0" fontId="36" fillId="4" borderId="33" xfId="7" applyFont="1" applyFill="1" applyBorder="1" applyAlignment="1">
      <alignment horizontal="center" vertical="center"/>
    </xf>
    <xf numFmtId="0" fontId="32" fillId="9" borderId="12" xfId="7" applyFont="1" applyFill="1" applyBorder="1" applyAlignment="1">
      <alignment horizontal="center" vertical="center" textRotation="255"/>
    </xf>
    <xf numFmtId="0" fontId="32" fillId="9" borderId="19" xfId="7" applyFont="1" applyFill="1" applyBorder="1" applyAlignment="1">
      <alignment horizontal="center" vertical="center" textRotation="255"/>
    </xf>
    <xf numFmtId="0" fontId="38" fillId="4" borderId="44" xfId="7" applyFont="1" applyFill="1" applyBorder="1" applyAlignment="1">
      <alignment horizontal="center" vertical="center"/>
    </xf>
    <xf numFmtId="0" fontId="38" fillId="4" borderId="30" xfId="7" applyFont="1" applyFill="1" applyBorder="1" applyAlignment="1">
      <alignment horizontal="center" vertical="center"/>
    </xf>
    <xf numFmtId="0" fontId="38" fillId="4" borderId="13" xfId="7" applyFont="1" applyFill="1" applyBorder="1" applyAlignment="1">
      <alignment horizontal="center" vertical="center"/>
    </xf>
    <xf numFmtId="2" fontId="19" fillId="0" borderId="16" xfId="16" applyNumberFormat="1" applyFont="1" applyBorder="1" applyAlignment="1">
      <alignment horizontal="center" vertical="center"/>
    </xf>
    <xf numFmtId="2" fontId="19" fillId="0" borderId="17" xfId="16" applyNumberFormat="1" applyFont="1" applyBorder="1" applyAlignment="1">
      <alignment horizontal="center" vertical="center"/>
    </xf>
    <xf numFmtId="0" fontId="0" fillId="0" borderId="42" xfId="15" applyFont="1" applyBorder="1" applyAlignment="1">
      <alignment horizontal="center" vertical="center"/>
    </xf>
    <xf numFmtId="0" fontId="0" fillId="0" borderId="11" xfId="15" applyFont="1" applyBorder="1" applyAlignment="1">
      <alignment horizontal="center" vertical="top" wrapText="1"/>
    </xf>
    <xf numFmtId="2" fontId="0" fillId="0" borderId="16" xfId="15" applyNumberFormat="1" applyFont="1" applyBorder="1" applyAlignment="1">
      <alignment horizontal="center" vertical="center"/>
    </xf>
    <xf numFmtId="2" fontId="0" fillId="0" borderId="17" xfId="15" applyNumberFormat="1" applyFont="1" applyBorder="1" applyAlignment="1">
      <alignment horizontal="center" vertical="center"/>
    </xf>
    <xf numFmtId="0" fontId="23" fillId="0" borderId="19" xfId="15" applyFont="1" applyBorder="1" applyAlignment="1">
      <alignment horizontal="center" vertical="top" wrapText="1"/>
    </xf>
    <xf numFmtId="0" fontId="23" fillId="0" borderId="35" xfId="15" applyFont="1" applyBorder="1" applyAlignment="1">
      <alignment horizontal="center" vertical="top" wrapText="1"/>
    </xf>
    <xf numFmtId="0" fontId="0" fillId="3" borderId="41" xfId="15" applyFont="1" applyFill="1" applyBorder="1" applyAlignment="1">
      <alignment horizontal="center" vertical="top" wrapText="1"/>
    </xf>
    <xf numFmtId="0" fontId="23" fillId="3" borderId="41" xfId="15" applyFont="1" applyFill="1" applyBorder="1" applyAlignment="1">
      <alignment horizontal="center" vertical="top" wrapText="1"/>
    </xf>
    <xf numFmtId="0" fontId="0" fillId="0" borderId="19" xfId="15" applyFont="1" applyBorder="1" applyAlignment="1">
      <alignment horizontal="center" vertical="top" wrapText="1"/>
    </xf>
    <xf numFmtId="0" fontId="0" fillId="0" borderId="35" xfId="15" applyFont="1" applyBorder="1" applyAlignment="1">
      <alignment horizontal="center" vertical="top" wrapText="1"/>
    </xf>
    <xf numFmtId="0" fontId="0" fillId="0" borderId="19" xfId="15" applyFont="1" applyBorder="1" applyAlignment="1">
      <alignment horizontal="center" vertical="top"/>
    </xf>
    <xf numFmtId="0" fontId="0" fillId="0" borderId="35" xfId="15" applyFont="1" applyBorder="1" applyAlignment="1">
      <alignment horizontal="center" vertical="top"/>
    </xf>
    <xf numFmtId="0" fontId="23" fillId="3" borderId="19" xfId="15" applyFont="1" applyFill="1" applyBorder="1" applyAlignment="1">
      <alignment horizontal="center" vertical="top" wrapText="1"/>
    </xf>
    <xf numFmtId="0" fontId="23" fillId="3" borderId="35" xfId="15" applyFont="1" applyFill="1" applyBorder="1" applyAlignment="1">
      <alignment horizontal="center" vertical="top" wrapText="1"/>
    </xf>
    <xf numFmtId="0" fontId="44" fillId="0" borderId="12" xfId="15" applyFont="1" applyBorder="1" applyAlignment="1">
      <alignment horizontal="center"/>
    </xf>
    <xf numFmtId="0" fontId="44" fillId="0" borderId="30" xfId="15" applyFont="1" applyBorder="1" applyAlignment="1">
      <alignment horizontal="center"/>
    </xf>
    <xf numFmtId="2" fontId="44" fillId="0" borderId="19" xfId="15" applyNumberFormat="1" applyFont="1" applyBorder="1" applyAlignment="1">
      <alignment horizontal="center" vertical="top"/>
    </xf>
    <xf numFmtId="2" fontId="44" fillId="0" borderId="35" xfId="15" applyNumberFormat="1" applyFont="1" applyBorder="1" applyAlignment="1">
      <alignment horizontal="center" vertical="top"/>
    </xf>
    <xf numFmtId="2" fontId="0" fillId="0" borderId="19" xfId="15" applyNumberFormat="1" applyFont="1" applyBorder="1" applyAlignment="1">
      <alignment horizontal="center" vertical="top"/>
    </xf>
    <xf numFmtId="2" fontId="0" fillId="0" borderId="35" xfId="15" applyNumberFormat="1" applyFont="1" applyBorder="1" applyAlignment="1">
      <alignment horizontal="center" vertical="top"/>
    </xf>
    <xf numFmtId="0" fontId="19" fillId="13" borderId="16" xfId="15" applyFont="1" applyFill="1" applyBorder="1" applyAlignment="1">
      <alignment horizontal="center" vertical="top"/>
    </xf>
    <xf numFmtId="0" fontId="19" fillId="13" borderId="17" xfId="15" applyFont="1" applyFill="1" applyBorder="1" applyAlignment="1">
      <alignment horizontal="center" vertical="top"/>
    </xf>
    <xf numFmtId="0" fontId="19" fillId="13" borderId="11" xfId="15" applyFont="1" applyFill="1" applyBorder="1" applyAlignment="1">
      <alignment horizontal="center" vertical="top" wrapText="1"/>
    </xf>
    <xf numFmtId="0" fontId="0" fillId="3" borderId="16" xfId="15" applyFont="1" applyFill="1" applyBorder="1" applyAlignment="1">
      <alignment horizontal="center" vertical="top"/>
    </xf>
    <xf numFmtId="0" fontId="0" fillId="3" borderId="17" xfId="15" applyFont="1" applyFill="1" applyBorder="1" applyAlignment="1">
      <alignment horizontal="center" vertical="top"/>
    </xf>
    <xf numFmtId="0" fontId="0" fillId="0" borderId="11" xfId="15" applyFont="1" applyBorder="1" applyAlignment="1">
      <alignment horizontal="center" wrapText="1"/>
    </xf>
    <xf numFmtId="173" fontId="0" fillId="0" borderId="16" xfId="15" applyNumberFormat="1" applyFont="1" applyBorder="1" applyAlignment="1">
      <alignment horizontal="center" vertical="top" wrapText="1"/>
    </xf>
    <xf numFmtId="173" fontId="0" fillId="0" borderId="17" xfId="15" applyNumberFormat="1" applyFont="1" applyBorder="1" applyAlignment="1">
      <alignment horizontal="center" vertical="top" wrapText="1"/>
    </xf>
    <xf numFmtId="0" fontId="44" fillId="0" borderId="19" xfId="15" applyFont="1" applyBorder="1" applyAlignment="1">
      <alignment horizontal="center" vertical="top"/>
    </xf>
    <xf numFmtId="0" fontId="44" fillId="0" borderId="35" xfId="15" applyFont="1" applyBorder="1" applyAlignment="1">
      <alignment horizontal="center" vertical="top"/>
    </xf>
    <xf numFmtId="0" fontId="0" fillId="0" borderId="12" xfId="15" applyFont="1" applyBorder="1" applyAlignment="1">
      <alignment horizontal="center" wrapText="1"/>
    </xf>
    <xf numFmtId="0" fontId="0" fillId="0" borderId="13" xfId="15" applyFont="1" applyBorder="1" applyAlignment="1">
      <alignment horizontal="center" wrapText="1"/>
    </xf>
    <xf numFmtId="2" fontId="0" fillId="0" borderId="14" xfId="15" applyNumberFormat="1" applyFont="1" applyBorder="1" applyAlignment="1">
      <alignment horizontal="center" vertical="top"/>
    </xf>
    <xf numFmtId="0" fontId="0" fillId="0" borderId="15" xfId="15" applyFont="1" applyBorder="1" applyAlignment="1">
      <alignment horizontal="center" vertical="top"/>
    </xf>
    <xf numFmtId="0" fontId="0" fillId="0" borderId="41" xfId="15" applyFont="1" applyBorder="1" applyAlignment="1">
      <alignment horizontal="center" vertical="top" wrapText="1"/>
    </xf>
    <xf numFmtId="0" fontId="23" fillId="0" borderId="42" xfId="15" applyFont="1" applyBorder="1" applyAlignment="1">
      <alignment horizontal="center" vertical="top" wrapText="1"/>
    </xf>
    <xf numFmtId="173" fontId="23" fillId="0" borderId="19" xfId="15" applyNumberFormat="1" applyFont="1" applyBorder="1" applyAlignment="1">
      <alignment horizontal="center" vertical="top"/>
    </xf>
    <xf numFmtId="173" fontId="23" fillId="0" borderId="35" xfId="15" applyNumberFormat="1" applyFont="1" applyBorder="1" applyAlignment="1">
      <alignment horizontal="center" vertical="top"/>
    </xf>
    <xf numFmtId="2" fontId="23" fillId="0" borderId="41" xfId="15" applyNumberFormat="1" applyFont="1" applyBorder="1" applyAlignment="1">
      <alignment horizontal="center" vertical="top" wrapText="1"/>
    </xf>
    <xf numFmtId="0" fontId="23" fillId="0" borderId="41" xfId="15" applyFont="1" applyBorder="1" applyAlignment="1">
      <alignment horizontal="center" vertical="top"/>
    </xf>
    <xf numFmtId="0" fontId="23" fillId="0" borderId="15" xfId="15" applyFont="1" applyBorder="1" applyAlignment="1">
      <alignment horizontal="center" vertical="top"/>
    </xf>
    <xf numFmtId="0" fontId="19" fillId="0" borderId="12" xfId="15" applyFont="1" applyBorder="1" applyAlignment="1">
      <alignment horizontal="center" vertical="center"/>
    </xf>
    <xf numFmtId="0" fontId="19" fillId="0" borderId="30" xfId="15" applyFont="1" applyBorder="1" applyAlignment="1">
      <alignment horizontal="center" vertical="center"/>
    </xf>
    <xf numFmtId="0" fontId="19" fillId="0" borderId="13" xfId="15" applyFont="1" applyBorder="1" applyAlignment="1">
      <alignment horizontal="center" vertical="center"/>
    </xf>
    <xf numFmtId="166" fontId="19" fillId="0" borderId="20" xfId="15" applyNumberFormat="1" applyFont="1" applyBorder="1" applyAlignment="1">
      <alignment horizontal="center" vertical="center"/>
    </xf>
    <xf numFmtId="166" fontId="19" fillId="0" borderId="41" xfId="15" applyNumberFormat="1" applyFont="1" applyBorder="1" applyAlignment="1">
      <alignment horizontal="center" vertical="center"/>
    </xf>
    <xf numFmtId="166" fontId="19" fillId="0" borderId="42" xfId="15" applyNumberFormat="1" applyFont="1" applyBorder="1" applyAlignment="1">
      <alignment horizontal="center" vertical="center"/>
    </xf>
    <xf numFmtId="0" fontId="19" fillId="0" borderId="20" xfId="15" applyFont="1" applyBorder="1" applyAlignment="1">
      <alignment horizontal="center" vertical="center"/>
    </xf>
    <xf numFmtId="0" fontId="19" fillId="0" borderId="41" xfId="15" applyFont="1" applyBorder="1" applyAlignment="1">
      <alignment horizontal="center" vertical="center"/>
    </xf>
    <xf numFmtId="0" fontId="19" fillId="0" borderId="42" xfId="15" applyFont="1" applyBorder="1" applyAlignment="1">
      <alignment horizontal="center" vertical="center"/>
    </xf>
    <xf numFmtId="166" fontId="0" fillId="0" borderId="11" xfId="15" applyNumberFormat="1" applyFont="1" applyBorder="1" applyAlignment="1">
      <alignment horizontal="center" vertical="center"/>
    </xf>
    <xf numFmtId="0" fontId="0" fillId="0" borderId="11" xfId="15" applyFont="1" applyBorder="1" applyAlignment="1">
      <alignment horizontal="center" vertical="center"/>
    </xf>
    <xf numFmtId="0" fontId="0" fillId="0" borderId="41" xfId="15" applyFont="1" applyBorder="1" applyAlignment="1">
      <alignment horizontal="left" vertical="center"/>
    </xf>
    <xf numFmtId="0" fontId="0" fillId="0" borderId="41" xfId="15" applyFont="1" applyBorder="1" applyAlignment="1">
      <alignment horizontal="left"/>
    </xf>
    <xf numFmtId="0" fontId="19" fillId="11" borderId="11" xfId="15" applyFont="1" applyFill="1" applyBorder="1" applyAlignment="1">
      <alignment horizontal="left" vertical="center"/>
    </xf>
    <xf numFmtId="0" fontId="0" fillId="11" borderId="11" xfId="15" applyFont="1" applyFill="1" applyBorder="1" applyAlignment="1">
      <alignment horizontal="left"/>
    </xf>
    <xf numFmtId="0" fontId="0" fillId="0" borderId="16" xfId="15" applyFont="1" applyBorder="1" applyAlignment="1">
      <alignment horizontal="center" wrapText="1"/>
    </xf>
    <xf numFmtId="0" fontId="0" fillId="0" borderId="17" xfId="15" applyFont="1" applyBorder="1" applyAlignment="1">
      <alignment horizontal="center" wrapText="1"/>
    </xf>
    <xf numFmtId="0" fontId="0" fillId="0" borderId="11" xfId="15" applyFont="1" applyBorder="1" applyAlignment="1">
      <alignment horizontal="center"/>
    </xf>
    <xf numFmtId="0" fontId="0" fillId="0" borderId="12" xfId="15" applyFont="1" applyBorder="1" applyAlignment="1">
      <alignment horizontal="center" vertical="center"/>
    </xf>
    <xf numFmtId="0" fontId="0" fillId="0" borderId="30" xfId="15" applyFont="1" applyBorder="1" applyAlignment="1">
      <alignment horizontal="center" vertical="center"/>
    </xf>
    <xf numFmtId="0" fontId="0" fillId="0" borderId="13" xfId="15" applyFont="1" applyBorder="1" applyAlignment="1">
      <alignment horizontal="center" vertical="center"/>
    </xf>
    <xf numFmtId="0" fontId="42" fillId="0" borderId="0" xfId="15" applyFont="1" applyAlignment="1">
      <alignment horizontal="center" vertical="top" wrapText="1"/>
    </xf>
    <xf numFmtId="0" fontId="42" fillId="0" borderId="0" xfId="15" applyFont="1" applyAlignment="1">
      <alignment horizontal="center" vertical="top"/>
    </xf>
    <xf numFmtId="0" fontId="19" fillId="0" borderId="0" xfId="15" applyFont="1" applyAlignment="1">
      <alignment horizontal="center" vertical="top" wrapText="1"/>
    </xf>
    <xf numFmtId="0" fontId="19" fillId="0" borderId="20" xfId="15" applyFont="1" applyBorder="1" applyAlignment="1">
      <alignment horizontal="center" vertical="top"/>
    </xf>
    <xf numFmtId="0" fontId="19" fillId="0" borderId="41" xfId="15" applyFont="1" applyBorder="1" applyAlignment="1">
      <alignment horizontal="center" vertical="top"/>
    </xf>
    <xf numFmtId="0" fontId="19" fillId="0" borderId="11" xfId="15" applyFont="1" applyBorder="1" applyAlignment="1">
      <alignment horizontal="center" vertical="center"/>
    </xf>
    <xf numFmtId="0" fontId="0" fillId="0" borderId="16" xfId="15" applyFont="1" applyBorder="1" applyAlignment="1">
      <alignment horizontal="center" vertical="center"/>
    </xf>
    <xf numFmtId="0" fontId="0" fillId="0" borderId="18" xfId="15" applyFont="1" applyBorder="1" applyAlignment="1">
      <alignment horizontal="center" vertical="center"/>
    </xf>
    <xf numFmtId="0" fontId="0" fillId="0" borderId="17" xfId="15" applyFont="1" applyBorder="1" applyAlignment="1">
      <alignment horizontal="center" vertic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3" fillId="0" borderId="55" xfId="0" applyFont="1" applyBorder="1" applyAlignment="1">
      <alignment horizontal="right"/>
    </xf>
    <xf numFmtId="0" fontId="3" fillId="0" borderId="32" xfId="0" applyFont="1" applyBorder="1" applyAlignment="1">
      <alignment horizontal="right"/>
    </xf>
    <xf numFmtId="0" fontId="3" fillId="0" borderId="40" xfId="0" applyFont="1" applyBorder="1" applyAlignment="1">
      <alignment horizontal="right"/>
    </xf>
    <xf numFmtId="0" fontId="19" fillId="0" borderId="0" xfId="13" applyFont="1" applyAlignment="1">
      <alignment horizontal="right"/>
    </xf>
    <xf numFmtId="175" fontId="19" fillId="0" borderId="0" xfId="13" applyNumberFormat="1" applyFont="1" applyAlignment="1">
      <alignment horizontal="center" wrapText="1"/>
    </xf>
    <xf numFmtId="0" fontId="0" fillId="0" borderId="11" xfId="13" applyFont="1" applyBorder="1" applyAlignment="1">
      <alignment horizontal="center" vertical="center"/>
    </xf>
    <xf numFmtId="175" fontId="19" fillId="0" borderId="0" xfId="13" applyNumberFormat="1" applyFont="1" applyAlignment="1">
      <alignment horizontal="left" vertical="center" wrapText="1"/>
    </xf>
    <xf numFmtId="0" fontId="0" fillId="0" borderId="20" xfId="13" applyFont="1" applyBorder="1" applyAlignment="1">
      <alignment horizontal="center" vertical="center"/>
    </xf>
    <xf numFmtId="0" fontId="0" fillId="0" borderId="42" xfId="13" applyFont="1" applyBorder="1" applyAlignment="1">
      <alignment horizontal="center" vertical="center"/>
    </xf>
    <xf numFmtId="0" fontId="19" fillId="0" borderId="0" xfId="13" applyFont="1" applyAlignment="1">
      <alignment horizontal="center"/>
    </xf>
    <xf numFmtId="0" fontId="18" fillId="0" borderId="11" xfId="19" applyBorder="1" applyAlignment="1">
      <alignment horizontal="center" vertical="center" wrapText="1"/>
    </xf>
    <xf numFmtId="0" fontId="19" fillId="0" borderId="11" xfId="19" applyFont="1" applyBorder="1" applyAlignment="1">
      <alignment horizontal="center" vertical="top" wrapText="1"/>
    </xf>
    <xf numFmtId="0" fontId="19" fillId="0" borderId="11" xfId="20" applyFont="1" applyBorder="1" applyAlignment="1">
      <alignment horizontal="right" vertical="center" wrapText="1"/>
    </xf>
    <xf numFmtId="0" fontId="19" fillId="0" borderId="0" xfId="19" applyFont="1" applyAlignment="1">
      <alignment horizontal="center" vertical="top"/>
    </xf>
    <xf numFmtId="0" fontId="47" fillId="0" borderId="0" xfId="20" applyFont="1" applyAlignment="1">
      <alignment horizontal="center" vertical="top"/>
    </xf>
    <xf numFmtId="0" fontId="47" fillId="0" borderId="0" xfId="20" quotePrefix="1" applyFont="1" applyAlignment="1">
      <alignment horizontal="center" vertical="center"/>
    </xf>
    <xf numFmtId="0" fontId="47" fillId="0" borderId="0" xfId="20" applyFont="1" applyAlignment="1">
      <alignment horizontal="center" vertical="center"/>
    </xf>
    <xf numFmtId="166" fontId="26" fillId="0" borderId="11" xfId="19" applyNumberFormat="1" applyFont="1" applyBorder="1" applyAlignment="1">
      <alignment horizontal="center" vertical="center"/>
    </xf>
    <xf numFmtId="2" fontId="26" fillId="0" borderId="11" xfId="19" applyNumberFormat="1" applyFont="1" applyBorder="1" applyAlignment="1">
      <alignment horizontal="center" vertical="center"/>
    </xf>
    <xf numFmtId="2" fontId="61" fillId="0" borderId="11" xfId="19" applyNumberFormat="1" applyFont="1" applyBorder="1" applyAlignment="1">
      <alignment horizontal="center" vertical="center"/>
    </xf>
    <xf numFmtId="2" fontId="59" fillId="0" borderId="16" xfId="19" applyNumberFormat="1" applyFont="1" applyBorder="1" applyAlignment="1">
      <alignment horizontal="center" vertical="center"/>
    </xf>
    <xf numFmtId="2" fontId="59" fillId="0" borderId="18" xfId="19" applyNumberFormat="1" applyFont="1" applyBorder="1" applyAlignment="1">
      <alignment horizontal="center" vertical="center"/>
    </xf>
    <xf numFmtId="2" fontId="59" fillId="0" borderId="17" xfId="19" applyNumberFormat="1" applyFont="1" applyBorder="1" applyAlignment="1">
      <alignment horizontal="center" vertical="center"/>
    </xf>
    <xf numFmtId="166" fontId="26" fillId="0" borderId="16" xfId="19" applyNumberFormat="1" applyFont="1" applyBorder="1" applyAlignment="1">
      <alignment horizontal="center" vertical="center"/>
    </xf>
    <xf numFmtId="166" fontId="26" fillId="0" borderId="17" xfId="19" applyNumberFormat="1" applyFont="1" applyBorder="1" applyAlignment="1">
      <alignment horizontal="center" vertical="center"/>
    </xf>
    <xf numFmtId="0" fontId="26" fillId="0" borderId="16" xfId="19" applyFont="1" applyBorder="1" applyAlignment="1">
      <alignment horizontal="center" vertical="center"/>
    </xf>
    <xf numFmtId="0" fontId="26" fillId="0" borderId="17" xfId="19" applyFont="1" applyBorder="1" applyAlignment="1">
      <alignment horizontal="center" vertical="center"/>
    </xf>
    <xf numFmtId="2" fontId="61" fillId="0" borderId="16" xfId="19" applyNumberFormat="1" applyFont="1" applyBorder="1" applyAlignment="1">
      <alignment horizontal="center" vertical="center"/>
    </xf>
    <xf numFmtId="2" fontId="61" fillId="0" borderId="17" xfId="19" applyNumberFormat="1" applyFont="1" applyBorder="1" applyAlignment="1">
      <alignment horizontal="center" vertical="center"/>
    </xf>
    <xf numFmtId="0" fontId="26" fillId="0" borderId="11" xfId="19" applyFont="1" applyBorder="1" applyAlignment="1">
      <alignment horizontal="center" vertical="center"/>
    </xf>
    <xf numFmtId="2" fontId="26" fillId="0" borderId="16" xfId="19" applyNumberFormat="1" applyFont="1" applyBorder="1" applyAlignment="1">
      <alignment horizontal="center" vertical="center"/>
    </xf>
    <xf numFmtId="2" fontId="26" fillId="0" borderId="17" xfId="19" applyNumberFormat="1" applyFont="1" applyBorder="1" applyAlignment="1">
      <alignment horizontal="center" vertical="center"/>
    </xf>
    <xf numFmtId="0" fontId="59" fillId="0" borderId="16" xfId="22" applyFont="1" applyBorder="1" applyAlignment="1">
      <alignment horizontal="right" vertical="center" wrapText="1"/>
    </xf>
    <xf numFmtId="0" fontId="59" fillId="0" borderId="18" xfId="22" applyFont="1" applyBorder="1" applyAlignment="1">
      <alignment horizontal="right" vertical="center" wrapText="1"/>
    </xf>
    <xf numFmtId="0" fontId="59" fillId="0" borderId="17" xfId="22" applyFont="1" applyBorder="1" applyAlignment="1">
      <alignment horizontal="right" vertical="center" wrapText="1"/>
    </xf>
    <xf numFmtId="0" fontId="60" fillId="0" borderId="0" xfId="22" applyFont="1" applyAlignment="1">
      <alignment horizontal="center" wrapText="1"/>
    </xf>
    <xf numFmtId="0" fontId="59" fillId="0" borderId="11" xfId="19" applyFont="1" applyBorder="1" applyAlignment="1">
      <alignment horizontal="center" vertical="center"/>
    </xf>
    <xf numFmtId="0" fontId="26" fillId="0" borderId="11" xfId="19" applyFont="1" applyBorder="1"/>
    <xf numFmtId="0" fontId="59" fillId="0" borderId="16" xfId="19" applyFont="1" applyBorder="1" applyAlignment="1">
      <alignment horizontal="center" vertical="center" wrapText="1"/>
    </xf>
    <xf numFmtId="0" fontId="59" fillId="0" borderId="17" xfId="19" applyFont="1" applyBorder="1" applyAlignment="1">
      <alignment horizontal="center" vertical="center" wrapText="1"/>
    </xf>
    <xf numFmtId="166" fontId="26" fillId="0" borderId="11" xfId="19" applyNumberFormat="1" applyFont="1" applyBorder="1" applyAlignment="1">
      <alignment vertical="center"/>
    </xf>
    <xf numFmtId="2" fontId="26" fillId="0" borderId="12" xfId="19" applyNumberFormat="1" applyFont="1" applyBorder="1" applyAlignment="1">
      <alignment horizontal="center" vertical="center"/>
    </xf>
    <xf numFmtId="2" fontId="26" fillId="0" borderId="13" xfId="19" applyNumberFormat="1" applyFont="1" applyBorder="1" applyAlignment="1">
      <alignment horizontal="center" vertical="center"/>
    </xf>
    <xf numFmtId="2" fontId="26" fillId="0" borderId="18" xfId="19" applyNumberFormat="1" applyFont="1" applyBorder="1" applyAlignment="1">
      <alignment horizontal="center" vertical="center"/>
    </xf>
    <xf numFmtId="0" fontId="59" fillId="0" borderId="20" xfId="22" applyFont="1" applyBorder="1" applyAlignment="1">
      <alignment horizontal="center" vertical="center" wrapText="1"/>
    </xf>
    <xf numFmtId="0" fontId="59" fillId="0" borderId="42" xfId="22" applyFont="1" applyBorder="1" applyAlignment="1">
      <alignment horizontal="center" vertical="center" wrapText="1"/>
    </xf>
    <xf numFmtId="0" fontId="59" fillId="0" borderId="20" xfId="22" applyFont="1" applyBorder="1" applyAlignment="1">
      <alignment horizontal="center" vertical="center"/>
    </xf>
    <xf numFmtId="0" fontId="59" fillId="0" borderId="42" xfId="22" applyFont="1" applyBorder="1" applyAlignment="1">
      <alignment horizontal="center" vertical="center"/>
    </xf>
    <xf numFmtId="0" fontId="59" fillId="0" borderId="16" xfId="22" applyFont="1" applyBorder="1" applyAlignment="1">
      <alignment horizontal="center" vertical="center" wrapText="1"/>
    </xf>
    <xf numFmtId="0" fontId="59" fillId="0" borderId="18" xfId="22" applyFont="1" applyBorder="1" applyAlignment="1">
      <alignment horizontal="center" vertical="center" wrapText="1"/>
    </xf>
    <xf numFmtId="0" fontId="55" fillId="0" borderId="0" xfId="19" applyFont="1" applyAlignment="1">
      <alignment horizontal="center" vertical="top"/>
    </xf>
    <xf numFmtId="2" fontId="56" fillId="0" borderId="0" xfId="19" applyNumberFormat="1" applyFont="1" applyAlignment="1">
      <alignment horizontal="center" vertical="top"/>
    </xf>
    <xf numFmtId="0" fontId="58" fillId="0" borderId="0" xfId="22" applyFont="1" applyAlignment="1">
      <alignment horizontal="center" wrapText="1"/>
    </xf>
    <xf numFmtId="0" fontId="59" fillId="0" borderId="10" xfId="22" applyFont="1" applyBorder="1" applyAlignment="1">
      <alignment horizontal="center" wrapText="1"/>
    </xf>
    <xf numFmtId="2" fontId="63" fillId="0" borderId="0" xfId="19" applyNumberFormat="1" applyFont="1" applyAlignment="1">
      <alignment horizontal="center" vertical="top" wrapText="1"/>
    </xf>
    <xf numFmtId="0" fontId="63" fillId="0" borderId="0" xfId="19" applyFont="1" applyAlignment="1">
      <alignment horizontal="center" vertical="top" wrapText="1"/>
    </xf>
    <xf numFmtId="0" fontId="64" fillId="0" borderId="69" xfId="19" applyFont="1" applyBorder="1" applyAlignment="1">
      <alignment horizontal="center"/>
    </xf>
    <xf numFmtId="183" fontId="55" fillId="0" borderId="0" xfId="19" applyNumberFormat="1" applyFont="1" applyAlignment="1">
      <alignment horizontal="left" vertical="center" wrapText="1"/>
    </xf>
    <xf numFmtId="0" fontId="68" fillId="0" borderId="0" xfId="19" applyFont="1" applyAlignment="1">
      <alignment horizontal="left"/>
    </xf>
    <xf numFmtId="2" fontId="68" fillId="0" borderId="0" xfId="19" applyNumberFormat="1" applyFont="1" applyAlignment="1">
      <alignment horizontal="center" vertical="center"/>
    </xf>
    <xf numFmtId="167" fontId="55" fillId="0" borderId="0" xfId="24" applyNumberFormat="1" applyFont="1" applyAlignment="1">
      <alignment horizontal="center" vertical="center" wrapText="1"/>
    </xf>
    <xf numFmtId="0" fontId="55" fillId="0" borderId="0" xfId="19" applyFont="1" applyAlignment="1">
      <alignment horizontal="center"/>
    </xf>
    <xf numFmtId="49" fontId="64" fillId="0" borderId="3" xfId="19" applyNumberFormat="1" applyFont="1" applyBorder="1" applyAlignment="1">
      <alignment horizontal="center" vertical="center" wrapText="1"/>
    </xf>
    <xf numFmtId="49" fontId="64" fillId="0" borderId="0" xfId="19" applyNumberFormat="1" applyFont="1" applyAlignment="1">
      <alignment horizontal="center" vertical="center" wrapText="1"/>
    </xf>
    <xf numFmtId="49" fontId="64" fillId="0" borderId="8" xfId="19" applyNumberFormat="1" applyFont="1" applyBorder="1" applyAlignment="1">
      <alignment horizontal="center" vertical="center" wrapText="1"/>
    </xf>
    <xf numFmtId="49" fontId="42" fillId="0" borderId="16" xfId="19" applyNumberFormat="1" applyFont="1" applyBorder="1" applyAlignment="1">
      <alignment horizontal="center" vertical="center" wrapText="1"/>
    </xf>
    <xf numFmtId="49" fontId="42" fillId="0" borderId="18" xfId="19" applyNumberFormat="1" applyFont="1" applyBorder="1" applyAlignment="1">
      <alignment horizontal="center" vertical="center" wrapText="1"/>
    </xf>
    <xf numFmtId="49" fontId="42" fillId="0" borderId="17" xfId="19" applyNumberFormat="1" applyFont="1" applyBorder="1" applyAlignment="1">
      <alignment horizontal="center" vertical="center" wrapText="1"/>
    </xf>
    <xf numFmtId="49" fontId="64" fillId="0" borderId="62" xfId="19" applyNumberFormat="1" applyFont="1" applyBorder="1" applyAlignment="1">
      <alignment horizontal="center" vertical="center" wrapText="1"/>
    </xf>
    <xf numFmtId="49" fontId="64" fillId="0" borderId="35" xfId="19" applyNumberFormat="1" applyFont="1" applyBorder="1" applyAlignment="1">
      <alignment horizontal="center" vertical="center" wrapText="1"/>
    </xf>
    <xf numFmtId="49" fontId="64" fillId="0" borderId="67" xfId="19" applyNumberFormat="1" applyFont="1" applyBorder="1" applyAlignment="1">
      <alignment horizontal="center" vertical="center" wrapText="1"/>
    </xf>
    <xf numFmtId="49" fontId="42" fillId="0" borderId="63" xfId="19" applyNumberFormat="1" applyFont="1" applyBorder="1" applyAlignment="1">
      <alignment horizontal="center" vertical="top" wrapText="1"/>
    </xf>
    <xf numFmtId="49" fontId="42" fillId="0" borderId="64" xfId="19" applyNumberFormat="1" applyFont="1" applyBorder="1" applyAlignment="1">
      <alignment horizontal="center" vertical="top" wrapText="1"/>
    </xf>
    <xf numFmtId="49" fontId="42" fillId="0" borderId="66" xfId="19" applyNumberFormat="1" applyFont="1" applyBorder="1" applyAlignment="1">
      <alignment horizontal="center" vertical="top" wrapText="1"/>
    </xf>
    <xf numFmtId="2" fontId="31" fillId="0" borderId="0" xfId="19" applyNumberFormat="1" applyFont="1" applyAlignment="1">
      <alignment horizontal="center" vertical="center"/>
    </xf>
    <xf numFmtId="2" fontId="42" fillId="0" borderId="11" xfId="19" applyNumberFormat="1" applyFont="1" applyBorder="1" applyAlignment="1">
      <alignment horizontal="center" vertical="center"/>
    </xf>
    <xf numFmtId="49" fontId="64" fillId="0" borderId="60" xfId="19" applyNumberFormat="1" applyFont="1" applyBorder="1" applyAlignment="1">
      <alignment horizontal="center" vertical="center" wrapText="1"/>
    </xf>
    <xf numFmtId="49" fontId="64" fillId="0" borderId="41" xfId="19" applyNumberFormat="1" applyFont="1" applyBorder="1" applyAlignment="1">
      <alignment horizontal="center" vertical="center" wrapText="1"/>
    </xf>
    <xf numFmtId="49" fontId="64" fillId="0" borderId="65" xfId="19" applyNumberFormat="1" applyFont="1" applyBorder="1" applyAlignment="1">
      <alignment horizontal="center" vertical="center" wrapText="1"/>
    </xf>
    <xf numFmtId="49" fontId="64" fillId="0" borderId="61" xfId="19" applyNumberFormat="1" applyFont="1" applyBorder="1" applyAlignment="1">
      <alignment horizontal="center" vertical="center" wrapText="1"/>
    </xf>
    <xf numFmtId="49" fontId="64" fillId="0" borderId="19" xfId="19" applyNumberFormat="1" applyFont="1" applyBorder="1" applyAlignment="1">
      <alignment horizontal="center" vertical="center" wrapText="1"/>
    </xf>
    <xf numFmtId="49" fontId="64" fillId="0" borderId="58" xfId="19" applyNumberFormat="1" applyFont="1" applyBorder="1" applyAlignment="1">
      <alignment horizontal="center" vertical="center" wrapText="1"/>
    </xf>
    <xf numFmtId="49" fontId="42" fillId="0" borderId="24" xfId="19" applyNumberFormat="1" applyFont="1" applyBorder="1" applyAlignment="1">
      <alignment horizontal="center" vertical="top" wrapText="1"/>
    </xf>
    <xf numFmtId="49" fontId="42" fillId="0" borderId="28" xfId="19" applyNumberFormat="1" applyFont="1" applyBorder="1" applyAlignment="1">
      <alignment horizontal="center" vertical="top" wrapText="1"/>
    </xf>
    <xf numFmtId="2" fontId="42" fillId="0" borderId="46" xfId="19" applyNumberFormat="1" applyFont="1" applyBorder="1" applyAlignment="1">
      <alignment horizontal="center" vertical="center"/>
    </xf>
    <xf numFmtId="2" fontId="42" fillId="0" borderId="47" xfId="19" applyNumberFormat="1" applyFont="1" applyBorder="1" applyAlignment="1">
      <alignment horizontal="center" vertical="center"/>
    </xf>
    <xf numFmtId="2" fontId="42" fillId="0" borderId="73" xfId="19" applyNumberFormat="1" applyFont="1" applyBorder="1" applyAlignment="1">
      <alignment horizontal="center" vertical="center"/>
    </xf>
    <xf numFmtId="0" fontId="62" fillId="0" borderId="0" xfId="19" applyFont="1" applyAlignment="1">
      <alignment horizontal="center"/>
    </xf>
    <xf numFmtId="2" fontId="64" fillId="0" borderId="0" xfId="19" applyNumberFormat="1" applyFont="1" applyAlignment="1">
      <alignment horizontal="left"/>
    </xf>
    <xf numFmtId="0" fontId="64" fillId="0" borderId="0" xfId="19" applyFont="1" applyAlignment="1">
      <alignment horizontal="left"/>
    </xf>
    <xf numFmtId="2" fontId="64" fillId="0" borderId="0" xfId="19" applyNumberFormat="1" applyFont="1" applyAlignment="1">
      <alignment horizontal="center"/>
    </xf>
    <xf numFmtId="2" fontId="42" fillId="0" borderId="12" xfId="19" applyNumberFormat="1" applyFont="1" applyBorder="1" applyAlignment="1">
      <alignment horizontal="center"/>
    </xf>
    <xf numFmtId="2" fontId="42" fillId="0" borderId="13" xfId="19" applyNumberFormat="1" applyFont="1" applyBorder="1" applyAlignment="1">
      <alignment horizontal="center"/>
    </xf>
    <xf numFmtId="2" fontId="42" fillId="0" borderId="19" xfId="19" applyNumberFormat="1" applyFont="1" applyBorder="1" applyAlignment="1">
      <alignment horizontal="center"/>
    </xf>
    <xf numFmtId="2" fontId="42" fillId="0" borderId="35" xfId="19" applyNumberFormat="1" applyFont="1" applyBorder="1" applyAlignment="1">
      <alignment horizontal="center"/>
    </xf>
    <xf numFmtId="2" fontId="42" fillId="0" borderId="14" xfId="19" applyNumberFormat="1" applyFont="1" applyBorder="1" applyAlignment="1">
      <alignment horizontal="center"/>
    </xf>
    <xf numFmtId="2" fontId="42" fillId="0" borderId="15" xfId="19" applyNumberFormat="1" applyFont="1" applyBorder="1" applyAlignment="1">
      <alignment horizontal="center"/>
    </xf>
    <xf numFmtId="0" fontId="42" fillId="0" borderId="12" xfId="19" applyFont="1" applyBorder="1" applyAlignment="1">
      <alignment horizontal="center" vertical="center"/>
    </xf>
    <xf numFmtId="0" fontId="42" fillId="0" borderId="30" xfId="19" applyFont="1" applyBorder="1" applyAlignment="1">
      <alignment horizontal="center" vertical="center"/>
    </xf>
    <xf numFmtId="0" fontId="42" fillId="0" borderId="58" xfId="19" applyFont="1" applyBorder="1" applyAlignment="1">
      <alignment horizontal="center" vertical="center"/>
    </xf>
    <xf numFmtId="0" fontId="42" fillId="0" borderId="8" xfId="19" applyFont="1" applyBorder="1" applyAlignment="1">
      <alignment horizontal="center" vertical="center"/>
    </xf>
    <xf numFmtId="0" fontId="42" fillId="0" borderId="11" xfId="19" applyFont="1" applyBorder="1" applyAlignment="1">
      <alignment horizontal="center" vertical="top" wrapText="1" shrinkToFit="1"/>
    </xf>
    <xf numFmtId="0" fontId="42" fillId="0" borderId="20" xfId="19" applyFont="1" applyBorder="1" applyAlignment="1">
      <alignment horizontal="center" vertical="top" wrapText="1" shrinkToFit="1"/>
    </xf>
    <xf numFmtId="189" fontId="56" fillId="0" borderId="69" xfId="19" applyNumberFormat="1" applyFont="1" applyBorder="1" applyAlignment="1">
      <alignment horizontal="center" vertical="center" wrapText="1"/>
    </xf>
    <xf numFmtId="189" fontId="56" fillId="0" borderId="13" xfId="19" applyNumberFormat="1" applyFont="1" applyBorder="1" applyAlignment="1">
      <alignment horizontal="center" vertical="center" wrapText="1"/>
    </xf>
    <xf numFmtId="190" fontId="56" fillId="0" borderId="0" xfId="19" applyNumberFormat="1" applyFont="1" applyAlignment="1">
      <alignment horizontal="left" vertical="center" wrapText="1"/>
    </xf>
    <xf numFmtId="2" fontId="70" fillId="0" borderId="0" xfId="19" applyNumberFormat="1" applyFont="1" applyAlignment="1">
      <alignment horizontal="center"/>
    </xf>
    <xf numFmtId="0" fontId="56" fillId="0" borderId="12" xfId="19" applyFont="1" applyBorder="1" applyAlignment="1">
      <alignment horizontal="center" vertical="center"/>
    </xf>
    <xf numFmtId="0" fontId="56" fillId="0" borderId="13" xfId="19" applyFont="1" applyBorder="1" applyAlignment="1">
      <alignment horizontal="center" vertical="center"/>
    </xf>
    <xf numFmtId="0" fontId="56" fillId="0" borderId="14" xfId="19" applyFont="1" applyBorder="1" applyAlignment="1">
      <alignment horizontal="center" vertical="center"/>
    </xf>
    <xf numFmtId="0" fontId="56" fillId="0" borderId="15" xfId="19" applyFont="1" applyBorder="1" applyAlignment="1">
      <alignment horizontal="center" vertical="center"/>
    </xf>
    <xf numFmtId="0" fontId="56" fillId="0" borderId="13" xfId="19" applyFont="1" applyBorder="1" applyAlignment="1">
      <alignment horizontal="center" wrapText="1"/>
    </xf>
    <xf numFmtId="0" fontId="56" fillId="0" borderId="15" xfId="19" applyFont="1" applyBorder="1" applyAlignment="1">
      <alignment horizontal="center" wrapText="1"/>
    </xf>
    <xf numFmtId="2" fontId="26" fillId="0" borderId="0" xfId="19" applyNumberFormat="1" applyFont="1" applyAlignment="1">
      <alignment horizontal="center" vertical="top"/>
    </xf>
    <xf numFmtId="2" fontId="58" fillId="0" borderId="0" xfId="19" applyNumberFormat="1" applyFont="1" applyAlignment="1">
      <alignment horizontal="center"/>
    </xf>
    <xf numFmtId="0" fontId="57" fillId="0" borderId="20" xfId="19" applyFont="1" applyBorder="1" applyAlignment="1">
      <alignment horizontal="center" vertical="top" wrapText="1"/>
    </xf>
    <xf numFmtId="0" fontId="57" fillId="0" borderId="41" xfId="19" applyFont="1" applyBorder="1" applyAlignment="1">
      <alignment horizontal="center" vertical="top" wrapText="1"/>
    </xf>
    <xf numFmtId="2" fontId="56" fillId="0" borderId="16" xfId="19" applyNumberFormat="1" applyFont="1" applyBorder="1" applyAlignment="1">
      <alignment horizontal="center" vertical="center" wrapText="1"/>
    </xf>
    <xf numFmtId="2" fontId="56" fillId="0" borderId="17" xfId="19" applyNumberFormat="1" applyFont="1" applyBorder="1" applyAlignment="1">
      <alignment horizontal="center" vertical="center" wrapText="1"/>
    </xf>
    <xf numFmtId="1" fontId="75" fillId="0" borderId="16" xfId="19" applyNumberFormat="1" applyFont="1" applyBorder="1" applyAlignment="1">
      <alignment horizontal="center" vertical="center" wrapText="1"/>
    </xf>
    <xf numFmtId="1" fontId="75" fillId="0" borderId="17" xfId="19" applyNumberFormat="1" applyFont="1" applyBorder="1" applyAlignment="1">
      <alignment horizontal="center" vertical="center" wrapText="1"/>
    </xf>
    <xf numFmtId="0" fontId="50" fillId="0" borderId="0" xfId="19" applyFont="1" applyAlignment="1">
      <alignment horizontal="center" vertical="center"/>
    </xf>
    <xf numFmtId="0" fontId="50" fillId="0" borderId="0" xfId="19" applyFont="1" applyAlignment="1">
      <alignment horizontal="center" vertical="top" wrapText="1"/>
    </xf>
    <xf numFmtId="2" fontId="50" fillId="0" borderId="0" xfId="19" applyNumberFormat="1" applyFont="1" applyAlignment="1">
      <alignment horizontal="center"/>
    </xf>
    <xf numFmtId="0" fontId="50" fillId="0" borderId="0" xfId="19" applyFont="1" applyAlignment="1">
      <alignment horizontal="left"/>
    </xf>
    <xf numFmtId="2" fontId="50" fillId="0" borderId="0" xfId="19" applyNumberFormat="1" applyFont="1" applyAlignment="1">
      <alignment horizontal="center" vertical="center"/>
    </xf>
    <xf numFmtId="2" fontId="50" fillId="0" borderId="8" xfId="19" applyNumberFormat="1" applyFont="1" applyBorder="1" applyAlignment="1">
      <alignment horizontal="center"/>
    </xf>
    <xf numFmtId="2" fontId="50" fillId="0" borderId="3" xfId="19" applyNumberFormat="1" applyFont="1" applyBorder="1" applyAlignment="1">
      <alignment horizontal="center"/>
    </xf>
    <xf numFmtId="0" fontId="50" fillId="0" borderId="0" xfId="19" applyFont="1" applyAlignment="1">
      <alignment horizontal="right"/>
    </xf>
    <xf numFmtId="2" fontId="18" fillId="0" borderId="0" xfId="19" applyNumberFormat="1" applyAlignment="1">
      <alignment horizontal="center"/>
    </xf>
    <xf numFmtId="2" fontId="76" fillId="0" borderId="0" xfId="19" applyNumberFormat="1" applyFont="1" applyAlignment="1">
      <alignment horizontal="center"/>
    </xf>
    <xf numFmtId="0" fontId="76" fillId="0" borderId="0" xfId="19" applyFont="1" applyAlignment="1">
      <alignment horizontal="center"/>
    </xf>
    <xf numFmtId="2" fontId="42" fillId="0" borderId="0" xfId="19" applyNumberFormat="1" applyFont="1" applyAlignment="1">
      <alignment horizontal="left"/>
    </xf>
    <xf numFmtId="0" fontId="42" fillId="0" borderId="0" xfId="19" applyFont="1" applyAlignment="1">
      <alignment horizontal="left"/>
    </xf>
    <xf numFmtId="2" fontId="42" fillId="0" borderId="0" xfId="19" applyNumberFormat="1" applyFont="1" applyAlignment="1">
      <alignment horizontal="right"/>
    </xf>
    <xf numFmtId="0" fontId="42" fillId="0" borderId="0" xfId="19" applyFont="1" applyAlignment="1">
      <alignment horizontal="right"/>
    </xf>
    <xf numFmtId="0" fontId="77" fillId="0" borderId="0" xfId="19" applyFont="1" applyAlignment="1">
      <alignment horizontal="center"/>
    </xf>
    <xf numFmtId="49" fontId="19" fillId="0" borderId="72" xfId="19" applyNumberFormat="1" applyFont="1" applyBorder="1" applyAlignment="1">
      <alignment horizontal="center" vertical="top" wrapText="1"/>
    </xf>
    <xf numFmtId="49" fontId="19" fillId="0" borderId="73" xfId="19" applyNumberFormat="1" applyFont="1" applyBorder="1" applyAlignment="1">
      <alignment horizontal="center" vertical="top" wrapText="1"/>
    </xf>
    <xf numFmtId="0" fontId="19" fillId="0" borderId="75" xfId="19" applyFont="1" applyBorder="1" applyAlignment="1">
      <alignment horizontal="right"/>
    </xf>
    <xf numFmtId="0" fontId="19" fillId="0" borderId="65" xfId="19" applyFont="1" applyBorder="1" applyAlignment="1">
      <alignment horizontal="right"/>
    </xf>
    <xf numFmtId="2" fontId="55" fillId="0" borderId="0" xfId="19" applyNumberFormat="1" applyFont="1" applyAlignment="1">
      <alignment horizontal="center" vertical="top"/>
    </xf>
    <xf numFmtId="2" fontId="58" fillId="0" borderId="10" xfId="19" applyNumberFormat="1" applyFont="1" applyBorder="1" applyAlignment="1">
      <alignment horizontal="center" vertical="top"/>
    </xf>
    <xf numFmtId="2" fontId="56" fillId="0" borderId="11" xfId="19" applyNumberFormat="1" applyFont="1" applyBorder="1" applyAlignment="1">
      <alignment horizontal="center" vertical="center" wrapText="1"/>
    </xf>
    <xf numFmtId="2" fontId="56" fillId="0" borderId="20" xfId="19" applyNumberFormat="1" applyFont="1" applyBorder="1" applyAlignment="1">
      <alignment horizontal="center" vertical="center" wrapText="1"/>
    </xf>
    <xf numFmtId="2" fontId="56" fillId="0" borderId="42" xfId="19" applyNumberFormat="1" applyFont="1" applyBorder="1" applyAlignment="1">
      <alignment horizontal="center" vertical="center" wrapText="1"/>
    </xf>
    <xf numFmtId="166" fontId="56" fillId="0" borderId="11" xfId="19" applyNumberFormat="1" applyFont="1" applyBorder="1" applyAlignment="1">
      <alignment horizontal="center" vertical="center" wrapText="1" shrinkToFit="1"/>
    </xf>
    <xf numFmtId="166" fontId="56" fillId="0" borderId="11" xfId="19" applyNumberFormat="1" applyFont="1" applyBorder="1" applyAlignment="1">
      <alignment horizontal="center" vertical="center" shrinkToFit="1"/>
    </xf>
    <xf numFmtId="166" fontId="56" fillId="0" borderId="11" xfId="19" applyNumberFormat="1" applyFont="1" applyBorder="1" applyAlignment="1">
      <alignment horizontal="center" vertical="center" wrapText="1"/>
    </xf>
    <xf numFmtId="166" fontId="56" fillId="0" borderId="11" xfId="19" applyNumberFormat="1" applyFont="1" applyBorder="1" applyAlignment="1">
      <alignment horizontal="center" vertical="center"/>
    </xf>
    <xf numFmtId="166" fontId="64" fillId="0" borderId="16" xfId="19" applyNumberFormat="1" applyFont="1" applyBorder="1" applyAlignment="1">
      <alignment horizontal="center"/>
    </xf>
    <xf numFmtId="166" fontId="64" fillId="0" borderId="18" xfId="19" applyNumberFormat="1" applyFont="1" applyBorder="1" applyAlignment="1">
      <alignment horizontal="center"/>
    </xf>
    <xf numFmtId="166" fontId="64" fillId="0" borderId="17" xfId="19" applyNumberFormat="1" applyFont="1" applyBorder="1" applyAlignment="1">
      <alignment horizontal="center"/>
    </xf>
    <xf numFmtId="2" fontId="63" fillId="0" borderId="0" xfId="19" applyNumberFormat="1" applyFont="1" applyAlignment="1">
      <alignment horizontal="center"/>
    </xf>
    <xf numFmtId="183" fontId="56" fillId="0" borderId="0" xfId="19" applyNumberFormat="1" applyFont="1" applyAlignment="1">
      <alignment horizontal="center" vertical="center" wrapText="1"/>
    </xf>
    <xf numFmtId="166" fontId="63" fillId="0" borderId="16" xfId="19" applyNumberFormat="1" applyFont="1" applyBorder="1" applyAlignment="1">
      <alignment horizontal="center"/>
    </xf>
    <xf numFmtId="166" fontId="63" fillId="0" borderId="18" xfId="19" applyNumberFormat="1" applyFont="1" applyBorder="1" applyAlignment="1">
      <alignment horizontal="center"/>
    </xf>
    <xf numFmtId="166" fontId="63" fillId="0" borderId="17" xfId="19" applyNumberFormat="1" applyFont="1" applyBorder="1" applyAlignment="1">
      <alignment horizontal="center"/>
    </xf>
    <xf numFmtId="49" fontId="64" fillId="0" borderId="11" xfId="19" applyNumberFormat="1" applyFont="1" applyBorder="1" applyAlignment="1">
      <alignment horizontal="center" vertical="center" wrapText="1"/>
    </xf>
    <xf numFmtId="49" fontId="64" fillId="0" borderId="20" xfId="19" applyNumberFormat="1" applyFont="1" applyBorder="1" applyAlignment="1">
      <alignment horizontal="center" vertical="center" wrapText="1"/>
    </xf>
    <xf numFmtId="49" fontId="64" fillId="0" borderId="42" xfId="19" applyNumberFormat="1" applyFont="1" applyBorder="1" applyAlignment="1">
      <alignment horizontal="center" vertical="center" wrapText="1"/>
    </xf>
    <xf numFmtId="2" fontId="83" fillId="0" borderId="0" xfId="19" applyNumberFormat="1" applyFont="1" applyAlignment="1">
      <alignment horizontal="center"/>
    </xf>
    <xf numFmtId="0" fontId="83" fillId="0" borderId="0" xfId="19" applyFont="1" applyAlignment="1">
      <alignment horizontal="center"/>
    </xf>
    <xf numFmtId="2" fontId="64" fillId="0" borderId="0" xfId="19" applyNumberFormat="1" applyFont="1" applyAlignment="1">
      <alignment horizontal="right" vertical="top"/>
    </xf>
    <xf numFmtId="0" fontId="64" fillId="0" borderId="0" xfId="19" applyFont="1" applyAlignment="1">
      <alignment horizontal="right" vertical="top"/>
    </xf>
    <xf numFmtId="0" fontId="64" fillId="0" borderId="0" xfId="19" applyFont="1" applyAlignment="1">
      <alignment horizontal="center"/>
    </xf>
    <xf numFmtId="0" fontId="85" fillId="0" borderId="0" xfId="19" applyFont="1" applyAlignment="1">
      <alignment horizontal="center"/>
    </xf>
    <xf numFmtId="192" fontId="56" fillId="0" borderId="0" xfId="19" applyNumberFormat="1" applyFont="1" applyAlignment="1">
      <alignment horizontal="left"/>
    </xf>
    <xf numFmtId="183" fontId="56" fillId="0" borderId="0" xfId="19" applyNumberFormat="1" applyFont="1" applyAlignment="1">
      <alignment horizontal="left" vertical="center" wrapText="1"/>
    </xf>
    <xf numFmtId="191" fontId="58" fillId="0" borderId="0" xfId="19" applyNumberFormat="1" applyFont="1" applyAlignment="1">
      <alignment horizontal="center" vertical="center" wrapText="1"/>
    </xf>
    <xf numFmtId="0" fontId="63" fillId="0" borderId="11" xfId="19" applyFont="1" applyBorder="1" applyAlignment="1">
      <alignment horizontal="right"/>
    </xf>
    <xf numFmtId="0" fontId="63" fillId="0" borderId="0" xfId="19" applyFont="1" applyAlignment="1">
      <alignment horizontal="right"/>
    </xf>
    <xf numFmtId="0" fontId="63" fillId="0" borderId="16" xfId="19" applyFont="1" applyBorder="1" applyAlignment="1">
      <alignment horizontal="left"/>
    </xf>
    <xf numFmtId="0" fontId="63" fillId="0" borderId="17" xfId="19" applyFont="1" applyBorder="1" applyAlignment="1">
      <alignment horizontal="left"/>
    </xf>
    <xf numFmtId="0" fontId="63" fillId="0" borderId="11" xfId="19" applyFont="1" applyBorder="1" applyAlignment="1">
      <alignment horizontal="left"/>
    </xf>
    <xf numFmtId="0" fontId="64" fillId="0" borderId="11" xfId="19" applyFont="1" applyBorder="1" applyAlignment="1">
      <alignment horizontal="center" vertical="center"/>
    </xf>
    <xf numFmtId="0" fontId="31" fillId="0" borderId="17" xfId="19" applyFont="1" applyBorder="1" applyAlignment="1">
      <alignment horizontal="center" vertical="center"/>
    </xf>
    <xf numFmtId="0" fontId="31" fillId="0" borderId="11" xfId="19" applyFont="1" applyBorder="1" applyAlignment="1">
      <alignment horizontal="center" vertical="center"/>
    </xf>
    <xf numFmtId="0" fontId="31" fillId="0" borderId="10" xfId="19" applyFont="1" applyBorder="1" applyAlignment="1">
      <alignment horizontal="center"/>
    </xf>
    <xf numFmtId="2" fontId="62" fillId="0" borderId="0" xfId="19" applyNumberFormat="1" applyFont="1" applyAlignment="1">
      <alignment horizontal="center"/>
    </xf>
    <xf numFmtId="0" fontId="62" fillId="0" borderId="0" xfId="19" applyFont="1" applyAlignment="1">
      <alignment horizontal="center" vertical="center"/>
    </xf>
    <xf numFmtId="0" fontId="64" fillId="0" borderId="12" xfId="19" applyFont="1" applyBorder="1" applyAlignment="1">
      <alignment horizontal="center"/>
    </xf>
    <xf numFmtId="0" fontId="64" fillId="0" borderId="13" xfId="19" applyFont="1" applyBorder="1" applyAlignment="1">
      <alignment horizontal="center"/>
    </xf>
    <xf numFmtId="2" fontId="56" fillId="0" borderId="0" xfId="19" applyNumberFormat="1" applyFont="1" applyAlignment="1">
      <alignment horizontal="left"/>
    </xf>
    <xf numFmtId="0" fontId="56" fillId="0" borderId="0" xfId="19" applyFont="1" applyAlignment="1">
      <alignment horizontal="left"/>
    </xf>
    <xf numFmtId="0" fontId="56" fillId="0" borderId="11" xfId="19" applyFont="1" applyBorder="1" applyAlignment="1">
      <alignment horizontal="center" vertical="center"/>
    </xf>
    <xf numFmtId="1" fontId="81" fillId="0" borderId="11" xfId="19" applyNumberFormat="1" applyFont="1" applyBorder="1" applyAlignment="1">
      <alignment horizontal="center" vertical="center" wrapText="1"/>
    </xf>
    <xf numFmtId="2" fontId="82" fillId="0" borderId="30" xfId="30" applyNumberFormat="1" applyFont="1" applyBorder="1" applyAlignment="1">
      <alignment horizontal="center"/>
    </xf>
    <xf numFmtId="2" fontId="56" fillId="0" borderId="12" xfId="19" applyNumberFormat="1" applyFont="1" applyBorder="1" applyAlignment="1">
      <alignment horizontal="center" vertical="center" wrapText="1"/>
    </xf>
    <xf numFmtId="2" fontId="56" fillId="0" borderId="13" xfId="19" applyNumberFormat="1" applyFont="1" applyBorder="1" applyAlignment="1">
      <alignment horizontal="center" vertical="center" wrapText="1"/>
    </xf>
    <xf numFmtId="2" fontId="26" fillId="0" borderId="0" xfId="19" applyNumberFormat="1" applyFont="1" applyAlignment="1">
      <alignment horizontal="right" vertical="top"/>
    </xf>
    <xf numFmtId="0" fontId="26" fillId="0" borderId="0" xfId="19" applyFont="1" applyAlignment="1">
      <alignment horizontal="right" vertical="top"/>
    </xf>
    <xf numFmtId="2" fontId="58" fillId="0" borderId="10" xfId="19" applyNumberFormat="1" applyFont="1" applyBorder="1" applyAlignment="1">
      <alignment horizontal="center" vertical="center"/>
    </xf>
    <xf numFmtId="0" fontId="56" fillId="0" borderId="20" xfId="19" applyFont="1" applyBorder="1" applyAlignment="1">
      <alignment horizontal="center" vertical="center" wrapText="1"/>
    </xf>
    <xf numFmtId="0" fontId="56" fillId="0" borderId="42" xfId="19" applyFont="1" applyBorder="1" applyAlignment="1">
      <alignment horizontal="center" vertical="center" wrapText="1"/>
    </xf>
    <xf numFmtId="0" fontId="56" fillId="0" borderId="12" xfId="19" applyFont="1" applyBorder="1" applyAlignment="1">
      <alignment horizontal="center" vertical="center" wrapText="1"/>
    </xf>
    <xf numFmtId="0" fontId="56" fillId="0" borderId="13" xfId="19" applyFont="1" applyBorder="1" applyAlignment="1">
      <alignment horizontal="center" vertical="center" wrapText="1"/>
    </xf>
    <xf numFmtId="0" fontId="56" fillId="0" borderId="14" xfId="19" applyFont="1" applyBorder="1" applyAlignment="1">
      <alignment horizontal="center" vertical="center" wrapText="1"/>
    </xf>
    <xf numFmtId="0" fontId="56" fillId="0" borderId="15" xfId="19" applyFont="1" applyBorder="1" applyAlignment="1">
      <alignment horizontal="center" vertical="center" wrapText="1"/>
    </xf>
    <xf numFmtId="2" fontId="82" fillId="0" borderId="13" xfId="30" applyNumberFormat="1" applyFont="1" applyBorder="1" applyAlignment="1">
      <alignment horizontal="center"/>
    </xf>
    <xf numFmtId="0" fontId="58" fillId="0" borderId="0" xfId="19" applyFont="1" applyAlignment="1">
      <alignment horizontal="center" vertical="top"/>
    </xf>
    <xf numFmtId="0" fontId="57" fillId="0" borderId="11" xfId="19" applyFont="1" applyBorder="1"/>
    <xf numFmtId="0" fontId="56" fillId="0" borderId="11" xfId="19" applyFont="1" applyBorder="1" applyAlignment="1">
      <alignment horizontal="center" vertical="center" wrapText="1"/>
    </xf>
    <xf numFmtId="0" fontId="57" fillId="0" borderId="0" xfId="19" applyFont="1" applyAlignment="1">
      <alignment horizontal="center" vertical="center" wrapText="1"/>
    </xf>
    <xf numFmtId="199" fontId="56" fillId="0" borderId="0" xfId="19" applyNumberFormat="1" applyFont="1" applyAlignment="1">
      <alignment horizontal="left"/>
    </xf>
    <xf numFmtId="0" fontId="56" fillId="0" borderId="30" xfId="19" applyFont="1" applyBorder="1" applyAlignment="1">
      <alignment horizontal="right"/>
    </xf>
    <xf numFmtId="2" fontId="57" fillId="0" borderId="0" xfId="19" applyNumberFormat="1" applyFont="1" applyAlignment="1">
      <alignment horizontal="center"/>
    </xf>
    <xf numFmtId="0" fontId="56" fillId="0" borderId="16" xfId="19" applyFont="1" applyBorder="1" applyAlignment="1">
      <alignment horizontal="center" vertical="center"/>
    </xf>
    <xf numFmtId="0" fontId="56" fillId="0" borderId="18" xfId="19" applyFont="1" applyBorder="1" applyAlignment="1">
      <alignment horizontal="center" vertical="center"/>
    </xf>
    <xf numFmtId="0" fontId="56" fillId="0" borderId="17" xfId="19" applyFont="1" applyBorder="1" applyAlignment="1">
      <alignment horizontal="center" vertical="center"/>
    </xf>
    <xf numFmtId="2" fontId="56" fillId="0" borderId="14" xfId="19" applyNumberFormat="1" applyFont="1" applyBorder="1" applyAlignment="1">
      <alignment horizontal="center" vertical="center" wrapText="1"/>
    </xf>
    <xf numFmtId="2" fontId="56" fillId="0" borderId="15" xfId="19" applyNumberFormat="1" applyFont="1" applyBorder="1" applyAlignment="1">
      <alignment horizontal="center" vertical="center" wrapText="1"/>
    </xf>
    <xf numFmtId="0" fontId="18" fillId="0" borderId="13" xfId="19" applyBorder="1"/>
    <xf numFmtId="0" fontId="18" fillId="0" borderId="14" xfId="19" applyBorder="1"/>
    <xf numFmtId="0" fontId="18" fillId="0" borderId="15" xfId="19" applyBorder="1"/>
    <xf numFmtId="0" fontId="56" fillId="0" borderId="0" xfId="19" applyFont="1" applyAlignment="1">
      <alignment horizontal="center"/>
    </xf>
    <xf numFmtId="2" fontId="80" fillId="0" borderId="0" xfId="19" applyNumberFormat="1" applyFont="1" applyAlignment="1">
      <alignment horizontal="center"/>
    </xf>
    <xf numFmtId="0" fontId="56" fillId="0" borderId="16" xfId="19" applyFont="1" applyBorder="1" applyAlignment="1">
      <alignment horizontal="center"/>
    </xf>
    <xf numFmtId="0" fontId="56" fillId="0" borderId="18" xfId="19" applyFont="1" applyBorder="1" applyAlignment="1">
      <alignment horizontal="center"/>
    </xf>
    <xf numFmtId="0" fontId="56" fillId="0" borderId="17" xfId="19" applyFont="1" applyBorder="1" applyAlignment="1">
      <alignment horizontal="center"/>
    </xf>
    <xf numFmtId="0" fontId="57" fillId="0" borderId="16" xfId="22" applyFont="1" applyBorder="1" applyAlignment="1">
      <alignment horizontal="center"/>
    </xf>
    <xf numFmtId="0" fontId="57" fillId="0" borderId="18" xfId="22" applyFont="1" applyBorder="1" applyAlignment="1">
      <alignment horizontal="center"/>
    </xf>
    <xf numFmtId="0" fontId="57" fillId="0" borderId="17" xfId="22" applyFont="1" applyBorder="1" applyAlignment="1">
      <alignment horizontal="center"/>
    </xf>
    <xf numFmtId="0" fontId="58" fillId="0" borderId="0" xfId="19" applyFont="1" applyAlignment="1">
      <alignment horizontal="center" vertical="center"/>
    </xf>
  </cellXfs>
  <cellStyles count="32">
    <cellStyle name="60% - Accent6" xfId="2" builtinId="52"/>
    <cellStyle name="Comma" xfId="31" builtinId="3"/>
    <cellStyle name="Comma 3 2" xfId="9"/>
    <cellStyle name="Comma 5" xfId="21"/>
    <cellStyle name="Comma 6" xfId="24"/>
    <cellStyle name="Comma 8" xfId="23"/>
    <cellStyle name="Heading 3" xfId="1" builtinId="18"/>
    <cellStyle name="Normal" xfId="0" builtinId="0"/>
    <cellStyle name="Normal - Style1 2" xfId="7"/>
    <cellStyle name="Normal 10 2" xfId="12"/>
    <cellStyle name="Normal 11 2" xfId="14"/>
    <cellStyle name="Normal 117 2" xfId="26"/>
    <cellStyle name="Normal 131 2" xfId="15"/>
    <cellStyle name="Normal 145" xfId="19"/>
    <cellStyle name="Normal 2" xfId="3"/>
    <cellStyle name="Normal 2 2" xfId="16"/>
    <cellStyle name="Normal 2 7 12" xfId="13"/>
    <cellStyle name="Normal 3 4 2" xfId="18"/>
    <cellStyle name="Normal 35 9" xfId="27"/>
    <cellStyle name="Normal 4 2" xfId="5"/>
    <cellStyle name="Normal 4 3" xfId="10"/>
    <cellStyle name="Normal 4 4 2" xfId="22"/>
    <cellStyle name="Normal 4 5" xfId="20"/>
    <cellStyle name="Normal 42 16" xfId="29"/>
    <cellStyle name="Normal 44 3" xfId="30"/>
    <cellStyle name="Normal 5 5" xfId="6"/>
    <cellStyle name="Normal 7 3" xfId="8"/>
    <cellStyle name="Normal 79 2" xfId="28"/>
    <cellStyle name="Normal 80 3" xfId="17"/>
    <cellStyle name="Normal 9 2" xfId="11"/>
    <cellStyle name="Normal_Combind all corr from sec-7 to sec-10" xfId="25"/>
    <cellStyle name="Percent 3" xfId="4"/>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4.xml"/><Relationship Id="rId21" Type="http://schemas.openxmlformats.org/officeDocument/2006/relationships/worksheet" Target="worksheets/sheet21.xml"/><Relationship Id="rId42" Type="http://schemas.openxmlformats.org/officeDocument/2006/relationships/externalLink" Target="externalLinks/externalLink19.xml"/><Relationship Id="rId63" Type="http://schemas.openxmlformats.org/officeDocument/2006/relationships/externalLink" Target="externalLinks/externalLink40.xml"/><Relationship Id="rId84" Type="http://schemas.openxmlformats.org/officeDocument/2006/relationships/externalLink" Target="externalLinks/externalLink61.xml"/><Relationship Id="rId138" Type="http://schemas.openxmlformats.org/officeDocument/2006/relationships/externalLink" Target="externalLinks/externalLink115.xml"/><Relationship Id="rId159" Type="http://schemas.openxmlformats.org/officeDocument/2006/relationships/externalLink" Target="externalLinks/externalLink136.xml"/><Relationship Id="rId170" Type="http://schemas.openxmlformats.org/officeDocument/2006/relationships/externalLink" Target="externalLinks/externalLink147.xml"/><Relationship Id="rId191" Type="http://schemas.openxmlformats.org/officeDocument/2006/relationships/theme" Target="theme/theme1.xml"/><Relationship Id="rId107" Type="http://schemas.openxmlformats.org/officeDocument/2006/relationships/externalLink" Target="externalLinks/externalLink84.xml"/><Relationship Id="rId11" Type="http://schemas.openxmlformats.org/officeDocument/2006/relationships/worksheet" Target="worksheets/sheet11.xml"/><Relationship Id="rId32" Type="http://schemas.openxmlformats.org/officeDocument/2006/relationships/externalLink" Target="externalLinks/externalLink9.xml"/><Relationship Id="rId53" Type="http://schemas.openxmlformats.org/officeDocument/2006/relationships/externalLink" Target="externalLinks/externalLink30.xml"/><Relationship Id="rId74" Type="http://schemas.openxmlformats.org/officeDocument/2006/relationships/externalLink" Target="externalLinks/externalLink51.xml"/><Relationship Id="rId128" Type="http://schemas.openxmlformats.org/officeDocument/2006/relationships/externalLink" Target="externalLinks/externalLink105.xml"/><Relationship Id="rId149" Type="http://schemas.openxmlformats.org/officeDocument/2006/relationships/externalLink" Target="externalLinks/externalLink126.xml"/><Relationship Id="rId5" Type="http://schemas.openxmlformats.org/officeDocument/2006/relationships/worksheet" Target="worksheets/sheet5.xml"/><Relationship Id="rId95" Type="http://schemas.openxmlformats.org/officeDocument/2006/relationships/externalLink" Target="externalLinks/externalLink72.xml"/><Relationship Id="rId160" Type="http://schemas.openxmlformats.org/officeDocument/2006/relationships/externalLink" Target="externalLinks/externalLink137.xml"/><Relationship Id="rId181" Type="http://schemas.openxmlformats.org/officeDocument/2006/relationships/externalLink" Target="externalLinks/externalLink158.xml"/><Relationship Id="rId22" Type="http://schemas.openxmlformats.org/officeDocument/2006/relationships/worksheet" Target="worksheets/sheet22.xml"/><Relationship Id="rId43" Type="http://schemas.openxmlformats.org/officeDocument/2006/relationships/externalLink" Target="externalLinks/externalLink20.xml"/><Relationship Id="rId64" Type="http://schemas.openxmlformats.org/officeDocument/2006/relationships/externalLink" Target="externalLinks/externalLink41.xml"/><Relationship Id="rId118" Type="http://schemas.openxmlformats.org/officeDocument/2006/relationships/externalLink" Target="externalLinks/externalLink95.xml"/><Relationship Id="rId139" Type="http://schemas.openxmlformats.org/officeDocument/2006/relationships/externalLink" Target="externalLinks/externalLink116.xml"/><Relationship Id="rId85" Type="http://schemas.openxmlformats.org/officeDocument/2006/relationships/externalLink" Target="externalLinks/externalLink62.xml"/><Relationship Id="rId150" Type="http://schemas.openxmlformats.org/officeDocument/2006/relationships/externalLink" Target="externalLinks/externalLink127.xml"/><Relationship Id="rId171" Type="http://schemas.openxmlformats.org/officeDocument/2006/relationships/externalLink" Target="externalLinks/externalLink148.xml"/><Relationship Id="rId192" Type="http://schemas.openxmlformats.org/officeDocument/2006/relationships/styles" Target="styles.xml"/><Relationship Id="rId12" Type="http://schemas.openxmlformats.org/officeDocument/2006/relationships/worksheet" Target="worksheets/sheet12.xml"/><Relationship Id="rId33" Type="http://schemas.openxmlformats.org/officeDocument/2006/relationships/externalLink" Target="externalLinks/externalLink10.xml"/><Relationship Id="rId108" Type="http://schemas.openxmlformats.org/officeDocument/2006/relationships/externalLink" Target="externalLinks/externalLink85.xml"/><Relationship Id="rId129" Type="http://schemas.openxmlformats.org/officeDocument/2006/relationships/externalLink" Target="externalLinks/externalLink106.xml"/><Relationship Id="rId54" Type="http://schemas.openxmlformats.org/officeDocument/2006/relationships/externalLink" Target="externalLinks/externalLink31.xml"/><Relationship Id="rId75" Type="http://schemas.openxmlformats.org/officeDocument/2006/relationships/externalLink" Target="externalLinks/externalLink52.xml"/><Relationship Id="rId96" Type="http://schemas.openxmlformats.org/officeDocument/2006/relationships/externalLink" Target="externalLinks/externalLink73.xml"/><Relationship Id="rId140" Type="http://schemas.openxmlformats.org/officeDocument/2006/relationships/externalLink" Target="externalLinks/externalLink117.xml"/><Relationship Id="rId161" Type="http://schemas.openxmlformats.org/officeDocument/2006/relationships/externalLink" Target="externalLinks/externalLink138.xml"/><Relationship Id="rId182" Type="http://schemas.openxmlformats.org/officeDocument/2006/relationships/externalLink" Target="externalLinks/externalLink159.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externalLink" Target="externalLinks/externalLink96.xml"/><Relationship Id="rId44" Type="http://schemas.openxmlformats.org/officeDocument/2006/relationships/externalLink" Target="externalLinks/externalLink21.xml"/><Relationship Id="rId65" Type="http://schemas.openxmlformats.org/officeDocument/2006/relationships/externalLink" Target="externalLinks/externalLink42.xml"/><Relationship Id="rId86" Type="http://schemas.openxmlformats.org/officeDocument/2006/relationships/externalLink" Target="externalLinks/externalLink63.xml"/><Relationship Id="rId130" Type="http://schemas.openxmlformats.org/officeDocument/2006/relationships/externalLink" Target="externalLinks/externalLink107.xml"/><Relationship Id="rId151" Type="http://schemas.openxmlformats.org/officeDocument/2006/relationships/externalLink" Target="externalLinks/externalLink128.xml"/><Relationship Id="rId172" Type="http://schemas.openxmlformats.org/officeDocument/2006/relationships/externalLink" Target="externalLinks/externalLink149.xml"/><Relationship Id="rId193" Type="http://schemas.openxmlformats.org/officeDocument/2006/relationships/sharedStrings" Target="sharedStrings.xml"/><Relationship Id="rId13" Type="http://schemas.openxmlformats.org/officeDocument/2006/relationships/worksheet" Target="worksheets/sheet13.xml"/><Relationship Id="rId109" Type="http://schemas.openxmlformats.org/officeDocument/2006/relationships/externalLink" Target="externalLinks/externalLink8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externalLink" Target="externalLinks/externalLink53.xml"/><Relationship Id="rId97" Type="http://schemas.openxmlformats.org/officeDocument/2006/relationships/externalLink" Target="externalLinks/externalLink74.xml"/><Relationship Id="rId104" Type="http://schemas.openxmlformats.org/officeDocument/2006/relationships/externalLink" Target="externalLinks/externalLink81.xml"/><Relationship Id="rId120" Type="http://schemas.openxmlformats.org/officeDocument/2006/relationships/externalLink" Target="externalLinks/externalLink97.xml"/><Relationship Id="rId125" Type="http://schemas.openxmlformats.org/officeDocument/2006/relationships/externalLink" Target="externalLinks/externalLink102.xml"/><Relationship Id="rId141" Type="http://schemas.openxmlformats.org/officeDocument/2006/relationships/externalLink" Target="externalLinks/externalLink118.xml"/><Relationship Id="rId146" Type="http://schemas.openxmlformats.org/officeDocument/2006/relationships/externalLink" Target="externalLinks/externalLink123.xml"/><Relationship Id="rId167" Type="http://schemas.openxmlformats.org/officeDocument/2006/relationships/externalLink" Target="externalLinks/externalLink144.xml"/><Relationship Id="rId188" Type="http://schemas.openxmlformats.org/officeDocument/2006/relationships/externalLink" Target="externalLinks/externalLink165.xml"/><Relationship Id="rId7" Type="http://schemas.openxmlformats.org/officeDocument/2006/relationships/worksheet" Target="worksheets/sheet7.xml"/><Relationship Id="rId71" Type="http://schemas.openxmlformats.org/officeDocument/2006/relationships/externalLink" Target="externalLinks/externalLink48.xml"/><Relationship Id="rId92" Type="http://schemas.openxmlformats.org/officeDocument/2006/relationships/externalLink" Target="externalLinks/externalLink69.xml"/><Relationship Id="rId162" Type="http://schemas.openxmlformats.org/officeDocument/2006/relationships/externalLink" Target="externalLinks/externalLink139.xml"/><Relationship Id="rId183" Type="http://schemas.openxmlformats.org/officeDocument/2006/relationships/externalLink" Target="externalLinks/externalLink160.xml"/><Relationship Id="rId2" Type="http://schemas.openxmlformats.org/officeDocument/2006/relationships/worksheet" Target="worksheets/sheet2.xml"/><Relationship Id="rId29" Type="http://schemas.openxmlformats.org/officeDocument/2006/relationships/externalLink" Target="externalLinks/externalLink6.xml"/><Relationship Id="rId24" Type="http://schemas.openxmlformats.org/officeDocument/2006/relationships/externalLink" Target="externalLinks/externalLink1.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66" Type="http://schemas.openxmlformats.org/officeDocument/2006/relationships/externalLink" Target="externalLinks/externalLink43.xml"/><Relationship Id="rId87" Type="http://schemas.openxmlformats.org/officeDocument/2006/relationships/externalLink" Target="externalLinks/externalLink64.xml"/><Relationship Id="rId110" Type="http://schemas.openxmlformats.org/officeDocument/2006/relationships/externalLink" Target="externalLinks/externalLink87.xml"/><Relationship Id="rId115" Type="http://schemas.openxmlformats.org/officeDocument/2006/relationships/externalLink" Target="externalLinks/externalLink92.xml"/><Relationship Id="rId131" Type="http://schemas.openxmlformats.org/officeDocument/2006/relationships/externalLink" Target="externalLinks/externalLink108.xml"/><Relationship Id="rId136" Type="http://schemas.openxmlformats.org/officeDocument/2006/relationships/externalLink" Target="externalLinks/externalLink113.xml"/><Relationship Id="rId157" Type="http://schemas.openxmlformats.org/officeDocument/2006/relationships/externalLink" Target="externalLinks/externalLink134.xml"/><Relationship Id="rId178" Type="http://schemas.openxmlformats.org/officeDocument/2006/relationships/externalLink" Target="externalLinks/externalLink155.xml"/><Relationship Id="rId61" Type="http://schemas.openxmlformats.org/officeDocument/2006/relationships/externalLink" Target="externalLinks/externalLink38.xml"/><Relationship Id="rId82" Type="http://schemas.openxmlformats.org/officeDocument/2006/relationships/externalLink" Target="externalLinks/externalLink59.xml"/><Relationship Id="rId152" Type="http://schemas.openxmlformats.org/officeDocument/2006/relationships/externalLink" Target="externalLinks/externalLink129.xml"/><Relationship Id="rId173" Type="http://schemas.openxmlformats.org/officeDocument/2006/relationships/externalLink" Target="externalLinks/externalLink150.xml"/><Relationship Id="rId194"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56" Type="http://schemas.openxmlformats.org/officeDocument/2006/relationships/externalLink" Target="externalLinks/externalLink33.xml"/><Relationship Id="rId77" Type="http://schemas.openxmlformats.org/officeDocument/2006/relationships/externalLink" Target="externalLinks/externalLink54.xml"/><Relationship Id="rId100" Type="http://schemas.openxmlformats.org/officeDocument/2006/relationships/externalLink" Target="externalLinks/externalLink77.xml"/><Relationship Id="rId105" Type="http://schemas.openxmlformats.org/officeDocument/2006/relationships/externalLink" Target="externalLinks/externalLink82.xml"/><Relationship Id="rId126" Type="http://schemas.openxmlformats.org/officeDocument/2006/relationships/externalLink" Target="externalLinks/externalLink103.xml"/><Relationship Id="rId147" Type="http://schemas.openxmlformats.org/officeDocument/2006/relationships/externalLink" Target="externalLinks/externalLink124.xml"/><Relationship Id="rId168" Type="http://schemas.openxmlformats.org/officeDocument/2006/relationships/externalLink" Target="externalLinks/externalLink145.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externalLink" Target="externalLinks/externalLink49.xml"/><Relationship Id="rId93" Type="http://schemas.openxmlformats.org/officeDocument/2006/relationships/externalLink" Target="externalLinks/externalLink70.xml"/><Relationship Id="rId98" Type="http://schemas.openxmlformats.org/officeDocument/2006/relationships/externalLink" Target="externalLinks/externalLink75.xml"/><Relationship Id="rId121" Type="http://schemas.openxmlformats.org/officeDocument/2006/relationships/externalLink" Target="externalLinks/externalLink98.xml"/><Relationship Id="rId142" Type="http://schemas.openxmlformats.org/officeDocument/2006/relationships/externalLink" Target="externalLinks/externalLink119.xml"/><Relationship Id="rId163" Type="http://schemas.openxmlformats.org/officeDocument/2006/relationships/externalLink" Target="externalLinks/externalLink140.xml"/><Relationship Id="rId184" Type="http://schemas.openxmlformats.org/officeDocument/2006/relationships/externalLink" Target="externalLinks/externalLink161.xml"/><Relationship Id="rId189" Type="http://schemas.openxmlformats.org/officeDocument/2006/relationships/externalLink" Target="externalLinks/externalLink166.xml"/><Relationship Id="rId3" Type="http://schemas.openxmlformats.org/officeDocument/2006/relationships/worksheet" Target="worksheets/sheet3.xml"/><Relationship Id="rId25" Type="http://schemas.openxmlformats.org/officeDocument/2006/relationships/externalLink" Target="externalLinks/externalLink2.xml"/><Relationship Id="rId46" Type="http://schemas.openxmlformats.org/officeDocument/2006/relationships/externalLink" Target="externalLinks/externalLink23.xml"/><Relationship Id="rId67" Type="http://schemas.openxmlformats.org/officeDocument/2006/relationships/externalLink" Target="externalLinks/externalLink44.xml"/><Relationship Id="rId116" Type="http://schemas.openxmlformats.org/officeDocument/2006/relationships/externalLink" Target="externalLinks/externalLink93.xml"/><Relationship Id="rId137" Type="http://schemas.openxmlformats.org/officeDocument/2006/relationships/externalLink" Target="externalLinks/externalLink114.xml"/><Relationship Id="rId158" Type="http://schemas.openxmlformats.org/officeDocument/2006/relationships/externalLink" Target="externalLinks/externalLink135.xml"/><Relationship Id="rId20" Type="http://schemas.openxmlformats.org/officeDocument/2006/relationships/worksheet" Target="worksheets/sheet20.xml"/><Relationship Id="rId41" Type="http://schemas.openxmlformats.org/officeDocument/2006/relationships/externalLink" Target="externalLinks/externalLink18.xml"/><Relationship Id="rId62" Type="http://schemas.openxmlformats.org/officeDocument/2006/relationships/externalLink" Target="externalLinks/externalLink39.xml"/><Relationship Id="rId83" Type="http://schemas.openxmlformats.org/officeDocument/2006/relationships/externalLink" Target="externalLinks/externalLink60.xml"/><Relationship Id="rId88" Type="http://schemas.openxmlformats.org/officeDocument/2006/relationships/externalLink" Target="externalLinks/externalLink65.xml"/><Relationship Id="rId111" Type="http://schemas.openxmlformats.org/officeDocument/2006/relationships/externalLink" Target="externalLinks/externalLink88.xml"/><Relationship Id="rId132" Type="http://schemas.openxmlformats.org/officeDocument/2006/relationships/externalLink" Target="externalLinks/externalLink109.xml"/><Relationship Id="rId153" Type="http://schemas.openxmlformats.org/officeDocument/2006/relationships/externalLink" Target="externalLinks/externalLink130.xml"/><Relationship Id="rId174" Type="http://schemas.openxmlformats.org/officeDocument/2006/relationships/externalLink" Target="externalLinks/externalLink151.xml"/><Relationship Id="rId179" Type="http://schemas.openxmlformats.org/officeDocument/2006/relationships/externalLink" Target="externalLinks/externalLink156.xml"/><Relationship Id="rId190" Type="http://schemas.openxmlformats.org/officeDocument/2006/relationships/externalLink" Target="externalLinks/externalLink167.xml"/><Relationship Id="rId15" Type="http://schemas.openxmlformats.org/officeDocument/2006/relationships/worksheet" Target="worksheets/sheet15.xml"/><Relationship Id="rId36" Type="http://schemas.openxmlformats.org/officeDocument/2006/relationships/externalLink" Target="externalLinks/externalLink13.xml"/><Relationship Id="rId57" Type="http://schemas.openxmlformats.org/officeDocument/2006/relationships/externalLink" Target="externalLinks/externalLink34.xml"/><Relationship Id="rId106" Type="http://schemas.openxmlformats.org/officeDocument/2006/relationships/externalLink" Target="externalLinks/externalLink83.xml"/><Relationship Id="rId127" Type="http://schemas.openxmlformats.org/officeDocument/2006/relationships/externalLink" Target="externalLinks/externalLink104.xml"/><Relationship Id="rId10" Type="http://schemas.openxmlformats.org/officeDocument/2006/relationships/worksheet" Target="worksheets/sheet10.xml"/><Relationship Id="rId31" Type="http://schemas.openxmlformats.org/officeDocument/2006/relationships/externalLink" Target="externalLinks/externalLink8.xml"/><Relationship Id="rId52" Type="http://schemas.openxmlformats.org/officeDocument/2006/relationships/externalLink" Target="externalLinks/externalLink29.xml"/><Relationship Id="rId73" Type="http://schemas.openxmlformats.org/officeDocument/2006/relationships/externalLink" Target="externalLinks/externalLink50.xml"/><Relationship Id="rId78" Type="http://schemas.openxmlformats.org/officeDocument/2006/relationships/externalLink" Target="externalLinks/externalLink55.xml"/><Relationship Id="rId94" Type="http://schemas.openxmlformats.org/officeDocument/2006/relationships/externalLink" Target="externalLinks/externalLink71.xml"/><Relationship Id="rId99" Type="http://schemas.openxmlformats.org/officeDocument/2006/relationships/externalLink" Target="externalLinks/externalLink76.xml"/><Relationship Id="rId101" Type="http://schemas.openxmlformats.org/officeDocument/2006/relationships/externalLink" Target="externalLinks/externalLink78.xml"/><Relationship Id="rId122" Type="http://schemas.openxmlformats.org/officeDocument/2006/relationships/externalLink" Target="externalLinks/externalLink99.xml"/><Relationship Id="rId143" Type="http://schemas.openxmlformats.org/officeDocument/2006/relationships/externalLink" Target="externalLinks/externalLink120.xml"/><Relationship Id="rId148" Type="http://schemas.openxmlformats.org/officeDocument/2006/relationships/externalLink" Target="externalLinks/externalLink125.xml"/><Relationship Id="rId164" Type="http://schemas.openxmlformats.org/officeDocument/2006/relationships/externalLink" Target="externalLinks/externalLink141.xml"/><Relationship Id="rId169" Type="http://schemas.openxmlformats.org/officeDocument/2006/relationships/externalLink" Target="externalLinks/externalLink146.xml"/><Relationship Id="rId185" Type="http://schemas.openxmlformats.org/officeDocument/2006/relationships/externalLink" Target="externalLinks/externalLink16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57.xml"/><Relationship Id="rId26" Type="http://schemas.openxmlformats.org/officeDocument/2006/relationships/externalLink" Target="externalLinks/externalLink3.xml"/><Relationship Id="rId47" Type="http://schemas.openxmlformats.org/officeDocument/2006/relationships/externalLink" Target="externalLinks/externalLink24.xml"/><Relationship Id="rId68" Type="http://schemas.openxmlformats.org/officeDocument/2006/relationships/externalLink" Target="externalLinks/externalLink45.xml"/><Relationship Id="rId89" Type="http://schemas.openxmlformats.org/officeDocument/2006/relationships/externalLink" Target="externalLinks/externalLink66.xml"/><Relationship Id="rId112" Type="http://schemas.openxmlformats.org/officeDocument/2006/relationships/externalLink" Target="externalLinks/externalLink89.xml"/><Relationship Id="rId133" Type="http://schemas.openxmlformats.org/officeDocument/2006/relationships/externalLink" Target="externalLinks/externalLink110.xml"/><Relationship Id="rId154" Type="http://schemas.openxmlformats.org/officeDocument/2006/relationships/externalLink" Target="externalLinks/externalLink131.xml"/><Relationship Id="rId175" Type="http://schemas.openxmlformats.org/officeDocument/2006/relationships/externalLink" Target="externalLinks/externalLink152.xml"/><Relationship Id="rId16" Type="http://schemas.openxmlformats.org/officeDocument/2006/relationships/worksheet" Target="worksheets/sheet16.xml"/><Relationship Id="rId37" Type="http://schemas.openxmlformats.org/officeDocument/2006/relationships/externalLink" Target="externalLinks/externalLink14.xml"/><Relationship Id="rId58" Type="http://schemas.openxmlformats.org/officeDocument/2006/relationships/externalLink" Target="externalLinks/externalLink35.xml"/><Relationship Id="rId79" Type="http://schemas.openxmlformats.org/officeDocument/2006/relationships/externalLink" Target="externalLinks/externalLink56.xml"/><Relationship Id="rId102" Type="http://schemas.openxmlformats.org/officeDocument/2006/relationships/externalLink" Target="externalLinks/externalLink79.xml"/><Relationship Id="rId123" Type="http://schemas.openxmlformats.org/officeDocument/2006/relationships/externalLink" Target="externalLinks/externalLink100.xml"/><Relationship Id="rId144" Type="http://schemas.openxmlformats.org/officeDocument/2006/relationships/externalLink" Target="externalLinks/externalLink121.xml"/><Relationship Id="rId90" Type="http://schemas.openxmlformats.org/officeDocument/2006/relationships/externalLink" Target="externalLinks/externalLink67.xml"/><Relationship Id="rId165" Type="http://schemas.openxmlformats.org/officeDocument/2006/relationships/externalLink" Target="externalLinks/externalLink142.xml"/><Relationship Id="rId186" Type="http://schemas.openxmlformats.org/officeDocument/2006/relationships/externalLink" Target="externalLinks/externalLink163.xml"/><Relationship Id="rId27" Type="http://schemas.openxmlformats.org/officeDocument/2006/relationships/externalLink" Target="externalLinks/externalLink4.xml"/><Relationship Id="rId48" Type="http://schemas.openxmlformats.org/officeDocument/2006/relationships/externalLink" Target="externalLinks/externalLink25.xml"/><Relationship Id="rId69" Type="http://schemas.openxmlformats.org/officeDocument/2006/relationships/externalLink" Target="externalLinks/externalLink46.xml"/><Relationship Id="rId113" Type="http://schemas.openxmlformats.org/officeDocument/2006/relationships/externalLink" Target="externalLinks/externalLink90.xml"/><Relationship Id="rId134" Type="http://schemas.openxmlformats.org/officeDocument/2006/relationships/externalLink" Target="externalLinks/externalLink111.xml"/><Relationship Id="rId80" Type="http://schemas.openxmlformats.org/officeDocument/2006/relationships/externalLink" Target="externalLinks/externalLink57.xml"/><Relationship Id="rId155" Type="http://schemas.openxmlformats.org/officeDocument/2006/relationships/externalLink" Target="externalLinks/externalLink132.xml"/><Relationship Id="rId176" Type="http://schemas.openxmlformats.org/officeDocument/2006/relationships/externalLink" Target="externalLinks/externalLink153.xml"/><Relationship Id="rId17" Type="http://schemas.openxmlformats.org/officeDocument/2006/relationships/worksheet" Target="worksheets/sheet17.xml"/><Relationship Id="rId38" Type="http://schemas.openxmlformats.org/officeDocument/2006/relationships/externalLink" Target="externalLinks/externalLink15.xml"/><Relationship Id="rId59" Type="http://schemas.openxmlformats.org/officeDocument/2006/relationships/externalLink" Target="externalLinks/externalLink36.xml"/><Relationship Id="rId103" Type="http://schemas.openxmlformats.org/officeDocument/2006/relationships/externalLink" Target="externalLinks/externalLink80.xml"/><Relationship Id="rId124" Type="http://schemas.openxmlformats.org/officeDocument/2006/relationships/externalLink" Target="externalLinks/externalLink101.xml"/><Relationship Id="rId70" Type="http://schemas.openxmlformats.org/officeDocument/2006/relationships/externalLink" Target="externalLinks/externalLink47.xml"/><Relationship Id="rId91" Type="http://schemas.openxmlformats.org/officeDocument/2006/relationships/externalLink" Target="externalLinks/externalLink68.xml"/><Relationship Id="rId145" Type="http://schemas.openxmlformats.org/officeDocument/2006/relationships/externalLink" Target="externalLinks/externalLink122.xml"/><Relationship Id="rId166" Type="http://schemas.openxmlformats.org/officeDocument/2006/relationships/externalLink" Target="externalLinks/externalLink143.xml"/><Relationship Id="rId187" Type="http://schemas.openxmlformats.org/officeDocument/2006/relationships/externalLink" Target="externalLinks/externalLink164.xml"/><Relationship Id="rId1" Type="http://schemas.openxmlformats.org/officeDocument/2006/relationships/worksheet" Target="worksheets/sheet1.xml"/><Relationship Id="rId28" Type="http://schemas.openxmlformats.org/officeDocument/2006/relationships/externalLink" Target="externalLinks/externalLink5.xml"/><Relationship Id="rId49" Type="http://schemas.openxmlformats.org/officeDocument/2006/relationships/externalLink" Target="externalLinks/externalLink26.xml"/><Relationship Id="rId114" Type="http://schemas.openxmlformats.org/officeDocument/2006/relationships/externalLink" Target="externalLinks/externalLink91.xml"/><Relationship Id="rId60" Type="http://schemas.openxmlformats.org/officeDocument/2006/relationships/externalLink" Target="externalLinks/externalLink37.xml"/><Relationship Id="rId81" Type="http://schemas.openxmlformats.org/officeDocument/2006/relationships/externalLink" Target="externalLinks/externalLink58.xml"/><Relationship Id="rId135" Type="http://schemas.openxmlformats.org/officeDocument/2006/relationships/externalLink" Target="externalLinks/externalLink112.xml"/><Relationship Id="rId156" Type="http://schemas.openxmlformats.org/officeDocument/2006/relationships/externalLink" Target="externalLinks/externalLink133.xml"/><Relationship Id="rId177" Type="http://schemas.openxmlformats.org/officeDocument/2006/relationships/externalLink" Target="externalLinks/externalLink154.xml"/><Relationship Id="rId18" Type="http://schemas.openxmlformats.org/officeDocument/2006/relationships/worksheet" Target="worksheets/sheet18.xml"/><Relationship Id="rId39" Type="http://schemas.openxmlformats.org/officeDocument/2006/relationships/externalLink" Target="externalLinks/externalLink1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16</xdr:col>
      <xdr:colOff>85725</xdr:colOff>
      <xdr:row>7</xdr:row>
      <xdr:rowOff>194100</xdr:rowOff>
    </xdr:from>
    <xdr:to>
      <xdr:col>18</xdr:col>
      <xdr:colOff>131310</xdr:colOff>
      <xdr:row>12</xdr:row>
      <xdr:rowOff>152400</xdr:rowOff>
    </xdr:to>
    <xdr:pic>
      <xdr:nvPicPr>
        <xdr:cNvPr id="2" name="Picture 1" descr="mp_logo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blip>
        <a:stretch>
          <a:fillRect/>
        </a:stretch>
      </xdr:blipFill>
      <xdr:spPr>
        <a:xfrm>
          <a:off x="10296525" y="1535220"/>
          <a:ext cx="1295265" cy="1200360"/>
        </a:xfrm>
        <a:prstGeom prst="rect">
          <a:avLst/>
        </a:prstGeom>
      </xdr:spPr>
    </xdr:pic>
    <xdr:clientData/>
  </xdr:twoCellAnchor>
  <xdr:twoCellAnchor editAs="oneCell">
    <xdr:from>
      <xdr:col>2</xdr:col>
      <xdr:colOff>304800</xdr:colOff>
      <xdr:row>6</xdr:row>
      <xdr:rowOff>0</xdr:rowOff>
    </xdr:from>
    <xdr:to>
      <xdr:col>5</xdr:col>
      <xdr:colOff>438150</xdr:colOff>
      <xdr:row>13</xdr:row>
      <xdr:rowOff>257175</xdr:rowOff>
    </xdr:to>
    <xdr:pic>
      <xdr:nvPicPr>
        <xdr:cNvPr id="3" name="Picture 2" descr="C:\Users\Admin\Desktop\mp logo.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1630680" y="1181100"/>
          <a:ext cx="2122170" cy="183451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190500</xdr:colOff>
      <xdr:row>36</xdr:row>
      <xdr:rowOff>523875</xdr:rowOff>
    </xdr:from>
    <xdr:to>
      <xdr:col>14</xdr:col>
      <xdr:colOff>219075</xdr:colOff>
      <xdr:row>43</xdr:row>
      <xdr:rowOff>0</xdr:rowOff>
    </xdr:to>
    <xdr:grpSp>
      <xdr:nvGrpSpPr>
        <xdr:cNvPr id="2" name="Group 37">
          <a:extLst>
            <a:ext uri="{FF2B5EF4-FFF2-40B4-BE49-F238E27FC236}">
              <a16:creationId xmlns:a16="http://schemas.microsoft.com/office/drawing/2014/main" id="{00000000-0008-0000-0400-000002000000}"/>
            </a:ext>
          </a:extLst>
        </xdr:cNvPr>
        <xdr:cNvGrpSpPr>
          <a:grpSpLocks/>
        </xdr:cNvGrpSpPr>
      </xdr:nvGrpSpPr>
      <xdr:grpSpPr bwMode="auto">
        <a:xfrm>
          <a:off x="9007929" y="17570904"/>
          <a:ext cx="1247775" cy="5800725"/>
          <a:chOff x="9410700" y="10229850"/>
          <a:chExt cx="1247775" cy="1943100"/>
        </a:xfrm>
      </xdr:grpSpPr>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flipH="1" flipV="1">
            <a:off x="9410700" y="12146332"/>
            <a:ext cx="12477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flipV="1">
            <a:off x="9410700" y="10831412"/>
            <a:ext cx="266700" cy="131492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00000000-0008-0000-0400-000005000000}"/>
              </a:ext>
            </a:extLst>
          </xdr:cNvPr>
          <xdr:cNvCxnSpPr/>
        </xdr:nvCxnSpPr>
        <xdr:spPr>
          <a:xfrm flipV="1">
            <a:off x="9667875" y="10272438"/>
            <a:ext cx="0" cy="57494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00000000-0008-0000-0400-000006000000}"/>
              </a:ext>
            </a:extLst>
          </xdr:cNvPr>
          <xdr:cNvCxnSpPr/>
        </xdr:nvCxnSpPr>
        <xdr:spPr>
          <a:xfrm>
            <a:off x="9677400" y="10245821"/>
            <a:ext cx="45720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00000000-0008-0000-0400-000007000000}"/>
              </a:ext>
            </a:extLst>
          </xdr:cNvPr>
          <xdr:cNvCxnSpPr/>
        </xdr:nvCxnSpPr>
        <xdr:spPr>
          <a:xfrm>
            <a:off x="10134600" y="10229850"/>
            <a:ext cx="0" cy="431208"/>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00000000-0008-0000-0400-000008000000}"/>
              </a:ext>
            </a:extLst>
          </xdr:cNvPr>
          <xdr:cNvCxnSpPr/>
        </xdr:nvCxnSpPr>
        <xdr:spPr>
          <a:xfrm>
            <a:off x="10134600" y="10661058"/>
            <a:ext cx="514350" cy="1511892"/>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537883</xdr:colOff>
      <xdr:row>135</xdr:row>
      <xdr:rowOff>22411</xdr:rowOff>
    </xdr:from>
    <xdr:to>
      <xdr:col>6</xdr:col>
      <xdr:colOff>336177</xdr:colOff>
      <xdr:row>150</xdr:row>
      <xdr:rowOff>33617</xdr:rowOff>
    </xdr:to>
    <xdr:sp macro="" textlink="">
      <xdr:nvSpPr>
        <xdr:cNvPr id="9" name="Arc 8">
          <a:extLst>
            <a:ext uri="{FF2B5EF4-FFF2-40B4-BE49-F238E27FC236}">
              <a16:creationId xmlns:a16="http://schemas.microsoft.com/office/drawing/2014/main" id="{00000000-0008-0000-0400-000009000000}"/>
            </a:ext>
          </a:extLst>
        </xdr:cNvPr>
        <xdr:cNvSpPr/>
      </xdr:nvSpPr>
      <xdr:spPr>
        <a:xfrm>
          <a:off x="903643" y="47213071"/>
          <a:ext cx="4118834" cy="2754406"/>
        </a:xfrm>
        <a:prstGeom prst="arc">
          <a:avLst>
            <a:gd name="adj1" fmla="val 15431052"/>
            <a:gd name="adj2" fmla="val 507041"/>
          </a:avLst>
        </a:prstGeom>
      </xdr:spPr>
      <xdr:style>
        <a:lnRef idx="1">
          <a:schemeClr val="dk1"/>
        </a:lnRef>
        <a:fillRef idx="0">
          <a:schemeClr val="dk1"/>
        </a:fillRef>
        <a:effectRef idx="0">
          <a:schemeClr val="dk1"/>
        </a:effectRef>
        <a:fontRef idx="minor">
          <a:schemeClr val="tx1"/>
        </a:fontRef>
      </xdr:style>
      <xdr:txBody>
        <a:bodyPr rtlCol="0" anchor="ctr"/>
        <a:lstStyle/>
        <a:p>
          <a:pPr algn="ctr"/>
          <a:endParaRPr 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60960</xdr:colOff>
          <xdr:row>103</xdr:row>
          <xdr:rowOff>304800</xdr:rowOff>
        </xdr:from>
        <xdr:to>
          <xdr:col>15</xdr:col>
          <xdr:colOff>480060</xdr:colOff>
          <xdr:row>104</xdr:row>
          <xdr:rowOff>60960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87406</xdr:colOff>
      <xdr:row>0</xdr:row>
      <xdr:rowOff>124946</xdr:rowOff>
    </xdr:from>
    <xdr:to>
      <xdr:col>23</xdr:col>
      <xdr:colOff>545728</xdr:colOff>
      <xdr:row>5</xdr:row>
      <xdr:rowOff>128308</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8936131" y="124946"/>
          <a:ext cx="3506322" cy="1241612"/>
        </a:xfrm>
        <a:prstGeom prst="rect">
          <a:avLst/>
        </a:prstGeom>
        <a:ln w="57150"/>
      </xdr:spPr>
      <xdr:style>
        <a:lnRef idx="2">
          <a:schemeClr val="accent6"/>
        </a:lnRef>
        <a:fillRef idx="1">
          <a:schemeClr val="lt1"/>
        </a:fillRef>
        <a:effectRef idx="0">
          <a:schemeClr val="accent6"/>
        </a:effectRef>
        <a:fontRef idx="minor">
          <a:schemeClr val="dk1"/>
        </a:fontRef>
      </xdr:style>
      <xdr:txBody>
        <a:bodyPr vertOverflow="clip" wrap="square" rtlCol="0" anchor="t"/>
        <a:lstStyle/>
        <a:p>
          <a:r>
            <a:rPr lang="en-IN" sz="3200" u="sng">
              <a:solidFill>
                <a:schemeClr val="tx2">
                  <a:lumMod val="60000"/>
                  <a:lumOff val="40000"/>
                </a:schemeClr>
              </a:solidFill>
              <a:latin typeface="Earwig Factory" pitchFamily="2" charset="0"/>
            </a:rPr>
            <a:t>NOTE </a:t>
          </a:r>
          <a:r>
            <a:rPr lang="en-IN" sz="3200" u="sng" baseline="0">
              <a:solidFill>
                <a:schemeClr val="tx2">
                  <a:lumMod val="60000"/>
                  <a:lumOff val="40000"/>
                </a:schemeClr>
              </a:solidFill>
              <a:latin typeface="Earwig Factory" pitchFamily="2" charset="0"/>
            </a:rPr>
            <a:t> :  </a:t>
          </a:r>
          <a:r>
            <a:rPr lang="en-IN" sz="1400" b="1" i="0" baseline="0">
              <a:solidFill>
                <a:schemeClr val="tx1">
                  <a:lumMod val="50000"/>
                  <a:lumOff val="50000"/>
                </a:schemeClr>
              </a:solidFill>
              <a:latin typeface="Credit Valley" pitchFamily="2" charset="0"/>
            </a:rPr>
            <a:t>Always  check the maximum height of boulder toe to be provided in </a:t>
          </a:r>
          <a:r>
            <a:rPr lang="en-IN" sz="1400" b="1" i="0" baseline="0">
              <a:solidFill>
                <a:srgbClr val="C00000"/>
              </a:solidFill>
              <a:latin typeface="Credit Valley" pitchFamily="2" charset="0"/>
            </a:rPr>
            <a:t>coloumn no. 7</a:t>
          </a:r>
          <a:endParaRPr lang="en-IN" sz="1400" b="1" i="0">
            <a:solidFill>
              <a:srgbClr val="C00000"/>
            </a:solidFill>
            <a:latin typeface="Credit Valley"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70</xdr:row>
      <xdr:rowOff>0</xdr:rowOff>
    </xdr:from>
    <xdr:to>
      <xdr:col>3</xdr:col>
      <xdr:colOff>0</xdr:colOff>
      <xdr:row>70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flipV="1">
          <a:off x="1645920" y="10614660"/>
          <a:ext cx="0" cy="0"/>
        </a:xfrm>
        <a:prstGeom prst="line">
          <a:avLst/>
        </a:prstGeom>
        <a:noFill/>
        <a:ln w="9525">
          <a:solidFill>
            <a:srgbClr val="000000"/>
          </a:solidFill>
          <a:round/>
          <a:headEnd/>
          <a:tailEnd/>
        </a:ln>
      </xdr:spPr>
    </xdr:sp>
    <xdr:clientData/>
  </xdr:twoCellAnchor>
  <xdr:twoCellAnchor>
    <xdr:from>
      <xdr:col>4</xdr:col>
      <xdr:colOff>533400</xdr:colOff>
      <xdr:row>70</xdr:row>
      <xdr:rowOff>0</xdr:rowOff>
    </xdr:from>
    <xdr:to>
      <xdr:col>4</xdr:col>
      <xdr:colOff>533400</xdr:colOff>
      <xdr:row>70</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flipV="1">
          <a:off x="2689860" y="10614660"/>
          <a:ext cx="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390525</xdr:colOff>
      <xdr:row>48</xdr:row>
      <xdr:rowOff>57150</xdr:rowOff>
    </xdr:from>
    <xdr:to>
      <xdr:col>15</xdr:col>
      <xdr:colOff>314325</xdr:colOff>
      <xdr:row>48</xdr:row>
      <xdr:rowOff>76200</xdr:rowOff>
    </xdr:to>
    <xdr:cxnSp macro="">
      <xdr:nvCxnSpPr>
        <xdr:cNvPr id="2" name="Straight Arrow Connector 1">
          <a:extLst>
            <a:ext uri="{FF2B5EF4-FFF2-40B4-BE49-F238E27FC236}">
              <a16:creationId xmlns:a16="http://schemas.microsoft.com/office/drawing/2014/main" id="{00000000-0008-0000-1700-000002000000}"/>
            </a:ext>
          </a:extLst>
        </xdr:cNvPr>
        <xdr:cNvCxnSpPr>
          <a:cxnSpLocks noChangeShapeType="1"/>
        </xdr:cNvCxnSpPr>
      </xdr:nvCxnSpPr>
      <xdr:spPr bwMode="auto">
        <a:xfrm flipV="1">
          <a:off x="7385685" y="7494270"/>
          <a:ext cx="2423160" cy="19050"/>
        </a:xfrm>
        <a:prstGeom prst="straightConnector1">
          <a:avLst/>
        </a:prstGeom>
        <a:noFill/>
        <a:ln w="9525" algn="ctr">
          <a:solidFill>
            <a:srgbClr val="000000"/>
          </a:solidFill>
          <a:round/>
          <a:headEnd/>
          <a:tailEnd type="arrow" w="med" len="me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PR\Jera\user\ISRMC\Super%20Passage@159.700%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se_01\4.%20DPR%20BIHAR\3.%20DPR%20MDR%20DIST-%20AURANGABAD\1.%20PRIORITY%20-I\NEW%20DPR%20DATED%2020-8-12(%20santosh)\AMBA%20TO%20DEV%20ROAD%20(%20MANJHI%20SIR%20)\CD%20Works(%20AMBA%20TO%20DEV%20ROAD)\6%20m%20span%20slab%20culvert\6.1%20Abstract%20of%20Cost-Fi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H:\Users\DEll\AppData\Roaming\Microsoft\Excel\Balgaon(old)\Data\Balgaon%20Tank.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H:\excel%20recovery\Jali_Tank_PFR_Design.xlsm"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H:\Users\EGIS%20-10\AppData\Roaming\Microsoft\Excel\Data%20from%20arun\Lahargaon\Lahargaon\Report\Design%20File\Lahargaon%20Lift%20Irrigation.xlsm"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ACE-MAIN\Users\Damoh%20Project%20DPR%20PMGSY\Vidisha%20DPR\1.%20Sironj%20Letri%20Road%20to%20Dhodkhedi\D.P.R.JANUARY-2012\AA%20Refferences\Analysis%20of%20rates%20for%20Rural%20Roads\ARRR-ver-11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Users/EGIS%20-10/Desktop/Seja%20Tank%20PFR/Seja%20Tank_10.2.11/DESIGNE%20FILE/EXCAL%20FILE/Seja_Tank_Revised.xlsm"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nvda1\E\Fall%20Beldara%20Minor%20@%20RD%20394%20M.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G:\Completed%20Projects\PART-C\3.KUNDIYA\Design%20Files\Kundiya_Cutting-Filling%20(Final).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wk-2\d\DHAVAN\DPR.ODK\ARRR-ver-110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G:\DPR\Jera\Agalpur%20PH%20C-3\19.6.15\Users\jayasree.s\Documents\My%20Received%20Files\Document%20For%20Single%20Storey%20F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ACE_MG\data\ashu%20(e)\BHOPAL-PWD\AYAPPA%20TEMPLE%20TO%20AIRPORT\PRINT-ESTIMATE-Ayappa%20Temple%20to%20Air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7.212\Rahul\Gururaj\0.718%20UT\under_tunnel_0.718.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Ghat%20Hydrabad\Design%20of%20Ghat%20As%20per%20Geotechnical%20Report\My%20Documents\Belekar\Conversion\Conv%20-%20Final.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Backup%20of%20M.M%20Com.%2012112008\Bhagalpur%20District\TS%20Sonhaoula\MyWorks\Chapra%20DPR\MORD%20Rate%20Analysis%20(Sara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G:\Part%20C\Deb%20Goi\Satwadi%20Barrage.xlsm"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Users\EGIS%20-10\Desktop\Bhamori%20part%20C\BHAMORI%20PART%20C\BHAMORI%20UNIT%202%20RENIEW\MAIN%20CANAL\MAIN%20CANAL%20EARTHWORK%20AND%20LINING%20COMPLETED\CUTTING%20AND%20FILLING%20STATEMENT_main%20canal%20bhamori%20TANK.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H:\Compliance\WATER%20PLANNING\Final%20water%20planning\Kundiya\Jan%2015\Dam%20Report\For%20Flood%20routing.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H:\gond%20design\Final%20DPR%20Gond%20project\Final%20DPR%20Gond%20By%20BS\BARKHEDA\Berkheda%20cost%20comparision\KARAM\Chiltya%20Barrage%20Report%20area%20capacity%20change.xlsm"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lient9\c\Documents%20and%20Settings\SANJAY%20PANDIT\My%20Documents\Excle%20File\WINDOWS\Temporary%20Internet%20Files\Content.IE5\CTAZWXIV\Project_Proposals_2002-03_23-8-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AACE_MG\data\d\BHOPAL-PWD\AYAPPA%20TEMPLE%20TO%20AIRPORT\PRINT-ESTIMATE-Ayappa%20Temple%20to%20Airport.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lntdatacenter\IPU%20ACTIVEPRJ\IPU\PU\DESIGN\WET\Vijayapandi\Jhunjhunu%20ph\2015.06.04%20Excel\(6)%20Wall,Wall%20Footing%20Design.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aa_Design_assigned_Moti\sept%2029\Bhonganalla_Tank_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Operating%20Jobs\DJB\caseC.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E:\Part%20C\Deb%20Goi\Deb_Goi_Link_Ongoing_final_R2.xlsm"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Users\egis-12\Desktop\Dhanesh\5.May_Last_Submission_Report\Heran%20sub-basin\Pipariya%20Tank%20and%20PUW\Wadada_Tank_R1.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Compliance\WATER%20PLANNING\Final%20water%20planning\Kundiya\May%2015\Kundiya%20Dam_0-05-15\VOL-II.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nvda-data\Common%20Share\Data\Reference\section%20trial.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lntdatacenter\IPU%20ACTIVEPRJ\IPU\PU\DESIGN\WET\SURE\OPERATING%20JOBS\Moradabad\IPS%20-1\Design%20calculations\Mech%20Rev%20-%20B\Sump-Limiting%20Crack%20Width%20Method\a-e)Wall%20design-C.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G:\DPR\BARKHEDA\R1_R4%20Revised%20AC%20Berkheda_CWR%20for%20CCA%209900%20Ha.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Users\Amitesh\Desktop\Observation\Observation\Berkheda%20TANK\Berkheda%20Headwork%20&amp;%20Pipe%20Final%20SOR%202015\PIPE%20%20BY%20LIFT%20&amp;%20GRAVITY\DATA\03-02-2016\ITOM\Behrda_Tank.dpr_R3.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G:\excel%20recovery\Kherda_Tank00\Kherda-Tank.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H:\Completed%20Projects\PART-C\4.KARAM\Design\Karam-Design%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212\F\Gururaj\0.718%20UT\under_tunnel_0.71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H:\Completed%20Projects\PART-C\3.KUNDIYA\Design%20Files\Bhadlen\Beharda\Berdha_DPR_Design%20Sheets\Behrda_Tank.dpr_R3.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Compliance\WATER%20PLANNING\Final%20water%20planning\Kundiya\Jan%2015\Dam%20Report\KARAM\Karam-Design%20(final).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DRCSERVER3\Design\WET-CIVIL\RVS\GENERAL\designs\walls\wall%20design%20-%20lateral%20mom.(ref.%20valve%20ch.).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administrator\e\My%20Disc%20(F)\New%20Folder1\new\Old%20programs\AQUEDUCT%20WITH%20PIER.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NVDA-DATA\itom\iii\DPR\Beni%20Nadi\Borkhedi_Tank_Medium%20Scheme_B&amp;C.xlsm"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otilal\d\i\current\OP\Sakuli\JASTAKHEDI_CUT%20OFF.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Edrcdatacenter\ActivePrj\BandIP\CTI\Design\Geotech\Bds\Operating\SALPG\Well%20Design\Well.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Rajsothwal\KBK%20_BOQ\SANKAR\KBK-ROADS\RAYAGADA%20ROADS\Kannabai\Siripai-6\Kanabai\Annexures\rayagada_28-11-05\Rate%20analysis%20_KBK_Rayagada.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H:\Completed%20Projects\PART-C\3.KUNDIYA\Design%20Files\Kundiya_Cutting-Filling%20(Final).xlsx"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G:\2007-D\DVD\CLIS-DESIGN\2%20JULY2007%20FORMAT-CLIS\HR%20FORMAT\FINAL\HR-FORMAT-12%20sept-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RIJNANDAN_MAIHAR_18-09-09\Brijnandan%2011-07-2009\forward%20from%20c.e.%20office\vrb\vrb.2877%20With%20Pieractual%20(Revised)%20on%2031-07-0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F\Documents%20and%20Settings\chandramauli\Desktop\2%20JULY2007%20FORMAT-CLIS\HR%20FORMAT\HR-FORMAT-22%20JULY-20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6F3DEF01\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H:\DPR\Jera\Agalpur%20PH%20C-3\19.6.15\OPERATING%20JOBS\Refrence%20doc\Gantry%20girder%20&amp;%20Corbel%20design-AMC.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H:\DPR\Jera\WET-CIVIL\RVS\OPERATING%20JOBS\C_NC_8\valve%20chamber\scr.%20vl-for2m%20dia%20pipe(LS).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G:\DPR\OF%20STABILITY.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edrcdatacenter\activeprj\IPU\PU\Design\WET\brj\Operating%20Jobs\O%203337%20RWTP%20Panipat\Reactivator%20Clarifier\Excel\Rev%20C%20not%20submitted\(7)%20Hydro%20Dynamic-C.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G:\DPR\Jera\Bansujara\900KL\CWR%20100MLD\Design\(8)%20Hydro%20dynamic.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Edrcserver2\Design\Civil-Stru\Chimneys\msh\GEOTECH\ASTRAL\DESIGN%20OF%20FOOTING.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VDA-DATA\Common%20Share\JON\REPORTS%20COMPLETED%20BY%20JOHNSON\UMRATH%20TANK\UNIT%202\KAVATHU%20VRB%20AT%201842%20M%20(RBC).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G:\itom\iii\Part%20C\Balgaon%20Tank\Detail%20Design%20and%20Drawing\Volume%20II\Unit%20II\Main%20And%20Minor%20Canal\Cut%20off\Main%20Canal%20Cut%20off_CCA522.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Users\Lavin\AppData\Roaming\Microsoft\Excel\Kundiya_Final_PARTC\Design%20Files\KUNDIYA%20MEDIUM%20PROJECT\Design\Behrda_Tank%20(version%202).xlsx"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G:\Users\Anand\Desktop\april\Lower%20beda.xlsm"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E:\Users\Gulshan\Desktop\design%20file%20reff\Kherda_Tank00\Kherda-Tank.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H:\Ghat%20Hydrabad\Design%20of%20Ghat%20As%20per%20Geotechnical%20Report\My%20data\2017%20PMGSY%20II\MRRDA%20DN%20GONDIA%2013-11-2016\ILODA%20TO%20RAJOLI%20ROAD\DPR%20%20ILODA%20TO%20RAJOLI%20ROAD%20FINAL.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kshay\e\WINDOWS\Desktop\Documents%20and%20Settings\mprrda\Desktop\My%20Documents\Excel\PRIORITIES\WINDOWS\Temporary%20Internet%20Files\Content.IE5\CTAZWXIV\Project_Proposals_2002-03_23-8-02.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drcdatacenter\Activeprj\IPU\PU\Design\CONTRACT\NP\OPERATING\KONASEEMA%20DM%20Plant-RWFT\(3a)%20Base%20Sla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G:\consultancy\MOHANPURA\CWR-MOHANPURA\Kadwaya%20-%20MASTER.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H:\Users\DEll\AppData\Roaming\Microsoft\Excel\Kundiya_Final_PARTC\Estimation\POI\Data\Satsoi%20Tank%20new%20new.xlsm"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nvda-data\Common%20Share\Users\DEll\Desktop\Kundiya%20FR\1.%20Kundiya_Tank(Choral)\DESIGNE%20FILE\EXCEL%20FILE\Kundiya_Tank_alt2_final.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Startup" Target="My%20Documents/Department/WR_Dham/RK_Jain/Dilawara_NABARD.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edrcdatacenter\ActivePrj\BandIP\CTI\Design\Geotech\BBR\Vemagiri\Super%20-stru\CWL23108(R0)\INTRO.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Shri-j1\D\P%20R%20O%20J%20E%20C%20T%20S\LINGALA\D.L.B.%20AT%20Km.%2023.25\DLRB-DESIGN%20AT%20KM%2023.25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nvda1\D\VRB%20MINOR\VRB%20at%20RD%20800%20m%20of%20SAgwaniyan%20Minor.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Users/Shobhit/AppData/Roaming/Microsoft/Excel/Users/egis-12/Desktop/Kherda%20Tank/BERDHA/Berdha_DPR_Design%20Sheets/Behrda_Tank.dpr_R3.xlsx"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H:\DPR\Jera\WET\Working\Pump%20House\Bhudlapali\02.11.2015\Common\Bhudlapali.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H:\Documents%20and%20Settings\Egis\Desktop\FR\Sample%20Report_final_r3.xlsx"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Documents%20and%20Settings/Administrator/Application%20Data/Microsoft/Excel/New%20Folder8/ATTA%20tank-%20HYDROLOGY.xlsm"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DPR\Handia%20Barrage\Hoshangabad%20Barrage\Hoshangabad%20Revised%20-%20EE\DAM%20ESTIMATE.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Users\DEll\AppData\Roaming\Microsoft\Excel\Kundiya_Final_PARTC\Kundiya%20DC\HR%20FOR%201LM%20AT%20RD%201690.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Startup" Target="Department/WR_Dhar/Kalibel/Change_Slope_main_dam_Design_Kalibel.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Startup" Target="Department/WR_Bhanpura/Structure_Ca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PR\Jera\user\ISRMC\Super%20Passage@159.700%20-2.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Startup" Target="Department/WR_Dhar/Jamanjhiri/Jamanziri_Details_Twise.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Startup" Target="Department/ManawarADM/manasya_d_X.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ec-m006b\d\MPRDC%20SH%20DPR\3.%20Draft%20DPR\DPR%20of%20SH%20Road%20send%20to%20MPRDC%2001.07.2007\15.Amanganj%20-%20Malhera%20(Sh-%2010)%20Road\Cost%20Estimate\R%20Doq-A%20-%20M%20(SH-10)%20Final%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DPR\Jera\Agalpur%20PH%20C-3\19.6.15\OPERATING%20JOBS\1.%20DESIGN%20WORKS\6.%20MAHARASTRA\1.%20FH\Part1%20&amp;%202%20-%20ref\1.BWR%20design.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akesh\d\TEMP\Palanpur%20-%20Udaipur\Traffic%20Analysis\Socio-Economic%20data-%20Rajastha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4.%20dpr%20bihar%20(2013)/JHARKHAND%20(%20SANTOSH%20)/DPR%20TEMP%20SIMDEGA%20%2008.09.201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temp-BIS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2007-D\DVD\CLIS-DESIGN\2%20JULY2007%20FORMAT-CLIS\HR%20FORMAT\FINAL\HR-FORMAT-12%20sept-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PR\Jera\Public-Nanneshaik\Chemical%20hous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barifalya\barifalya\unit%201\Crop%20Water%20Requirement%20for%20%20minor%20above%201000.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haira\d\RAJGARH\Narsinggarh%20sub%20divistion\BODA%20(NEW)\SOIL%20TEST%20REPORT-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rcdatacenter\activePrj\BandIP\CTI\Design\Geotech\crr\Operating\Kuttiyadi\Penstock\Shell-different-options\On%2026.10.04\CH%20for%20thicknes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gond%20design\Final%20DPR%20Gond%20project\Final%20DPR%20Gond%20By%20BS\BARKHEDA\Berkheda%20cost%20comparision\KARAM\Karam%20_barraige%20_Part%20c.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DPR\Jera\Agalpur%20PH%20C-3\19.6.15\Users\jayasree.s\Documents\My%20Received%20Files\GN-ST-06(2)(Design%20Sheet-Ruled).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se_01\SHARED%20ON%20SERVER\Documents%20and%20Settings\User\Desktop\Junk\desktop\DPR\dpr%20motihari\DPR\RATE%20ANL\PMGSY%20-Rate%20analys%20Betiah.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Completed%20Projects\PART-C\3.KUNDIYA\Design%20Files\DPR_Bharle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itom\iii\Part%20C\Kanti%20Tank\Volume%20I\PART%20C_KANTI_MINOR_IRRIGATION_DESIGN%20SHEE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Users\egis\Desktop\Karam_Medium%20Scheme_B&amp;C.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Users\Gulshan\Desktop\design%20file%20reff\Deb_Goi_Link_Ongoing_final_R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sn-ho-sridhar\public-sridhar\Public-Nanneshaik\Chemical%20house.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Users\Shobhit\Desktop\Barifalya_Tank%20_New_Updated.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itom\iii\Part%20C\Kanti%20Tank\PART%20C_KANTI_MINOR_IRRIGATION_DESIGN%20SHEE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Documents%20and%20Settings\asit\Desktop\Design-sarat\Narwat\Narwat%20fin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ii\Beda_Basin\worksheets\Report_Final\Sangavi_02\FR_Report_Sangavi_02.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DPR\Jera\Agalpur%20PH%20C-3\19.6.15\Public-BSNaik\OPERATING%20JOBS\ISSCO\SHS-3_Gallaery_30.11.09\Foundations%20SHS3\TR1\Rc%20details%20Pipe%20Rack%20Foundation%201%20to%206%20_30.06.0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itom\i\DUMP\personal\dont%20delet\modified%20CWR_t1.xlsm"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vda-data\Common%20Share\itom\i\DUMP\personal\dont%20delet\modified%20CWR_t1.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Users\DEll\AppData\Roaming\Microsoft\Excel\Kundiya_Final_PARTC\Estimation\POI\Data\Hydrology\jamanya%20tank%20by%20JK%20&amp;%20AD\JAMANYA%20TANK%20FINAL\jamanya%20tank-%20all%20new%2029%20nov.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nvda-data\Common%20Share\3.%20Nov-Dec-2010\Deb_River_sub%20basin\Mutmura%20Tank_asi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vda1\BRIJ%20NEW\Working\SP%2018975\sp18975hydraulic%20mod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VDA-DATA\Documents%20and%20Settings\Egis\Desktop\FR\Sample%20Report_final_r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G:\Users\Rohini\Desktop\Barifalya_Tank%20_New_Updated.xlsm"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VDA-DATA\Common%20Share\ongoing\Behrda_Tank.dpr_R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Gulshan\Desktop\design%20file%20reff\DPR_KHERDA_MINOR_IRRIGATION%20_PROJECT.xlsm"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Users\Rohini\Desktop\Barifalya_Tank%20_New_Updated.xlsm"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DPR\Jera\workings\operating\Nagaur\Clariflocculator\Excel\Design%20Excel\Clariflocculator%20desig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Patil2\NISARGA%20(E)\PMGSY-Nandurbar-06-07\DPR\Block%20%20%20%20NAVAPUR\Copy%20of%20Estimate%20of%20Causeway%20@%20CH%2014080%20on%20Korad%20River.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vda1\D\Maihar_Backup\SANJEEV\SANJEEV_MAIHAR\@Marai%20Minor\Vertical%20Fall%201%20m%20at%20RD%2075%20M.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erver\g\WINDOWS\Desktop\Complete%20Data%20for%20DPR\PRIORITY%20ROADS\BADAMALAHRA\Belda\Ghuwara-%20Indora%20Road%20to%20Bhelda%20Village_DPR_21-11-0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VDA-DATA\REPORT%20SUBMITTED%20UPTIL%20DATE\chhirwa%20to%20submit\CHHITWA%20ALL\chhirwa%20tank\chhirwa%20all\Estimate%20Unit-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ISRMC/Super%20Passage@159.700%20-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Completed%20Projects\PART-C\3.KUNDIYA\Design%20Files\DPR_Bhadle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Users\DEll\AppData\Roaming\Microsoft\Excel\Kundiya_Final_PARTC\Estimation\POI\Data\Dhanesh\5.May_Last_Submission_Report\Heran%20sub-basin\Pipariya%20Tank%20and%20PUW\Wadada_Tank_R1.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ompd\compd_cdrive\My%20Documents\salem%20br%20est\br%20design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G:\bhiLyapani\dpr_bhilyapani%20dhawaliya%20complex.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Users\Lavin\AppData\Roaming\Microsoft\Excel\Kundiya_Final_PARTC\Design%20Files\KUNDIYA%20MEDIUM%20PROJECT\Design\DPR_Bharlen.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Startup" Target="Arihant_D_Drive/Department/Soil_C_Manawar/Bildari_Micro_M_Tank_Projec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Completed%20Projects\Darkali%20Tank%20no.1\Design\DPR%20below%20500%20H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DPR\Jera\Agalpur%20PH%20C-3\19.6.15\Private-Hariharanath\Ajmer%20tender%20document\Submission-WTP\INLET%20WORKS\R1-ineltworks-14-1-08\crackwidth-channelinel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aaa_Data_NVDa\A_DPR_NVDA\AAA_DPR_Mutmur%20Tank\Mutmur_design_dpr.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SONARA%20WORK\@DIRECT%20OFFTAKE%20MINOR%20OF%20SANAURA\COMPLET\FINAL\3%20Kharondhi%20Minor-1\CCA%20STATEMENT%20OF%20Kharondhi%20Minor-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esign-vrreddy\Public-Vrreddy\SP87.76-Design-09-12-0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Part%20C\revised%20Balgaon\Part%20I\Balgaon%20Tank_Trail%20CCA%20526_Area%20Capacity%20change_Final.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Users\Lavin\AppData\Roaming\Microsoft\Excel\Kundiya_Final_PARTC\Design%20Files\Beni_design_dpr_R1_final_dhanesh.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Users\Amitesh\Desktop\Observation\Part%20C%20Details\Lahargaon%20Tank%20Part%20C\Lahargaon%20Tank%20Data\Lahargaon%20DPR\Lahargaon\Report\Excel%20File\Design%20File\Lahargaon%20Lift%20Irrigation.xlsm"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E\PART%20C\BERDHA%20TANK\BERDH%20TANK%2005-01-2013\HR\HR%2008-01-2012\hr%20minor-1\HR%20AT%20minor-1%20m_R1.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Users/msi%20h110m/AppData/Roaming/Microsoft/Excel/DESIGN%20OF%20CANAL%20KHAPERKALAN_FINAL%20SUBMITTED.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chute%20fall%20by%20asit%20sir\by%20shobit\FINAL%20WORK\chhirwa%20tank\Data%20from%20arun%20sir\Lahargaon\Lahargaon\Report\Estimates\Estimate%20Unit-1.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G:\Users\DEll\AppData\Roaming\Microsoft\Excel\Kundiya_Final_PARTC\Estimation\POI\Data\Dhanesh\5.May_Last_Submission_Report\Heran%20sub-basin\Pipariya%20Tank%20and%20PUW\Pipariya%20Pickup%20Wier%20Tank.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H:\September-2010\aa_Design_assigned_Moti\sept%2029\Bhonganalla_Tank_2.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H:\AMLA%20DIVISION\AMLA%20SUB%20DIVISION%2028%20FEB%202014\sailent%20feature%2080%20colume%20AML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H:\Compliance\WATER%20PLANNING\Final%20water%20planning\Kundiya\Jan%2015\Dam%20Report\KARAM\Spillway\Satwadi%20Barrage_2may.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979438F1\VRB%20AT%201487%20m.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a49\RAHUL\Documents%20and%20Settings\chandramauli\Desktop\Sindhu\PRMC\SP-0+352\DESIGN\REF\EXCEL\HYDRAULICS%2030may%202006.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G:\PUBLIC%20-haranath\03-Rev(1)\STAAD\Delete\0-24-10-CV-700-CMR-DOC1-R(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G:\Shivpuri%20Tank\dpr_Shivpuri%20tank.xlsm"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H:\rajni%20canal%20work\Documents%20and%20Settings\Administrator\Desktop\ref\1.00Esti-DO-1%20@%200+242_100-1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My%20Work/Kanhan%20Complex_WRD%20Chhindwara/Sovna%20Diversion%20Weir_WRD%20Chhindwara/IDPR_Sovna%20Weir%20Diversion_WRD%20Chhindwara.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IRRIGATION%20STRUCTORS\AQADUCT\yesh%20R\Design%20of%20Aquduct%20old\BRIJNANDAN_MAIHAR_18-09-09\Brijnandan%2011-07-2009\forward%20from%20c.e.%20office\vrb\vrb.2877%20With%20Pieractual%20(Revised)%20on%2031-07-09.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BNIP-KNNL-DIRECT%20OUTLET%20CH-MASTER%20TEMPLATE%2017%20OCT%2020071"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NVDA-DATA\Common%20Share\Maihar_Backup\SANJEEV\SANJEEV_MAIHAR\@Marai%20Minor\FALL\FALL%204.039m%20@%20RD%20125m%20of%20MARAI%20MINOR\@Final%20Revised%20Design%20as%20per%20the%20SE%20for%204.039m%20fall%20at%20RD%20125m.xls"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Startup" Target="Department/WR_Dham/MK_Jain/Abdulla_Check_2.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ACE-MAIN\Users\Damoh%20Project%20DPR%20PMGSY\Vidisha%20DPR\1.%20Sironj%20Letri%20Road%20to%20Dhodkhedi\D.P.R.JANUARY-2012\AA%20Refferences\Documents%20and%20Settings\admin\Desktop\Admaliya\Admaliya_est.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Users/TUSHAR/Downloads/Projects/Pattalai/Hydraulic%20pattalai-Final.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Documents%20and%20Settings\mprrda\Desktop\My%20Documents\Excel\PRIORITIES\WINDOWS\Temporary%20Internet%20Files\Content.IE5\CTAZWXIV\Project_Proposals_2002-03_23-8-0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H:\itom\iii\B%20&amp;%20C\Beda%20Part-I\2.FR_Sangavi_Tank_01.xlsm"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easibility%20Report/Karanjwani%20Tank/1.revised%20Design/Karanjwani_Submission.xlsm"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H:\Documents%20and%20Settings\Asit.K.Mohanty\Desktop\Dhanesh\FINAL_DHANESH_MARCH_PRINTOUT\Choral_Sub-Basin_I\Design%20File\Sejwani_Tank(Storag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sheetName val="wind for SP"/>
      <sheetName val="SP (4)"/>
      <sheetName val="wind for SP (4)"/>
      <sheetName val="footing Mx4"/>
      <sheetName val="footingMz4"/>
      <sheetName val="concrete ret wall"/>
      <sheetName val="Deck Slab"/>
      <sheetName val="concrete ret wall (2)"/>
      <sheetName val="footing (4)"/>
      <sheetName val="footing for SP"/>
      <sheetName val="footing for SP(2)"/>
      <sheetName val="Design Pad - 1"/>
      <sheetName val="Design Pad - 1 (2)"/>
      <sheetName val="slab bridge"/>
      <sheetName val="Box type"/>
      <sheetName val="pier"/>
      <sheetName val="footing"/>
      <sheetName val="Wind-old "/>
      <sheetName val="SP (2)"/>
      <sheetName val="SP (3)"/>
      <sheetName val="SP (with hloss for rec)"/>
      <sheetName val="Masonry"/>
      <sheetName val="Flight-1"/>
      <sheetName val="Typical beam calc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F10" t="str">
            <v>FOOTING</v>
          </cell>
        </row>
        <row r="97">
          <cell r="F97">
            <v>297.05500000000001</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C"/>
      <sheetName val="AOC (2)"/>
      <sheetName val="AOC (3)"/>
      <sheetName val="01"/>
      <sheetName val="02"/>
      <sheetName val="03"/>
      <sheetName val="04"/>
      <sheetName val="05"/>
      <sheetName val="06"/>
      <sheetName val="07"/>
      <sheetName val="08"/>
      <sheetName val="09"/>
      <sheetName val="10"/>
      <sheetName val="11"/>
      <sheetName val="12"/>
      <sheetName val="AOC 05.06.10"/>
      <sheetName val="Final Abstract"/>
      <sheetName val="Basicrates"/>
      <sheetName val="DATA"/>
      <sheetName val="Design_OLD"/>
      <sheetName val="MDD2"/>
      <sheetName val="MDD3"/>
      <sheetName val="RATE_MA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oject at glance"/>
      <sheetName val="Index map"/>
      <sheetName val="2_Brief_Desci"/>
      <sheetName val="3_Constituent_Statetement"/>
      <sheetName val="4-Salient_features"/>
      <sheetName val="5_General_Reports"/>
      <sheetName val="6_Comp_sur_ong_sch"/>
      <sheetName val="6_Comp_sur_ong_sch (2)"/>
      <sheetName val="7_Comp_Proposed_Schemes (2)"/>
      <sheetName val="7_Comp_Proposed_Schemes"/>
      <sheetName val="Sheet7"/>
      <sheetName val="Sheet8"/>
      <sheetName val="8_Interpretations_Soils"/>
      <sheetName val="9_AGR_Stati"/>
      <sheetName val="CENSUS aREA"/>
      <sheetName val="10_Rainfall_Data"/>
      <sheetName val="11_Rainfall_Runoff_jobat"/>
      <sheetName val="11_Rainfall_Runoff_Kogaon"/>
      <sheetName val="11.Rainfall_Runoff_Pati"/>
      <sheetName val="11_Rainfall_Runoff"/>
      <sheetName val="12_Dependable Yield"/>
      <sheetName val="13_Area_capacity_Table"/>
      <sheetName val="14_Fix_Leve_Table"/>
      <sheetName val="15_Water_Planning"/>
      <sheetName val="16_Drinking &amp; Ind Water use"/>
      <sheetName val="Badwani"/>
      <sheetName val="BADNAWAR"/>
      <sheetName val="17__Abst.CWR(Overall)"/>
      <sheetName val="17__Abst.CWR(Lift R)"/>
      <sheetName val="18_CWR(Overall)"/>
      <sheetName val="18_CWR(G)"/>
      <sheetName val="17__Abst.CWR(Gravity)"/>
      <sheetName val="IWR_Rabi_CP1_Alirajpur_CWR(G)"/>
      <sheetName val="18_CWR (Lift)"/>
      <sheetName val="IWR_Rabi_CP1_Alirajpur_CWR (Li)"/>
      <sheetName val="IWR_Rabi_CP1_Alirajpur_CWR( (O)"/>
      <sheetName val="CCA"/>
      <sheetName val="19__Penmen ETO"/>
      <sheetName val="Table_4_Annual Rainfall "/>
      <sheetName val="20a_Sluices_beni_RBC"/>
      <sheetName val="20b_Sluices_beni_LBC "/>
      <sheetName val="21_Waste_Weir New"/>
      <sheetName val="Waste_Weir"/>
      <sheetName val="Area_Capacity"/>
      <sheetName val="22_Ogee Spillway "/>
      <sheetName val="23_Design_Wast_weir_chanel"/>
      <sheetName val="Hyd_Jum_WA"/>
      <sheetName val="Chute fall Design"/>
      <sheetName val="Chute Fall"/>
      <sheetName val="Chute fall Design (2)"/>
      <sheetName val="Bed Slope"/>
      <sheetName val="Working Table"/>
      <sheetName val="Bed Slope (2)"/>
      <sheetName val="Baghad Spill channel"/>
      <sheetName val="24_General_Abstract"/>
      <sheetName val="25_a__BC"/>
      <sheetName val="25_b_before"/>
      <sheetName val="Binnies"/>
      <sheetName val="Table_4_KC Values"/>
      <sheetName val="26_General_Abstract_!2"/>
      <sheetName val="25_c_After"/>
      <sheetName val="Quary Map"/>
      <sheetName val="Collector_Rate"/>
      <sheetName val="Part-III,Check"/>
      <sheetName val="27-Preli_Check"/>
      <sheetName val="28_Proforma_2"/>
      <sheetName val="29_Proforma_3"/>
      <sheetName val="30_Stage_1_estimate"/>
      <sheetName val="31_Adminst_Appr"/>
      <sheetName val="32_Check_state_Irri"/>
      <sheetName val="Hindi Matrials"/>
      <sheetName val="Arc GIS DATA"/>
      <sheetName val="Rainfall_Rajpura"/>
      <sheetName val="Water_Planning"/>
      <sheetName val="Fixation_Principal_Level"/>
      <sheetName val="Water Use US"/>
      <sheetName val="Sheet1"/>
      <sheetName val="Cut off"/>
      <sheetName val="Balgaon Tank_Dam_Profile"/>
      <sheetName val="W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2">
          <cell r="G42">
            <v>1132.4920664874999</v>
          </cell>
        </row>
      </sheetData>
      <sheetData sheetId="14"/>
      <sheetData sheetId="15"/>
      <sheetData sheetId="16"/>
      <sheetData sheetId="17"/>
      <sheetData sheetId="18"/>
      <sheetData sheetId="19"/>
      <sheetData sheetId="20"/>
      <sheetData sheetId="21"/>
      <sheetData sheetId="22"/>
      <sheetData sheetId="23"/>
      <sheetData sheetId="24">
        <row r="87">
          <cell r="D87">
            <v>0</v>
          </cell>
        </row>
      </sheetData>
      <sheetData sheetId="25"/>
      <sheetData sheetId="26"/>
      <sheetData sheetId="27"/>
      <sheetData sheetId="28"/>
      <sheetData sheetId="29"/>
      <sheetData sheetId="30"/>
      <sheetData sheetId="31">
        <row r="57">
          <cell r="G57">
            <v>0.61369378563076915</v>
          </cell>
        </row>
      </sheetData>
      <sheetData sheetId="32"/>
      <sheetData sheetId="33"/>
      <sheetData sheetId="34"/>
      <sheetData sheetId="35"/>
      <sheetData sheetId="36"/>
      <sheetData sheetId="37"/>
      <sheetData sheetId="38"/>
      <sheetData sheetId="39"/>
      <sheetData sheetId="40"/>
      <sheetData sheetId="41">
        <row r="14">
          <cell r="F14">
            <v>1</v>
          </cell>
        </row>
      </sheetData>
      <sheetData sheetId="42"/>
      <sheetData sheetId="43">
        <row r="5">
          <cell r="A5">
            <v>1</v>
          </cell>
        </row>
      </sheetData>
      <sheetData sheetId="44"/>
      <sheetData sheetId="45">
        <row r="113">
          <cell r="F113">
            <v>4.8688305521597908</v>
          </cell>
        </row>
      </sheetData>
      <sheetData sheetId="46">
        <row r="94">
          <cell r="H94" t="str">
            <v>SQRT(2gH1)</v>
          </cell>
        </row>
      </sheetData>
      <sheetData sheetId="47"/>
      <sheetData sheetId="48"/>
      <sheetData sheetId="49"/>
      <sheetData sheetId="50">
        <row r="3">
          <cell r="J3">
            <v>336.11660000000001</v>
          </cell>
        </row>
      </sheetData>
      <sheetData sheetId="51"/>
      <sheetData sheetId="52"/>
      <sheetData sheetId="53"/>
      <sheetData sheetId="54"/>
      <sheetData sheetId="55"/>
      <sheetData sheetId="56"/>
      <sheetData sheetId="57">
        <row r="38">
          <cell r="K38">
            <v>1</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7">
          <cell r="A7">
            <v>1</v>
          </cell>
        </row>
      </sheetData>
      <sheetData sheetId="73">
        <row r="32">
          <cell r="K32">
            <v>844</v>
          </cell>
        </row>
      </sheetData>
      <sheetData sheetId="74">
        <row r="2">
          <cell r="Q2">
            <v>2.2478912734497447</v>
          </cell>
        </row>
      </sheetData>
      <sheetData sheetId="75"/>
      <sheetData sheetId="76"/>
      <sheetData sheetId="77"/>
      <sheetData sheetId="78"/>
      <sheetData sheetId="7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free Catch"/>
      <sheetName val="Tanks_Jali"/>
      <sheetName val="Rainfall-Runoff"/>
      <sheetName val="75% Rainfall"/>
      <sheetName val="75%_RF"/>
      <sheetName val="yield_cal"/>
      <sheetName val="Table_2"/>
      <sheetName val="Table_3"/>
      <sheetName val="Table_4"/>
      <sheetName val="Table_5"/>
      <sheetName val="Table_6"/>
      <sheetName val="Table_7"/>
      <sheetName val="Table_8"/>
      <sheetName val="Table_9"/>
      <sheetName val="Waste_Weir"/>
      <sheetName val="Area_Capacity"/>
      <sheetName val="Fixation_Principal_Level"/>
      <sheetName val="WR"/>
      <sheetName val="Estimation_fINAL"/>
      <sheetName val="WR (2)"/>
      <sheetName val="Rainfall_Khargone"/>
      <sheetName val="Binnies"/>
      <sheetName val="P.E"/>
      <sheetName val="Water_Planning"/>
      <sheetName val="Sheet1"/>
      <sheetName val="Sheet3"/>
      <sheetName val="Rainfall"/>
      <sheetName val="Schemes"/>
      <sheetName val="Sheet2"/>
      <sheetName val="17__Abst.CWR(Grav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5">
          <cell r="A5">
            <v>1</v>
          </cell>
        </row>
      </sheetData>
      <sheetData sheetId="20">
        <row r="2">
          <cell r="P2">
            <v>5.0999999999999996</v>
          </cell>
        </row>
      </sheetData>
      <sheetData sheetId="21">
        <row r="23">
          <cell r="J23">
            <v>1164.4000000000001</v>
          </cell>
        </row>
      </sheetData>
      <sheetData sheetId="22" refreshError="1"/>
      <sheetData sheetId="23">
        <row r="23">
          <cell r="J23">
            <v>202.5</v>
          </cell>
        </row>
      </sheetData>
      <sheetData sheetId="24">
        <row r="5">
          <cell r="A5">
            <v>1</v>
          </cell>
        </row>
      </sheetData>
      <sheetData sheetId="25">
        <row r="7">
          <cell r="E7">
            <v>14.540960000000002</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Table_9"/>
      <sheetName val="IF"/>
      <sheetName val="Weighted Rainfall"/>
      <sheetName val="Estimation_fINAL"/>
      <sheetName val="Area_Capacity"/>
      <sheetName val="Binnies"/>
      <sheetName val="Drinking &amp; Industrial Water use"/>
      <sheetName val="pop calc"/>
      <sheetName val="Fixation_Principal_Level"/>
      <sheetName val="Waste_Weir"/>
      <sheetName val="Ogee Spillway (2)"/>
      <sheetName val="Splii_Chanel_L_Section"/>
      <sheetName val="Lahargaon_Spill_Channel_Profile"/>
      <sheetName val="Existing and proposed schemes"/>
      <sheetName val="P.E"/>
      <sheetName val="area"/>
      <sheetName val="Sheet1"/>
      <sheetName val="Sheet3"/>
      <sheetName val="Sheet2"/>
      <sheetName val="CCA_cal (Gravity)"/>
      <sheetName val="CCA_cal (Lift)"/>
      <sheetName val="Penmen ETO"/>
      <sheetName val="CCA-All"/>
      <sheetName val="Annual Rainfall"/>
      <sheetName val="CCA for Gravity &amp; Lift "/>
      <sheetName val="CCA_cal"/>
      <sheetName val="CCA_cal (2)"/>
      <sheetName val="WR"/>
      <sheetName val="Annual Rainfall (L)"/>
      <sheetName val="Penmen ETO (L)"/>
      <sheetName val="Water_Planning"/>
      <sheetName val="Pump Capacity cal"/>
      <sheetName val="Design of Sluice"/>
      <sheetName val="Sump Chamber &amp; Dist. Chamber"/>
      <sheetName val="CWR(G)"/>
      <sheetName val="Crop Pattern and Area(G)"/>
      <sheetName val="IWR_Rabi_CP1_Barwani_CWR(G)"/>
      <sheetName val="CWR (L)"/>
      <sheetName val="Crop Pattern and Area (L)"/>
      <sheetName val="IWR_Rabi_CP1_Barwani_CWR (L)"/>
      <sheetName val="spill  L-SECTION OF LAHARGAON T"/>
      <sheetName val="Sheet1 (2)"/>
      <sheetName val="Spill channel"/>
      <sheetName val="Balancing_Profile"/>
      <sheetName val="Outlets"/>
      <sheetName val="Outlets (combined)"/>
      <sheetName val="Outlets (Lift_LBC)"/>
      <sheetName val="Outlets (Lift_RBC)"/>
      <sheetName val="DAM L-SECTION OF LAHARGAON TANK"/>
      <sheetName val="Submergence Details"/>
      <sheetName val="Submergence LULC"/>
      <sheetName val="Main canal"/>
      <sheetName val="RBC Lift"/>
      <sheetName val="LBC lift"/>
      <sheetName val="Sheet6"/>
      <sheetName val="Lahargaon Lift Irrigation"/>
      <sheetName val="WR (2)"/>
      <sheetName val="UH"/>
      <sheetName val="Rou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IWR_Rabi_CP1_Barwani_CWR (L)"/>
      <sheetName val="IWR_Rabi_CP1_Barwani_CWR(G)"/>
      <sheetName val="Water_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older"/>
      <sheetName val="WR (Barwani Block)"/>
      <sheetName val="Table_9"/>
      <sheetName val="Binnies"/>
      <sheetName val="Sheet5"/>
      <sheetName val="Waste_Weir"/>
      <sheetName val="Fixation_Principal_Level"/>
      <sheetName val="Malveli tank_Rainfall"/>
      <sheetName val="Rainfall_Jobat_Rainfall_Runoff"/>
      <sheetName val="WR"/>
      <sheetName val="Water_Planning"/>
      <sheetName val="Estimation_Final (R)"/>
      <sheetName val="Seja_tank"/>
      <sheetName val="Area_Capacity"/>
      <sheetName val="Rainfall"/>
      <sheetName val="WR (2)"/>
      <sheetName val="P.E"/>
      <sheetName val="Sheet1"/>
      <sheetName val="Sheet3"/>
      <sheetName val="Sheet2"/>
    </sheetNames>
    <sheetDataSet>
      <sheetData sheetId="0">
        <row r="14">
          <cell r="G14" t="str">
            <v xml:space="preserve"> 22°18'34.526"N </v>
          </cell>
        </row>
      </sheetData>
      <sheetData sheetId="1">
        <row r="54">
          <cell r="D54" t="str">
            <v>Alirajpur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E4">
            <v>819.08558336363637</v>
          </cell>
        </row>
      </sheetData>
      <sheetData sheetId="15" refreshError="1"/>
      <sheetData sheetId="16">
        <row r="3">
          <cell r="U3" t="str">
            <v>Flush Bar</v>
          </cell>
        </row>
      </sheetData>
      <sheetData sheetId="17">
        <row r="2">
          <cell r="P2">
            <v>7.4085044844904306</v>
          </cell>
        </row>
      </sheetData>
      <sheetData sheetId="18">
        <row r="2">
          <cell r="T2">
            <v>1941</v>
          </cell>
        </row>
      </sheetData>
      <sheetData sheetId="19">
        <row r="3">
          <cell r="C3" t="str">
            <v>Alirajpur</v>
          </cell>
        </row>
        <row r="87">
          <cell r="FF87">
            <v>0.13419925547499995</v>
          </cell>
        </row>
        <row r="91">
          <cell r="FF91">
            <v>0.25528872393427271</v>
          </cell>
        </row>
        <row r="98">
          <cell r="F98">
            <v>0.70394839905475193</v>
          </cell>
        </row>
      </sheetData>
      <sheetData sheetId="20">
        <row r="23">
          <cell r="J23">
            <v>2390.5</v>
          </cell>
        </row>
      </sheetData>
      <sheetData sheetId="21" refreshError="1"/>
      <sheetData sheetId="22" refreshError="1"/>
      <sheetData sheetId="23" refreshError="1"/>
      <sheetData sheetId="24">
        <row r="5">
          <cell r="A5">
            <v>1</v>
          </cell>
        </row>
      </sheetData>
      <sheetData sheetId="25" refreshError="1"/>
      <sheetData sheetId="26">
        <row r="23">
          <cell r="J23">
            <v>12.4</v>
          </cell>
        </row>
        <row r="24">
          <cell r="J24">
            <v>53.6</v>
          </cell>
        </row>
      </sheetData>
      <sheetData sheetId="27" refreshError="1"/>
      <sheetData sheetId="28" refreshError="1"/>
      <sheetData sheetId="29" refreshError="1"/>
      <sheetData sheetId="3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Report"/>
      <sheetName val="genral abstract"/>
      <sheetName val="Abstract"/>
      <sheetName val="Estmate"/>
      <sheetName val="Consumption and lead statement "/>
      <sheetName val="KM WISE LEAD"/>
      <sheetName val="US WW"/>
      <sheetName val="WW Near Crest"/>
      <sheetName val="DS WW"/>
      <sheetName val="WING WALL SECTIONS"/>
      <sheetName val="routing (2)"/>
      <sheetName val="Fixation_Principal_Level"/>
      <sheetName val="Spill-Hydro design"/>
      <sheetName val="HFL Calculation (routed)"/>
      <sheetName val="BS8007"/>
      <sheetName val="Sheet1"/>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NDIYA_TANK"/>
      <sheetName val="Main_Canal_Data_balgaon"/>
      <sheetName val="Sheet1"/>
      <sheetName val="Sheet2"/>
      <sheetName val="Sheet3"/>
      <sheetName val="Labour"/>
      <sheetName val="Material"/>
      <sheetName val="Plant &amp;  Machinery"/>
    </sheetNames>
    <sheetDataSet>
      <sheetData sheetId="0"/>
      <sheetData sheetId="1">
        <row r="2">
          <cell r="A2">
            <v>0</v>
          </cell>
        </row>
      </sheetData>
      <sheetData sheetId="2"/>
      <sheetData sheetId="3"/>
      <sheetData sheetId="4"/>
      <sheetData sheetId="5" refreshError="1"/>
      <sheetData sheetId="6" refreshError="1"/>
      <sheetData sheetId="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BAR CHART"/>
      <sheetName val="Sheet3"/>
      <sheetName val="Main_Canal_Data_balgaon"/>
      <sheetName val="Hydraulic"/>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Introduction"/>
      <sheetName val="Loadings"/>
      <sheetName val="Load Comb"/>
      <sheetName val="Load Comb (2)"/>
      <sheetName val="Load Comb (3)"/>
      <sheetName val="Staad Model"/>
      <sheetName val="Guidelines"/>
      <sheetName val="Labour"/>
      <sheetName val="Material"/>
      <sheetName val="Plant &amp;  Machinery"/>
      <sheetName val="W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dex"/>
      <sheetName val="Gen_ABSTRACT"/>
      <sheetName val="Comprative"/>
      <sheetName val="PART-I"/>
      <sheetName val="PART-Extra"/>
      <sheetName val="PART-Extra (2)"/>
      <sheetName val="CD_ABSTRACT"/>
      <sheetName val="C.D.Inventary"/>
      <sheetName val="hp_cd_table"/>
      <sheetName val="4.0x2.0"/>
      <sheetName val="2x1000 HPC"/>
      <sheetName val="1x1000 HPC"/>
      <sheetName val="PART-IV"/>
      <sheetName val="PART-V"/>
      <sheetName val="VOLUME-10.5M WIDTH"/>
      <sheetName val="Retainingwall qty"/>
      <sheetName val="Table 4.4"/>
      <sheetName val="Concrete_D."/>
      <sheetName val="Loadings"/>
      <sheetName val="Waste_Weir"/>
      <sheetName val="Sheet3"/>
      <sheetName val="Labour"/>
      <sheetName val="Material"/>
      <sheetName val="Plant &amp;  Machin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
      <sheetName val="Below_Earth"/>
      <sheetName val="Below_Water"/>
      <sheetName val="Ld_Diagms"/>
      <sheetName val="OUTPUT_MEMBER"/>
      <sheetName val="OUTPUT_REACTIONS"/>
      <sheetName val="RWALL_MAX"/>
      <sheetName val="RWALL_MIN"/>
      <sheetName val="HEADWALL"/>
      <sheetName val="AREA-VELOCITY"/>
      <sheetName val="01"/>
      <sheetName val="02"/>
      <sheetName val="03"/>
      <sheetName val="04"/>
      <sheetName val="DATA"/>
    </sheetNames>
    <sheetDataSet>
      <sheetData sheetId="0"/>
      <sheetData sheetId="1">
        <row r="12">
          <cell r="H12">
            <v>25</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Conv - Final"/>
      <sheetName val="IInd  RA"/>
      <sheetName val="Concrete_D."/>
    </sheetNames>
    <sheetDataSet>
      <sheetData sheetId="0" refreshError="1"/>
      <sheetData sheetId="1"/>
      <sheetData sheetId="2"/>
      <sheetData sheetId="3" refreshError="1"/>
      <sheetData sheetId="4" refreshError="1"/>
      <sheetData sheetId="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CBR"/>
      <sheetName val="MDD-OMC "/>
      <sheetName val="Unconnec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2-final"/>
      <sheetName val="Barrage Design (F)"/>
      <sheetName val="UndersluiceBay(F)"/>
      <sheetName val="OtherBarrageBay(F)"/>
      <sheetName val="Spillway rating curve"/>
      <sheetName val="Stability of Dam"/>
      <sheetName val="Table_1"/>
      <sheetName val="Table_4"/>
      <sheetName val="Table_8"/>
      <sheetName val="Final Abstract"/>
      <sheetName val="Influence Factor"/>
      <sheetName val="Rainfall for Satwari"/>
      <sheetName val="WRF"/>
      <sheetName val="Rainfall"/>
      <sheetName val="Arc_GIS"/>
      <sheetName val="Sheet2"/>
      <sheetName val="Satge Discharge Curve"/>
      <sheetName val="Rainfall Ratio"/>
      <sheetName val="WR-Final"/>
      <sheetName val="WR-Final (2)"/>
      <sheetName val="L Section of Satwadi Barrage"/>
      <sheetName val="Area_Capacity"/>
      <sheetName val="Sept-Runoff data  at Kogaon"/>
      <sheetName val="Rainfall Runoff Eq"/>
      <sheetName val="Sheet1"/>
      <sheetName val="Estimation_detailed"/>
      <sheetName val="Canal Discharge &amp; Section"/>
      <sheetName val="canal Details"/>
      <sheetName val="Lat Long"/>
      <sheetName val="Material"/>
      <sheetName val="Plant &amp;  Machinery"/>
      <sheetName val="Sheet4"/>
    </sheetNames>
    <sheetDataSet>
      <sheetData sheetId="0"/>
      <sheetData sheetId="1" refreshError="1"/>
      <sheetData sheetId="2"/>
      <sheetData sheetId="3" refreshError="1"/>
      <sheetData sheetId="4">
        <row r="4">
          <cell r="AX4">
            <v>0.2</v>
          </cell>
        </row>
      </sheetData>
      <sheetData sheetId="5" refreshError="1"/>
      <sheetData sheetId="6"/>
      <sheetData sheetId="7" refreshError="1"/>
      <sheetData sheetId="8">
        <row r="6">
          <cell r="C6" t="str">
            <v>Cotton-Premonsoon</v>
          </cell>
        </row>
      </sheetData>
      <sheetData sheetId="9"/>
      <sheetData sheetId="10" refreshError="1"/>
      <sheetData sheetId="11" refreshError="1"/>
      <sheetData sheetId="12">
        <row r="28">
          <cell r="AD28">
            <v>235.7015504031904</v>
          </cell>
        </row>
      </sheetData>
      <sheetData sheetId="13" refreshError="1"/>
      <sheetData sheetId="14" refreshError="1"/>
      <sheetData sheetId="15" refreshError="1"/>
      <sheetData sheetId="16" refreshError="1"/>
      <sheetData sheetId="17" refreshError="1"/>
      <sheetData sheetId="18" refreshError="1"/>
      <sheetData sheetId="19">
        <row r="43">
          <cell r="E43">
            <v>3750</v>
          </cell>
        </row>
      </sheetData>
      <sheetData sheetId="20" refreshError="1"/>
      <sheetData sheetId="21" refreshError="1"/>
      <sheetData sheetId="22" refreshError="1"/>
      <sheetData sheetId="23" refreshError="1"/>
      <sheetData sheetId="24" refreshError="1"/>
      <sheetData sheetId="25" refreshError="1"/>
      <sheetData sheetId="26">
        <row r="26">
          <cell r="G26">
            <v>840</v>
          </cell>
        </row>
      </sheetData>
      <sheetData sheetId="27" refreshError="1"/>
      <sheetData sheetId="28">
        <row r="2">
          <cell r="D2">
            <v>25556.605948337099</v>
          </cell>
        </row>
      </sheetData>
      <sheetData sheetId="29">
        <row r="16">
          <cell r="B16">
            <v>135.625</v>
          </cell>
        </row>
      </sheetData>
      <sheetData sheetId="30" refreshError="1"/>
      <sheetData sheetId="31" refreshError="1"/>
      <sheetData sheetId="3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MORI MAIN CANAL_TANK"/>
      <sheetName val="Details"/>
      <sheetName val="Main_Canal_Data_balgaon"/>
      <sheetName val="canal Details"/>
    </sheetNames>
    <sheetDataSet>
      <sheetData sheetId="0"/>
      <sheetData sheetId="1" refreshError="1"/>
      <sheetData sheetId="2">
        <row r="2">
          <cell r="A2">
            <v>0</v>
          </cell>
        </row>
      </sheetData>
      <sheetData sheetId="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Table"/>
      <sheetName val="Type "/>
      <sheetName val="New 0"/>
      <sheetName val="Rev. Area"/>
      <sheetName val="flood"/>
      <sheetName val="Choral Ds Bed Slope"/>
      <sheetName val="flood_hyd"/>
      <sheetName val="Routing72-5"/>
      <sheetName val="Key"/>
      <sheetName val="Routed Hyd"/>
      <sheetName val="NFB"/>
      <sheetName val="MFB"/>
      <sheetName val="EFB (2)"/>
      <sheetName val="FB-1"/>
      <sheetName val="Ogee"/>
      <sheetName val="Chart1"/>
      <sheetName val="Downstream_Profile"/>
      <sheetName val="Upstream_Profile"/>
      <sheetName val="HFL Calculation(at Dam Axis)Q"/>
      <sheetName val="HFL Cal(at Dam Axis 0.75 Q)"/>
      <sheetName val="HFL Cal(at Dam Axis 0.5 Q)"/>
      <sheetName val="HFL Cal(at Dam Axis 0.25 Q)"/>
      <sheetName val="HFL Calculation(50 M)Q"/>
      <sheetName val="HFL Calculation(50 M) (0.75Q )"/>
      <sheetName val="HFL Calculation(50 M) (0.5Q)"/>
      <sheetName val="HFL Calculation(50 M) (0.25Q)"/>
      <sheetName val="HFL Calculation(100 M)Q"/>
      <sheetName val="HFL Calculation(100 M) (0.75Q)"/>
      <sheetName val="HFL Calculation(100 M) (0.5Q)"/>
      <sheetName val="HFL Calculation(100 M) (0.25)"/>
      <sheetName val="50 m and 100 mProfile"/>
      <sheetName val="Hyd Jump"/>
      <sheetName val="JHC vs TWC"/>
      <sheetName val="Tail water Rating "/>
      <sheetName val="Main_Canal_Data_balga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oject at glance"/>
      <sheetName val="Index map"/>
      <sheetName val="2_Brief_Desci"/>
      <sheetName val="3_Constituent_Statetement"/>
      <sheetName val="4.Salient_features"/>
      <sheetName val="4-Salient_features"/>
      <sheetName val="Water Use US (Live Storage)"/>
      <sheetName val="5_General_Reports"/>
      <sheetName val="6_Comp_sur_ong_sch"/>
      <sheetName val="6_Comp_sur_ong_sch (2)"/>
      <sheetName val="7_Comp_Proposed_Schemes (2)"/>
      <sheetName val="7_Comp_Proposed_Schemes"/>
      <sheetName val="Sheet7"/>
      <sheetName val="Sheet8"/>
      <sheetName val="8_Interpretations_Soils"/>
      <sheetName val="9_AGR_Stati"/>
      <sheetName val="CENSUS aREA"/>
      <sheetName val="10_Rainfall_Data"/>
      <sheetName val="11_Rainfall_Runoff_jobat"/>
      <sheetName val="11_Rainfall_Runoff_Kogaon"/>
      <sheetName val="11.Rainfall_Runoff_Pati"/>
      <sheetName val="11_Rainfall_Runoff"/>
      <sheetName val="12_Dependable Yield"/>
      <sheetName val="13_Area_capacity_Table"/>
      <sheetName val="14_Fix_Leve_Table"/>
      <sheetName val="15_Water_Planning"/>
      <sheetName val="16_Drinking &amp; Ind Water use"/>
      <sheetName val="Badwani"/>
      <sheetName val="BADNAWAR"/>
      <sheetName val="17__Abst.CWR(Overall)"/>
      <sheetName val="17__Abst.CWR(Lift R)"/>
      <sheetName val="18_CWR(Overall)"/>
      <sheetName val="18_CWR(G)"/>
      <sheetName val="17__Abst.CWR(Gravity)"/>
      <sheetName val="CCA"/>
      <sheetName val="IWR_Rabi_CP1_Alirajpur_CWR(G)"/>
      <sheetName val="18_CWR (Lift)"/>
      <sheetName val="IWR_Rabi_CP1_Alirajpur_CWR (Li)"/>
      <sheetName val="IWR_Rabi_CP1_Alirajpur_CWR( (O)"/>
      <sheetName val="19__Penmen ETO"/>
      <sheetName val="Table_4_Annual Rainfall "/>
      <sheetName val="20a_Sluices_beni_RBC"/>
      <sheetName val="20b_Sluices_balgaon_RBC "/>
      <sheetName val="21_Waste_Weir New"/>
      <sheetName val="22_Ogee Spillway "/>
      <sheetName val="23_Design_Wast_weir_chanel"/>
      <sheetName val="Hyd_Jum_WA"/>
      <sheetName val="Chute fall Design"/>
      <sheetName val="Chute Fall"/>
      <sheetName val="Chute fall Design (2)"/>
      <sheetName val="Bed Slope"/>
      <sheetName val="Working Table"/>
      <sheetName val="Bed Slope (2)"/>
      <sheetName val="Baghad Spill channel"/>
      <sheetName val="22Ogee Spillway"/>
      <sheetName val="24_General_Abstract"/>
      <sheetName val="25_a__BC"/>
      <sheetName val="25_b_before"/>
      <sheetName val="Binnies"/>
      <sheetName val="Table_4_KC Values"/>
      <sheetName val="CCA_cal"/>
      <sheetName val="26_General_Abstract_!2"/>
      <sheetName val="After"/>
      <sheetName val="25_c_After"/>
      <sheetName val="Quary Map"/>
      <sheetName val="Collector_Rate"/>
      <sheetName val="Part-III,Check"/>
      <sheetName val="27-Preli_Check"/>
      <sheetName val="28_Proforma_2"/>
      <sheetName val="29_Proforma_3"/>
      <sheetName val="30_Stage_1_estimate"/>
      <sheetName val="31_Adminst_Appr"/>
      <sheetName val="32_Check_state_Irri"/>
      <sheetName val="Hindi Matrials"/>
      <sheetName val="Arc GIS DATA"/>
      <sheetName val="Area_Capacity"/>
      <sheetName val="Rainfall_Bhikangaon &amp; Jhiranya"/>
      <sheetName val="Rainfall-DPR"/>
      <sheetName val="75%_RF"/>
      <sheetName val="Rainfall_Zirniya"/>
      <sheetName val="Rainfall_Bhikangaon"/>
      <sheetName val="Water_Planning"/>
      <sheetName val="Fixation_Principal_Level"/>
      <sheetName val="Water Use US"/>
      <sheetName val="Sheet1"/>
      <sheetName val="Cut off"/>
      <sheetName val="Barrage_Profile upto 282"/>
      <sheetName val="Chiltya Barrage Profile"/>
      <sheetName val="Afflux Calculation"/>
      <sheetName val="HFL Calculation US"/>
      <sheetName val="150m_DS_Chiltiya_Nalla_X_Profil"/>
      <sheetName val="HFL Calculation DS"/>
      <sheetName val="Chiltiya_Nalla_US_Slope"/>
      <sheetName val="Barrage Design (F)"/>
      <sheetName val="Scoring Depth"/>
      <sheetName val="Chiltiya_Nalla_DS_Slope"/>
      <sheetName val="Waste_Weir"/>
      <sheetName val="Satge Discharge Curve"/>
      <sheetName val="Satge Discharge Curve (2)"/>
      <sheetName val="Sheet3"/>
      <sheetName val="Water Use US (2)"/>
      <sheetName val="Cd for other than Design Head"/>
      <sheetName val="uncontrolled"/>
      <sheetName val="Vertical faced Ogee Crest"/>
      <sheetName val="DS_CD Value"/>
      <sheetName val="CD for Vertical Face"/>
      <sheetName val="Vertical faced Ogee Crest (2)"/>
      <sheetName val="Sheet10"/>
      <sheetName val="Sheet2"/>
      <sheetName val="50 m and 100 mProfi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2">
          <cell r="G42">
            <v>1132.4920664874999</v>
          </cell>
        </row>
      </sheetData>
      <sheetData sheetId="16"/>
      <sheetData sheetId="17"/>
      <sheetData sheetId="18"/>
      <sheetData sheetId="19"/>
      <sheetData sheetId="20"/>
      <sheetData sheetId="21"/>
      <sheetData sheetId="22"/>
      <sheetData sheetId="23"/>
      <sheetData sheetId="24"/>
      <sheetData sheetId="25"/>
      <sheetData sheetId="26">
        <row r="87">
          <cell r="D87">
            <v>0</v>
          </cell>
        </row>
      </sheetData>
      <sheetData sheetId="27"/>
      <sheetData sheetId="28"/>
      <sheetData sheetId="29"/>
      <sheetData sheetId="30"/>
      <sheetData sheetId="31"/>
      <sheetData sheetId="32"/>
      <sheetData sheetId="33">
        <row r="57">
          <cell r="G57">
            <v>2.9880345099692307</v>
          </cell>
        </row>
      </sheetData>
      <sheetData sheetId="34"/>
      <sheetData sheetId="35"/>
      <sheetData sheetId="36"/>
      <sheetData sheetId="37"/>
      <sheetData sheetId="38"/>
      <sheetData sheetId="39"/>
      <sheetData sheetId="40"/>
      <sheetData sheetId="41"/>
      <sheetData sheetId="42"/>
      <sheetData sheetId="43">
        <row r="14">
          <cell r="F14">
            <v>1</v>
          </cell>
        </row>
      </sheetData>
      <sheetData sheetId="44"/>
      <sheetData sheetId="45">
        <row r="113">
          <cell r="F113">
            <v>6.0814932618811275</v>
          </cell>
        </row>
      </sheetData>
      <sheetData sheetId="46">
        <row r="94">
          <cell r="H94" t="str">
            <v>SQRT(2gH1)</v>
          </cell>
        </row>
      </sheetData>
      <sheetData sheetId="47"/>
      <sheetData sheetId="48"/>
      <sheetData sheetId="49"/>
      <sheetData sheetId="50">
        <row r="3">
          <cell r="J3">
            <v>336.11660000000001</v>
          </cell>
        </row>
      </sheetData>
      <sheetData sheetId="51"/>
      <sheetData sheetId="52"/>
      <sheetData sheetId="53"/>
      <sheetData sheetId="54"/>
      <sheetData sheetId="55"/>
      <sheetData sheetId="56"/>
      <sheetData sheetId="57"/>
      <sheetData sheetId="58">
        <row r="38">
          <cell r="E38">
            <v>1</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5">
          <cell r="A5">
            <v>1</v>
          </cell>
        </row>
      </sheetData>
      <sheetData sheetId="76">
        <row r="8">
          <cell r="O8">
            <v>0.67100000000000004</v>
          </cell>
        </row>
      </sheetData>
      <sheetData sheetId="77"/>
      <sheetData sheetId="78"/>
      <sheetData sheetId="79"/>
      <sheetData sheetId="80"/>
      <sheetData sheetId="81">
        <row r="32">
          <cell r="K32">
            <v>1670</v>
          </cell>
        </row>
      </sheetData>
      <sheetData sheetId="82">
        <row r="2">
          <cell r="Q2">
            <v>1.3976636546769228</v>
          </cell>
        </row>
      </sheetData>
      <sheetData sheetId="83"/>
      <sheetData sheetId="84"/>
      <sheetData sheetId="85"/>
      <sheetData sheetId="86"/>
      <sheetData sheetId="87">
        <row r="2">
          <cell r="B2">
            <v>280.01604548199998</v>
          </cell>
        </row>
      </sheetData>
      <sheetData sheetId="88"/>
      <sheetData sheetId="89">
        <row r="85">
          <cell r="E85">
            <v>274.15099566399999</v>
          </cell>
        </row>
      </sheetData>
      <sheetData sheetId="90"/>
      <sheetData sheetId="91"/>
      <sheetData sheetId="92"/>
      <sheetData sheetId="93"/>
      <sheetData sheetId="94"/>
      <sheetData sheetId="95"/>
      <sheetData sheetId="96"/>
      <sheetData sheetId="97"/>
      <sheetData sheetId="98"/>
      <sheetData sheetId="99"/>
      <sheetData sheetId="100"/>
      <sheetData sheetId="101">
        <row r="30">
          <cell r="C30">
            <v>-0.107</v>
          </cell>
        </row>
      </sheetData>
      <sheetData sheetId="102"/>
      <sheetData sheetId="103">
        <row r="24">
          <cell r="C24">
            <v>0</v>
          </cell>
        </row>
      </sheetData>
      <sheetData sheetId="104">
        <row r="21">
          <cell r="C21">
            <v>-0.54500000000000004</v>
          </cell>
        </row>
      </sheetData>
      <sheetData sheetId="105">
        <row r="32">
          <cell r="B32">
            <v>0</v>
          </cell>
        </row>
      </sheetData>
      <sheetData sheetId="106">
        <row r="2">
          <cell r="D2">
            <v>0</v>
          </cell>
        </row>
      </sheetData>
      <sheetData sheetId="107"/>
      <sheetData sheetId="108"/>
      <sheetData sheetId="109"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7-Indore &amp; Khandwa"/>
      <sheetName val="Letter"/>
      <sheetName val="Labour"/>
      <sheetName val="Material"/>
      <sheetName val="Plant &amp;  Machinery"/>
      <sheetName val="D.E."/>
      <sheetName val="Abs_Road"/>
      <sheetName val="CBR"/>
      <sheetName val="MDD-OMC "/>
      <sheetName val="Improvements"/>
      <sheetName val="PLAN_FEB97"/>
      <sheetName val="BQ"/>
      <sheetName val="Chiltya Barrage Profile"/>
      <sheetName val="Miscellaneous"/>
      <sheetName val="Road_All"/>
      <sheetName val="Summary_Slab_Karbook"/>
      <sheetName val="PROCTOR"/>
      <sheetName val="Chapter-8"/>
      <sheetName val="Chapter-11"/>
      <sheetName val="Chapter-15"/>
      <sheetName val="Chapter-5"/>
      <sheetName val="Chapter-4"/>
      <sheetName val="Chapter-14"/>
      <sheetName val="Chapter-9"/>
      <sheetName val="kachC"/>
      <sheetName val="2"/>
      <sheetName val="Chapter-7"/>
      <sheetName val="Chapter-6"/>
      <sheetName val="Chapter-10"/>
      <sheetName val="Chapter-13"/>
      <sheetName val="Chapter-3"/>
      <sheetName val="Chapter-12"/>
      <sheetName val="Chapter-2"/>
      <sheetName val="4"/>
      <sheetName val="Unconnected"/>
      <sheetName val="ATTERBERG LIMIT"/>
      <sheetName val="MAT.COST"/>
      <sheetName val="Abstract."/>
      <sheetName val="R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dex"/>
      <sheetName val="Gen_ABSTRACT"/>
      <sheetName val="Comprative"/>
      <sheetName val="PART-I"/>
      <sheetName val="PART-Extra"/>
      <sheetName val="PART-Extra (2)"/>
      <sheetName val="CD_ABSTRACT"/>
      <sheetName val="C.D.Inventary"/>
      <sheetName val="hp_cd_table"/>
      <sheetName val="4.0x2.0"/>
      <sheetName val="2x1000 HPC"/>
      <sheetName val="1x1000 HPC"/>
      <sheetName val="PART-IV"/>
      <sheetName val="PART-V"/>
      <sheetName val="VOLUME-10.5M WIDTH"/>
      <sheetName val="Retainingwall qty"/>
      <sheetName val="Table 4.4"/>
      <sheetName val="Concrete_D."/>
      <sheetName val="Letter"/>
      <sheetName val="Chiltya Barrage Profi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Wall W1 (2)"/>
      <sheetName val="Wall W1"/>
      <sheetName val="Outer foot W1"/>
      <sheetName val="Outer stability W1"/>
      <sheetName val="Wall W2"/>
      <sheetName val="Outer foot W2"/>
      <sheetName val="Outer stability W2"/>
      <sheetName val="TemplateInformation"/>
      <sheetName val="Sheet1"/>
      <sheetName val="Sheet2"/>
      <sheetName val="Sheet3"/>
      <sheetName val="Concrete_D."/>
      <sheetName val="Letter"/>
      <sheetName val="Chiltya Barrage Profile"/>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WR"/>
      <sheetName val="Water_Planning"/>
      <sheetName val="Waste_Weir"/>
      <sheetName val="Fixation_Principal_Level"/>
      <sheetName val="Area_Capacity"/>
      <sheetName val="Rainfall_Khargone"/>
      <sheetName val="Binnies"/>
      <sheetName val="Estimation"/>
      <sheetName val="Sheet1"/>
      <sheetName val="Sheet3"/>
      <sheetName val="Sheet2"/>
      <sheetName val="UH"/>
      <sheetName val="Routing"/>
      <sheetName val="Flood &amp; Lift"/>
      <sheetName val="Wall W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v>1</v>
          </cell>
        </row>
      </sheetData>
      <sheetData sheetId="16"/>
      <sheetData sheetId="17"/>
      <sheetData sheetId="18"/>
      <sheetData sheetId="19"/>
      <sheetData sheetId="20"/>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ontents"/>
      <sheetName val="Design basis-C"/>
      <sheetName val="load 2.0-C"/>
      <sheetName val="Time period"/>
      <sheetName val="Pipe wt-C"/>
      <sheetName val="TemplateInformation"/>
      <sheetName val="Below_Earth"/>
      <sheetName val="Design_OLD"/>
      <sheetName val="01"/>
      <sheetName val="02"/>
      <sheetName val="03"/>
      <sheetName val="04"/>
      <sheetName val="Flight-1"/>
    </sheetNames>
    <sheetDataSet>
      <sheetData sheetId="0"/>
      <sheetData sheetId="1"/>
      <sheetData sheetId="2">
        <row r="5">
          <cell r="B5" t="str">
            <v>RW Transmission Main from Wazirabad Raw Water PH to Proposed WTP at Okhla for Delhi Jal Board &amp; 1500mm dia pipe job</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Table_9"/>
      <sheetName val="IF"/>
      <sheetName val="Estimation_fINAL"/>
      <sheetName val="Area_Capacity"/>
      <sheetName val="Weighted Rainfall"/>
      <sheetName val="Existing and proposed schemes"/>
      <sheetName val="Drinking &amp; Industrial Water use"/>
      <sheetName val="Binnies"/>
      <sheetName val="Fixation_Principal_Level"/>
      <sheetName val="Water_Planning"/>
      <sheetName val="Waste_Weir"/>
      <sheetName val="P.E"/>
      <sheetName val="area"/>
      <sheetName val="Sheet1"/>
      <sheetName val="Sheet3"/>
      <sheetName val="Ogee Spillway (2)"/>
      <sheetName val="23_Design_Wast_weir_chanel"/>
      <sheetName val="Waste_Weir (Goi Barrage)"/>
      <sheetName val="Sheet2"/>
      <sheetName val="CWR"/>
      <sheetName val="IWR_Rabi_CP1_Barwani_CWR"/>
      <sheetName val="Crop Pattern and Area"/>
      <sheetName val="Annual Rainfall"/>
      <sheetName val="Penmen ETO"/>
      <sheetName val="CCA for Gravity &amp; Lift "/>
      <sheetName val="Census"/>
      <sheetName val="CCA_cal"/>
      <sheetName val="lulc"/>
      <sheetName val="CCA_cal (2)"/>
      <sheetName val="LULC_R"/>
      <sheetName val="CCA_cal (Gravity)"/>
      <sheetName val="CCA_cal (Lift)"/>
      <sheetName val="CWR (L)"/>
      <sheetName val="Pump Capacity cal"/>
      <sheetName val="IWR_Rabi_CP1_Barwani_CWR (L)"/>
      <sheetName val="Crop Pattern and Area (L)"/>
      <sheetName val="WR"/>
      <sheetName val="Annual Rainfall (L)"/>
      <sheetName val="Penmen ETO (L)"/>
      <sheetName val="S_1 (2)"/>
      <sheetName val="Deb_Goi_Barrage_Catchment"/>
      <sheetName val="IF (Goi)"/>
      <sheetName val="Weighted Rainfall (Goi)"/>
      <sheetName val="Area_Capacity_GOI_BARRAGE"/>
      <sheetName val="Barrage Design (F)"/>
      <sheetName val="HFL Calculation"/>
      <sheetName val="Afflux Calculation"/>
      <sheetName val="Ogee Spillway"/>
      <sheetName val="Scoring Depth"/>
      <sheetName val="Stability of Dam"/>
      <sheetName val="Satge Discharge Curve"/>
      <sheetName val="50m down_Stream"/>
      <sheetName val="HFL Calculation (Ds 50 m)"/>
      <sheetName val="allup_down1"/>
      <sheetName val="Table_8 (2)"/>
      <sheetName val="Final Abstract"/>
      <sheetName val="L Section of Goi Barrage"/>
      <sheetName val="Sheet5"/>
      <sheetName val="Barrage Estimate"/>
      <sheetName val="Sheet4"/>
      <sheetName val="Dirvesion canal L-section"/>
      <sheetName val="Spill"/>
      <sheetName val="Sheet6"/>
      <sheetName val="Rainfall_Borkhedi"/>
      <sheetName val="UH"/>
      <sheetName val="Rou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A5">
            <v>1</v>
          </cell>
        </row>
      </sheetData>
      <sheetData sheetId="15">
        <row r="5">
          <cell r="A5">
            <v>1</v>
          </cell>
        </row>
      </sheetData>
      <sheetData sheetId="16"/>
      <sheetData sheetId="17"/>
      <sheetData sheetId="18">
        <row r="16">
          <cell r="E16">
            <v>22.479635881600007</v>
          </cell>
        </row>
      </sheetData>
      <sheetData sheetId="19">
        <row r="4">
          <cell r="N4">
            <v>12.534000000000001</v>
          </cell>
        </row>
      </sheetData>
      <sheetData sheetId="20">
        <row r="17">
          <cell r="P17">
            <v>1.6163753561402854</v>
          </cell>
        </row>
      </sheetData>
      <sheetData sheetId="21">
        <row r="3">
          <cell r="U3" t="str">
            <v>Flush Bar</v>
          </cell>
        </row>
      </sheetData>
      <sheetData sheetId="22"/>
      <sheetData sheetId="23"/>
      <sheetData sheetId="24"/>
      <sheetData sheetId="25"/>
      <sheetData sheetId="26"/>
      <sheetData sheetId="27"/>
      <sheetData sheetId="28"/>
      <sheetData sheetId="29"/>
      <sheetData sheetId="30"/>
      <sheetData sheetId="31">
        <row r="216">
          <cell r="AA216">
            <v>5.5994036133538456</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16">
          <cell r="AA216">
            <v>2.8668505699076916</v>
          </cell>
        </row>
      </sheetData>
      <sheetData sheetId="46"/>
      <sheetData sheetId="47"/>
      <sheetData sheetId="48"/>
      <sheetData sheetId="49"/>
      <sheetData sheetId="50"/>
      <sheetData sheetId="51"/>
      <sheetData sheetId="52">
        <row r="4">
          <cell r="E4">
            <v>494.87274601293802</v>
          </cell>
        </row>
      </sheetData>
      <sheetData sheetId="53"/>
      <sheetData sheetId="54">
        <row r="5">
          <cell r="A5">
            <v>1</v>
          </cell>
        </row>
      </sheetData>
      <sheetData sheetId="55">
        <row r="4">
          <cell r="E4">
            <v>2413.2259599695799</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7">
          <cell r="O7">
            <v>408.22534599853003</v>
          </cell>
        </row>
      </sheetData>
      <sheetData sheetId="73"/>
      <sheetData sheetId="74" refreshError="1"/>
      <sheetData sheetId="75" refreshError="1"/>
      <sheetData sheetId="76"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Table_9(Old)"/>
      <sheetName val="Table_9"/>
      <sheetName val="WR"/>
      <sheetName val="Estimation_Final (R)"/>
      <sheetName val="Rainfall_Alirajpur"/>
      <sheetName val="Binnies"/>
      <sheetName val="Rainfall"/>
      <sheetName val="Fixation_Principal_Level"/>
      <sheetName val="Water_Planning"/>
      <sheetName val="WR (3)"/>
      <sheetName val="Waste_Weir"/>
      <sheetName val="Area_Capacity"/>
      <sheetName val="R-R Relation"/>
      <sheetName val="P.E"/>
      <sheetName val="Arc_GIS"/>
      <sheetName val="Sheet3"/>
      <sheetName val="Sheet2"/>
      <sheetName val="Water 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3">
          <cell r="J23">
            <v>176.5</v>
          </cell>
        </row>
      </sheetData>
      <sheetData sheetId="16" refreshError="1"/>
      <sheetData sheetId="17">
        <row r="5">
          <cell r="A5">
            <v>1</v>
          </cell>
        </row>
      </sheetData>
      <sheetData sheetId="18">
        <row r="27">
          <cell r="E27">
            <v>0.9</v>
          </cell>
        </row>
      </sheetData>
      <sheetData sheetId="19" refreshError="1"/>
      <sheetData sheetId="20">
        <row r="2">
          <cell r="P2">
            <v>0.49099999999999999</v>
          </cell>
        </row>
      </sheetData>
      <sheetData sheetId="21">
        <row r="17">
          <cell r="L17">
            <v>0.107</v>
          </cell>
        </row>
      </sheetData>
      <sheetData sheetId="22"/>
      <sheetData sheetId="23">
        <row r="3">
          <cell r="U3" t="str">
            <v>Flush Bar</v>
          </cell>
        </row>
      </sheetData>
      <sheetData sheetId="24">
        <row r="5">
          <cell r="A5">
            <v>1</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HYDRAULICS"/>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WR"/>
      <sheetName val="Waste_Weir"/>
      <sheetName val="Rainfall_Alirajpur"/>
      <sheetName val="Fixation_Principal_Level"/>
      <sheetName val="Binnies"/>
      <sheetName val="Area_Capacity"/>
      <sheetName val="Water_Planning"/>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P"/>
      <sheetName val="Indx"/>
      <sheetName val="Covr (1)"/>
      <sheetName val="Sep (6)"/>
      <sheetName val="flood"/>
      <sheetName val="flood_hyd"/>
      <sheetName val="Chart1"/>
      <sheetName val="Routing72-5"/>
      <sheetName val="Routed Hyd"/>
      <sheetName val="NFB"/>
      <sheetName val="MFB"/>
      <sheetName val="FB-1"/>
      <sheetName val="Ogee Spillway"/>
      <sheetName val="Hyd Jump"/>
      <sheetName val="JHC vs TWC"/>
      <sheetName val="OF (2)"/>
      <sheetName val="Gallerry"/>
      <sheetName val="Drawing"/>
      <sheetName val="Analysis"/>
      <sheetName val="Help"/>
      <sheetName val="Training wall (2)"/>
      <sheetName val="Gallery"/>
      <sheetName val="Sep (5)"/>
      <sheetName val="Sluice (2)"/>
      <sheetName val="Sluice"/>
      <sheetName val="Well1"/>
      <sheetName val="Well2"/>
      <sheetName val="Well3"/>
      <sheetName val="Well4"/>
      <sheetName val="WW (max)"/>
      <sheetName val="WW (min)"/>
      <sheetName val="WW (DS max)"/>
      <sheetName val="Sep (7)"/>
      <sheetName val="Covr (2)"/>
      <sheetName val="Sep"/>
      <sheetName val="Abt"/>
      <sheetName val="Utilzn"/>
      <sheetName val="Consmptn"/>
      <sheetName val="Strip"/>
      <sheetName val="COT"/>
      <sheetName val="JC"/>
      <sheetName val="EW"/>
      <sheetName val="Puddle"/>
      <sheetName val="Puddle cap"/>
      <sheetName val="BT"/>
      <sheetName val="Inc Filter"/>
      <sheetName val="Inc Filter (i)"/>
      <sheetName val="Mat Filter"/>
      <sheetName val="Pitching"/>
      <sheetName val="Ex. for Filter"/>
      <sheetName val="Turfing"/>
      <sheetName val="Toe Drain"/>
      <sheetName val="Ex. for Drains"/>
      <sheetName val="Spill"/>
      <sheetName val="LS Spill"/>
      <sheetName val="Grouting"/>
      <sheetName val="Ralling"/>
      <sheetName val="Road"/>
      <sheetName val="Causewy"/>
      <sheetName val="Det Causewy"/>
      <sheetName val="Sep (2)"/>
      <sheetName val="Dwg"/>
      <sheetName val="Abt (2)"/>
      <sheetName val="Detail"/>
      <sheetName val="Excvtn"/>
      <sheetName val="BBS (2)"/>
      <sheetName val="BBS"/>
      <sheetName val="Consmptn St "/>
      <sheetName val="Bund Profile"/>
      <sheetName val="Training wall"/>
      <sheetName val="Abutment US new"/>
      <sheetName val="Sep (3)"/>
      <sheetName val="C_Sluice"/>
      <sheetName val="Det_Sluice"/>
      <sheetName val="BBS "/>
      <sheetName val="Cnsmptn_Sluice"/>
      <sheetName val="Sep (4)"/>
      <sheetName val="Lead"/>
      <sheetName val="Covr (3)"/>
      <sheetName val="Sheet1"/>
      <sheetName val="SLAB DESIGN"/>
    </sheetNames>
    <sheetDataSet>
      <sheetData sheetId="0">
        <row r="5">
          <cell r="E5" t="str">
            <v>Kundiya Medium Project</v>
          </cell>
        </row>
      </sheetData>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74">
          <cell r="K74">
            <v>19.356743601326819</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gaoan data-Upper BEda"/>
      <sheetName val="Table_1"/>
      <sheetName val="Table_2"/>
      <sheetName val="Sheet5 (2)"/>
      <sheetName val="Table_6"/>
      <sheetName val="Table_7"/>
      <sheetName val="Table_8"/>
      <sheetName val="Estimation_Final"/>
      <sheetName val="Berhda Tank (Old)"/>
      <sheetName val="Working Table"/>
      <sheetName val="IWR_Rabi_CP1_Barwani (3)"/>
      <sheetName val="Synthetic UH"/>
      <sheetName val="berhda"/>
      <sheetName val="UH"/>
      <sheetName val="IWR_Rabi_CP1_Barwani"/>
      <sheetName val="Sheet6"/>
      <sheetName val="KC Values"/>
      <sheetName val="Sheet1 (2)"/>
      <sheetName val="rainfall at pati"/>
      <sheetName val="Pati_R-R Analysis"/>
      <sheetName val="CW_Base File (2)"/>
      <sheetName val="P.E.1"/>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Routing"/>
      <sheetName val="Spillway_Profile"/>
      <sheetName val="Ogee Spillway"/>
      <sheetName val="Spill channel"/>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Ele-Capacity"/>
      <sheetName val="Routing (2)"/>
      <sheetName val="Sheet7"/>
      <sheetName val="Gallery"/>
    </sheetNames>
    <sheetDataSet>
      <sheetData sheetId="0" refreshError="1"/>
      <sheetData sheetId="1">
        <row r="59">
          <cell r="C59">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AC6" t="e">
            <v>#REF!</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4">
          <cell r="I24" t="e">
            <v>#REF!</v>
          </cell>
        </row>
      </sheetData>
      <sheetData sheetId="38" refreshError="1"/>
      <sheetData sheetId="39" refreshError="1"/>
      <sheetData sheetId="40"/>
      <sheetData sheetId="41" refreshError="1"/>
      <sheetData sheetId="42" refreshError="1"/>
      <sheetData sheetId="43" refreshError="1"/>
      <sheetData sheetId="44">
        <row r="25">
          <cell r="J25">
            <v>0.4647</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ow r="57">
          <cell r="K57" t="e">
            <v>#REF!</v>
          </cell>
        </row>
      </sheetData>
      <sheetData sheetId="69" refreshError="1"/>
      <sheetData sheetId="70">
        <row r="9">
          <cell r="C9">
            <v>110</v>
          </cell>
        </row>
      </sheetData>
      <sheetData sheetId="7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a.Contants j"/>
      <sheetName val="b.SUMP"/>
      <sheetName val="TemplateInformation"/>
      <sheetName val="c.Valve Chamber &amp; beam"/>
      <sheetName val="d.VC Base slab"/>
      <sheetName val="e.Inlet &amp; Screen wall"/>
      <sheetName val="Symbol"/>
      <sheetName val="UH"/>
      <sheetName val="Routing"/>
      <sheetName val="Gall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Table_1"/>
      <sheetName val="Table_2"/>
      <sheetName val="Sheet5 (2)"/>
      <sheetName val="Table_6"/>
      <sheetName val="Table_7"/>
      <sheetName val="Table_8"/>
      <sheetName val="Estimation_Final"/>
      <sheetName val="Berhda Tank (Old)"/>
      <sheetName val="IWR_Rabi_CP1_Barwani (3)"/>
      <sheetName val="IWR(1977)"/>
      <sheetName val="IWR_Rabi_CP1_Barwani"/>
      <sheetName val="Sheet6"/>
      <sheetName val="Annual Rainfall"/>
      <sheetName val="IWR(1978)"/>
      <sheetName val="IWR(1979)"/>
      <sheetName val="IWR(1980)"/>
      <sheetName val="IWR(1981)"/>
      <sheetName val="IWR(1982)"/>
      <sheetName val="IWR(1983)"/>
      <sheetName val="IWR(1984)"/>
      <sheetName val="IWR(1985)"/>
      <sheetName val="IWR(1986)"/>
      <sheetName val="IWR(1987)"/>
      <sheetName val="IWR(1988)"/>
      <sheetName val="IWR(1989)"/>
      <sheetName val="IWR(1990)"/>
      <sheetName val="IWR(1991)"/>
      <sheetName val="IWR(1992)"/>
      <sheetName val="IWR(1993)"/>
      <sheetName val="IWR(1994)"/>
      <sheetName val="IWR(1995)"/>
      <sheetName val="IWR(1996)"/>
      <sheetName val="IWR(1997)"/>
      <sheetName val="IWR(1998)"/>
      <sheetName val="IWR(1999)"/>
      <sheetName val="IWR(2000)"/>
      <sheetName val="IWR(2001)"/>
      <sheetName val="IWR(2002)"/>
      <sheetName val="IWR(2003)"/>
      <sheetName val="IWR(2004)"/>
      <sheetName val="IWR(2005)"/>
      <sheetName val="IWR(2006)"/>
      <sheetName val="IWR(2007)"/>
      <sheetName val="IWR(2008)"/>
      <sheetName val="IWR(2009)"/>
      <sheetName val="IWR(2010)"/>
      <sheetName val="IWR(2011)"/>
      <sheetName val="IWR(2012)"/>
      <sheetName val="Abst.CWR(1977)"/>
      <sheetName val="Abst.CWR(1978)"/>
      <sheetName val="Abst.CWR(1979)"/>
      <sheetName val="Abst.CWR(1980)"/>
      <sheetName val="Abst.CWR(1981)"/>
      <sheetName val="Abst.CWR(1982)"/>
      <sheetName val="Abst.CWR(1983)"/>
      <sheetName val="Abst.CWR(1984)"/>
      <sheetName val="Abst.CWR(1985)"/>
      <sheetName val="Abst.CWR(1986)"/>
      <sheetName val="Abst.CWR(1987)"/>
      <sheetName val="Abst.CWR(1988)"/>
      <sheetName val="Abst.CWR(1989)"/>
      <sheetName val="Abst.CWR(1990)"/>
      <sheetName val="Abst.CWR(1991)"/>
      <sheetName val="Abst.CWR(1992)"/>
      <sheetName val="Abst.CWR(1993)"/>
      <sheetName val="Abst.CWR(1994)"/>
      <sheetName val="Abst.CWR(1995)"/>
      <sheetName val="Abst.CWR(1996)"/>
      <sheetName val="Abst.CWR(1997)"/>
      <sheetName val="Abst.CWR(1998)"/>
      <sheetName val="Abst.CWR(1999)"/>
      <sheetName val="Abst.CWR(2000)"/>
      <sheetName val="Abst.CWR(2001)"/>
      <sheetName val="Abst.CWR(2002)"/>
      <sheetName val="Abst.CWR(2003)"/>
      <sheetName val="Abst.CWR(2004)"/>
      <sheetName val="Abst.CWR(2005)"/>
      <sheetName val="Abst.CWR(2006)"/>
      <sheetName val="Abst.CWR(2007)"/>
      <sheetName val="Abst.CWR(2008)"/>
      <sheetName val="Abst.CWR(2009)"/>
      <sheetName val="Abst.CWR(2010)"/>
      <sheetName val="Abst.CWR(2011)"/>
      <sheetName val="Abst.CWR(2012)"/>
      <sheetName val="Gram (G)"/>
      <sheetName val="Gram (Lift)"/>
      <sheetName val="Veg"/>
      <sheetName val="Wheat(3V)(G)"/>
      <sheetName val="Wheat(3V)(L)"/>
      <sheetName val="Soya"/>
      <sheetName val="Maize"/>
      <sheetName val="CWR"/>
      <sheetName val="Wheat(0LV)(G)"/>
      <sheetName val="Wheat(0LV)(L)"/>
      <sheetName val="Berkheda (fortnight) (F)"/>
      <sheetName val="Fortnight CWR"/>
      <sheetName val="SALIENT FEATURES"/>
      <sheetName val="Monthwise CWR"/>
      <sheetName val="Ruff work"/>
      <sheetName val="KC Values"/>
      <sheetName val="BC"/>
      <sheetName val="Sheet1 (2)"/>
      <sheetName val="CW_Base File (2)"/>
      <sheetName val="P.E.1"/>
      <sheetName val="Area and Water Bodies"/>
      <sheetName val="P.E"/>
      <sheetName val="Sheet1"/>
      <sheetName val="Sheet3"/>
      <sheetName val="Sheet2"/>
      <sheetName val="Sheet4"/>
      <sheetName val="WR (Barwani Block)"/>
      <sheetName val="Inflow"/>
      <sheetName val="before"/>
      <sheetName val="After"/>
      <sheetName val="MP Mandi Rate"/>
      <sheetName val="MAN project rate"/>
      <sheetName val="Sheet5"/>
      <sheetName val="Working Table"/>
      <sheetName val="Abs WT"/>
      <sheetName val="Working Table (2)"/>
      <sheetName val="Crop Pattern and Area"/>
      <sheetName val="Chapter-1 Report"/>
      <sheetName val="Revised Area Capacity Curve"/>
      <sheetName val="Area_Capacity"/>
      <sheetName val="RO dam (2)"/>
      <sheetName val="Us Project Water Use"/>
      <sheetName val="Sheet7"/>
      <sheetName val="Sheet8"/>
      <sheetName val="Sheet9"/>
      <sheetName val="Sheet11"/>
      <sheetName val="Sheet12"/>
      <sheetName val="Upstream Project Water Use"/>
      <sheetName val="Table of Contents"/>
      <sheetName val="Glossary &amp; Abbreviations"/>
      <sheetName val="List of Table"/>
      <sheetName val="LIST OF FIGURES"/>
      <sheetName val="Moody's-100yrs"/>
      <sheetName val="LIST OF ANNEXURES"/>
      <sheetName val="Table 1.20"/>
      <sheetName val="Mean Monthly Evaporation "/>
      <sheetName val="Sheet10"/>
      <sheetName val="Monthwise CWR (2)"/>
      <sheetName val="b.SU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ow r="25">
          <cell r="D25">
            <v>4.0754451310156314</v>
          </cell>
        </row>
      </sheetData>
      <sheetData sheetId="98" refreshError="1"/>
      <sheetData sheetId="99">
        <row r="33">
          <cell r="S33">
            <v>54.39164619665145</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5">
          <cell r="H5">
            <v>48.165119867154246</v>
          </cell>
        </row>
      </sheetData>
      <sheetData sheetId="122">
        <row r="2">
          <cell r="C2">
            <v>11436</v>
          </cell>
        </row>
      </sheetData>
      <sheetData sheetId="123" refreshError="1"/>
      <sheetData sheetId="124" refreshError="1"/>
      <sheetData sheetId="125" refreshError="1"/>
      <sheetData sheetId="126" refreshError="1"/>
      <sheetData sheetId="127" refreshError="1"/>
      <sheetData sheetId="128">
        <row r="2">
          <cell r="B2" t="str">
            <v>Berkheda Medium Irrigation Project</v>
          </cell>
        </row>
      </sheetData>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ow r="8">
          <cell r="C8">
            <v>262.32</v>
          </cell>
        </row>
      </sheetData>
      <sheetData sheetId="139" refreshError="1"/>
      <sheetData sheetId="140">
        <row r="43">
          <cell r="D43">
            <v>340.50821634067489</v>
          </cell>
        </row>
      </sheetData>
      <sheetData sheetId="141" refreshError="1"/>
      <sheetData sheetId="142" refreshError="1"/>
      <sheetData sheetId="143" refreshError="1"/>
      <sheetData sheetId="14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Census 2001"/>
      <sheetName val="Working Table"/>
      <sheetName val="I.P"/>
      <sheetName val="IWR_Rabi_CP1_Barwani (3)"/>
      <sheetName val="CWR"/>
      <sheetName val="IWR_Rabi_CP1_Barwani_CWR"/>
      <sheetName val="Crop Pattern and Area"/>
      <sheetName val="Annual Rainfall"/>
      <sheetName val="Penmen ETO"/>
      <sheetName val="Synthetic UH"/>
      <sheetName val="berhda"/>
      <sheetName val="UH"/>
      <sheetName val="IWR_Rabi_CP1_Barwani"/>
      <sheetName val="Sheet6"/>
      <sheetName val="KC Values"/>
      <sheetName val="Sheet1 (2)"/>
      <sheetName val="Drinking &amp; Industrial Water use"/>
      <sheetName val="US Reserve and Domestic Use"/>
      <sheetName val="rainfall at pati"/>
      <sheetName val="Pati_R-R Analysis"/>
      <sheetName val="Area_Capacity"/>
      <sheetName val="CW_Base File (2)"/>
      <sheetName val="P.E.1"/>
      <sheetName val="Rainfall"/>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Effective_Rainfall"/>
      <sheetName val="Binnies"/>
      <sheetName val="Fixation_Principal_Level"/>
      <sheetName val="Routing"/>
      <sheetName val="Water_Planning"/>
      <sheetName val="Spillway_Profile"/>
      <sheetName val="Waste_Weir"/>
      <sheetName val="Ogee Spillway"/>
      <sheetName val="Influence Factor"/>
      <sheetName val="Ogee Spillway (2)"/>
      <sheetName val="Spill channel"/>
      <sheetName val="Splii_Chanel_L_Section"/>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Command Area"/>
      <sheetName val="CALC_MC_Flows"/>
      <sheetName val="Design of Sluice"/>
      <sheetName val="Submergance Area"/>
      <sheetName val="Sheet14"/>
      <sheetName val="Design of Sluice_1"/>
      <sheetName val="Ele-Capacity"/>
      <sheetName val="Routing (2)"/>
      <sheetName val="Sheet7"/>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L2">
            <v>0.81599999999999995</v>
          </cell>
        </row>
      </sheetData>
      <sheetData sheetId="20" refreshError="1"/>
      <sheetData sheetId="21" refreshError="1"/>
      <sheetData sheetId="22">
        <row r="216">
          <cell r="AA216">
            <v>4.9409726470153839</v>
          </cell>
        </row>
      </sheetData>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5">
          <cell r="A5">
            <v>1</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86">
          <cell r="FA86">
            <v>-54.856999999999999</v>
          </cell>
        </row>
      </sheetData>
      <sheetData sheetId="57">
        <row r="8">
          <cell r="E8">
            <v>12.462308567139999</v>
          </cell>
        </row>
      </sheetData>
      <sheetData sheetId="58">
        <row r="13">
          <cell r="AG13">
            <v>251190.52989924949</v>
          </cell>
        </row>
      </sheetData>
      <sheetData sheetId="59"/>
      <sheetData sheetId="60">
        <row r="15">
          <cell r="L15">
            <v>0.33995448687645463</v>
          </cell>
        </row>
      </sheetData>
      <sheetData sheetId="61" refreshError="1"/>
      <sheetData sheetId="62">
        <row r="3">
          <cell r="U3" t="str">
            <v>Flush Bar</v>
          </cell>
        </row>
      </sheetData>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ow r="57">
          <cell r="B57">
            <v>323</v>
          </cell>
        </row>
      </sheetData>
      <sheetData sheetId="102" refreshError="1"/>
      <sheetData sheetId="103">
        <row r="9">
          <cell r="C9">
            <v>110</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4 (2)"/>
      <sheetName val="Table_5"/>
      <sheetName val="Table_6"/>
      <sheetName val="Table_7"/>
      <sheetName val="Table_8"/>
      <sheetName val="Estimation_fINAL"/>
      <sheetName val="WR (Barwani Block)"/>
      <sheetName val="Table_9"/>
      <sheetName val="Table_9 (2)"/>
      <sheetName val="Estimation_Final (R)"/>
      <sheetName val="Rainfall_Khandawa"/>
      <sheetName val="Binnies"/>
      <sheetName val="Rainfall"/>
      <sheetName val="Area_Capacity"/>
      <sheetName val="Fixation_Principal_Level"/>
      <sheetName val="Water_Planning"/>
      <sheetName val="WR (Lift)"/>
      <sheetName val="WR"/>
      <sheetName val="Waste_Weir"/>
      <sheetName val="P.E"/>
      <sheetName val="Sheet1"/>
      <sheetName val="Sheet3"/>
      <sheetName val="Sheet2"/>
      <sheetName val="area"/>
      <sheetName val="Water Use"/>
      <sheetName val="Sheet5"/>
      <sheetName val="Chapter-11"/>
    </sheetNames>
    <sheetDataSet>
      <sheetData sheetId="0">
        <row r="8">
          <cell r="G8" t="str">
            <v>Khandwa</v>
          </cell>
        </row>
      </sheetData>
      <sheetData sheetId="1"/>
      <sheetData sheetId="2">
        <row r="6">
          <cell r="F6" t="str">
            <v xml:space="preserve">Kherda Tank </v>
          </cell>
        </row>
      </sheetData>
      <sheetData sheetId="3">
        <row r="4">
          <cell r="D4" t="str">
            <v>Khandawa</v>
          </cell>
        </row>
      </sheetData>
      <sheetData sheetId="4" refreshError="1"/>
      <sheetData sheetId="5" refreshError="1"/>
      <sheetData sheetId="6">
        <row r="6">
          <cell r="C6" t="str">
            <v>Cotton Improved</v>
          </cell>
        </row>
      </sheetData>
      <sheetData sheetId="7">
        <row r="35">
          <cell r="F35">
            <v>0.12650000000000003</v>
          </cell>
        </row>
      </sheetData>
      <sheetData sheetId="8" refreshError="1"/>
      <sheetData sheetId="9">
        <row r="27">
          <cell r="F27">
            <v>383.80076645193822</v>
          </cell>
        </row>
      </sheetData>
      <sheetData sheetId="10" refreshError="1"/>
      <sheetData sheetId="11">
        <row r="38">
          <cell r="D38">
            <v>1972.144721778222</v>
          </cell>
        </row>
      </sheetData>
      <sheetData sheetId="12" refreshError="1"/>
      <sheetData sheetId="13" refreshError="1"/>
      <sheetData sheetId="14">
        <row r="57">
          <cell r="H57">
            <v>1.6277486830916914</v>
          </cell>
        </row>
      </sheetData>
      <sheetData sheetId="15" refreshError="1"/>
      <sheetData sheetId="16">
        <row r="22">
          <cell r="Q22">
            <v>22.44</v>
          </cell>
        </row>
      </sheetData>
      <sheetData sheetId="17">
        <row r="1">
          <cell r="B1" t="str">
            <v>Khandwa</v>
          </cell>
        </row>
      </sheetData>
      <sheetData sheetId="18">
        <row r="2">
          <cell r="E2">
            <v>49.959726000000003</v>
          </cell>
        </row>
      </sheetData>
      <sheetData sheetId="19" refreshError="1"/>
      <sheetData sheetId="20">
        <row r="5">
          <cell r="A5">
            <v>1</v>
          </cell>
        </row>
      </sheetData>
      <sheetData sheetId="21">
        <row r="2">
          <cell r="P2">
            <v>4.2720000000000002</v>
          </cell>
        </row>
      </sheetData>
      <sheetData sheetId="22" refreshError="1"/>
      <sheetData sheetId="23">
        <row r="23">
          <cell r="J23">
            <v>193</v>
          </cell>
        </row>
      </sheetData>
      <sheetData sheetId="24">
        <row r="23">
          <cell r="M23">
            <v>1393.2000000000003</v>
          </cell>
        </row>
      </sheetData>
      <sheetData sheetId="25">
        <row r="3">
          <cell r="U3" t="str">
            <v>Flush Bar</v>
          </cell>
        </row>
      </sheetData>
      <sheetData sheetId="26" refreshError="1"/>
      <sheetData sheetId="27" refreshError="1"/>
      <sheetData sheetId="28" refreshError="1"/>
      <sheetData sheetId="29" refreshError="1"/>
      <sheetData sheetId="30" refreshError="1"/>
      <sheetData sheetId="31">
        <row r="7">
          <cell r="D7" t="str">
            <v>Completed_Tank_In_Kherda_Catchment</v>
          </cell>
        </row>
      </sheetData>
      <sheetData sheetId="32" refreshError="1"/>
      <sheetData sheetId="3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Table"/>
      <sheetName val="Type "/>
      <sheetName val="New 0"/>
      <sheetName val="Rev. Area"/>
      <sheetName val="flood"/>
      <sheetName val="Choral Ds Bed Slope"/>
      <sheetName val="flood_hyd"/>
      <sheetName val="Chart1"/>
      <sheetName val="Routing72-5"/>
      <sheetName val="Routed Hyd"/>
      <sheetName val="NFB"/>
      <sheetName val="MFB"/>
      <sheetName val="EFB (2)"/>
      <sheetName val="FB-1"/>
      <sheetName val="HFL 750"/>
      <sheetName val="HFL 600"/>
      <sheetName val="HFL450"/>
      <sheetName val="HFL300"/>
      <sheetName val="HFL150"/>
      <sheetName val="HFL 150(2)"/>
      <sheetName val="HFL150 (3)"/>
      <sheetName val="HFL150(4)"/>
      <sheetName val="Ogee"/>
      <sheetName val="Ogee Spillway"/>
      <sheetName val="Hyd Jump"/>
      <sheetName val="JHC vs TWC"/>
      <sheetName val="Ds data"/>
      <sheetName val="Skijump"/>
      <sheetName val="Solid"/>
      <sheetName val="ST BASIN"/>
      <sheetName val="WR (Lift)"/>
    </sheetNames>
    <sheetDataSet>
      <sheetData sheetId="0" refreshError="1"/>
      <sheetData sheetId="1" refreshError="1"/>
      <sheetData sheetId="2">
        <row r="3">
          <cell r="R3">
            <v>2.47105381467165E-4</v>
          </cell>
        </row>
      </sheetData>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2">
          <cell r="R2">
            <v>0</v>
          </cell>
        </row>
      </sheetData>
      <sheetData sheetId="28">
        <row r="179">
          <cell r="D179">
            <v>1.2999999999999999E-2</v>
          </cell>
        </row>
      </sheetData>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
      <sheetName val="Below_Earth"/>
      <sheetName val="Below_Water"/>
      <sheetName val="Ld_Diagms"/>
      <sheetName val="OUTPUT_MEMBER"/>
      <sheetName val="OUTPUT_REACTIONS"/>
      <sheetName val="RWALL_MAX"/>
      <sheetName val="RWALL_MIN"/>
      <sheetName val="HEADWALL"/>
      <sheetName val="AREA-VELOCITY"/>
      <sheetName val="Design basis-C"/>
    </sheetNames>
    <sheetDataSet>
      <sheetData sheetId="0"/>
      <sheetData sheetId="1">
        <row r="12">
          <cell r="H12">
            <v>25</v>
          </cell>
        </row>
      </sheetData>
      <sheetData sheetId="2"/>
      <sheetData sheetId="3"/>
      <sheetData sheetId="4"/>
      <sheetData sheetId="5"/>
      <sheetData sheetId="6"/>
      <sheetData sheetId="7"/>
      <sheetData sheetId="8"/>
      <sheetData sheetId="9"/>
      <sheetData sheetId="1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Census 2001"/>
      <sheetName val="Working Table"/>
      <sheetName val="I.P"/>
      <sheetName val="IWR_Rabi_CP1_Barwani (3)"/>
      <sheetName val="CWR"/>
      <sheetName val="IWR_Rabi_CP1_Barwani_CWR"/>
      <sheetName val="Crop Pattern and Area"/>
      <sheetName val="Annual Rainfall"/>
      <sheetName val="Penmen ETO"/>
      <sheetName val="Synthetic UH"/>
      <sheetName val="berhda"/>
      <sheetName val="UH"/>
      <sheetName val="IWR_Rabi_CP1_Barwani"/>
      <sheetName val="Sheet6"/>
      <sheetName val="KC Values"/>
      <sheetName val="Sheet1 (2)"/>
      <sheetName val="Drinking &amp; Industrial Water use"/>
      <sheetName val="US Reserve and Domestic Use"/>
      <sheetName val="rainfall at pati"/>
      <sheetName val="Pati_R-R Analysis"/>
      <sheetName val="Area_Capacity"/>
      <sheetName val="CW_Base File (2)"/>
      <sheetName val="P.E.1"/>
      <sheetName val="Rainfall"/>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Effective_Rainfall"/>
      <sheetName val="Binnies"/>
      <sheetName val="Fixation_Principal_Level"/>
      <sheetName val="Routing"/>
      <sheetName val="Water_Planning"/>
      <sheetName val="Spillway_Profile"/>
      <sheetName val="Waste_Weir"/>
      <sheetName val="Ogee Spillway"/>
      <sheetName val="Influence Factor"/>
      <sheetName val="Ogee Spillway (2)"/>
      <sheetName val="Spill channel"/>
      <sheetName val="Splii_Chanel_L_Section"/>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Command Area"/>
      <sheetName val="CALC_MC_Flows"/>
      <sheetName val="Design of Sluice"/>
      <sheetName val="Submergance Area"/>
      <sheetName val="Sheet14"/>
      <sheetName val="Sheet23"/>
      <sheetName val="Ele-Capacity"/>
      <sheetName val="Routing (2)"/>
      <sheetName val="Sheet7"/>
      <sheetName val="Skijump"/>
      <sheetName val="Sol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Table"/>
      <sheetName val="Type "/>
      <sheetName val="New 0"/>
      <sheetName val="Rev. Area"/>
      <sheetName val="flood"/>
      <sheetName val="Choral Ds Bed Slope"/>
      <sheetName val="flood_hyd"/>
      <sheetName val="Chart1"/>
      <sheetName val="Routing72-5"/>
      <sheetName val="Routed Hyd"/>
      <sheetName val="NFB"/>
      <sheetName val="MFB"/>
      <sheetName val="EFB (2)"/>
      <sheetName val="FB-1"/>
      <sheetName val="HFL 750"/>
      <sheetName val="HFL 600"/>
      <sheetName val="HFL450"/>
      <sheetName val="HFL300"/>
      <sheetName val="HFL150"/>
      <sheetName val="HFL 150(2)"/>
      <sheetName val="HFL150 (3)"/>
      <sheetName val="HFL150(4)"/>
      <sheetName val="Ogee"/>
      <sheetName val="Ogee Spillway"/>
      <sheetName val="Hyd Jump"/>
      <sheetName val="JHC vs TWC"/>
      <sheetName val="Ds data"/>
      <sheetName val="Skijump"/>
      <sheetName val="Solid"/>
      <sheetName val="ST BASIN"/>
      <sheetName val="Sheet11"/>
      <sheetName val="Binnies"/>
      <sheetName val="Effective_Rainfall"/>
    </sheetNames>
    <sheetDataSet>
      <sheetData sheetId="0"/>
      <sheetData sheetId="1"/>
      <sheetData sheetId="2">
        <row r="3">
          <cell r="R3">
            <v>2.47105381467165E-4</v>
          </cell>
        </row>
      </sheetData>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79">
          <cell r="D179">
            <v>1.2999999999999999E-2</v>
          </cell>
        </row>
      </sheetData>
      <sheetData sheetId="29"/>
      <sheetData sheetId="30" refreshError="1"/>
      <sheetData sheetId="31" refreshError="1"/>
      <sheetData sheetId="32"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1,W2,W3,W4"/>
      <sheetName val="reaction-table"/>
      <sheetName val="moments-table"/>
      <sheetName val="IS3370-table"/>
      <sheetName val="Solid"/>
      <sheetName val="head loss calc"/>
      <sheetName val="Sheet2"/>
      <sheetName val="loadcal"/>
    </sheetNames>
    <sheetDataSet>
      <sheetData sheetId="0"/>
      <sheetData sheetId="1">
        <row r="17">
          <cell r="A17">
            <v>0.125</v>
          </cell>
        </row>
      </sheetData>
      <sheetData sheetId="2">
        <row r="17">
          <cell r="A17">
            <v>0.125</v>
          </cell>
        </row>
      </sheetData>
      <sheetData sheetId="3"/>
      <sheetData sheetId="4" refreshError="1"/>
      <sheetData sheetId="5" refreshError="1"/>
      <sheetData sheetId="6" refreshError="1"/>
      <sheetData sheetId="7"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6"/>
      <sheetName val="Sheet4"/>
      <sheetName val="Sheet3"/>
      <sheetName val="Sheet5"/>
      <sheetName val="WR"/>
      <sheetName val="Water_Planning"/>
      <sheetName val="Rainfall-Runoff(78-89)_Kogoan"/>
      <sheetName val="reaction-tabl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2-final"/>
      <sheetName val="S_3 Final"/>
      <sheetName val="Table_1"/>
      <sheetName val="Table_2"/>
      <sheetName val="Table_3"/>
      <sheetName val="Table_4"/>
      <sheetName val="Table_5"/>
      <sheetName val="Table_6"/>
      <sheetName val="Table_7"/>
      <sheetName val="Table_8"/>
      <sheetName val=" BEFORE IRRIGATION_1"/>
      <sheetName val="IWR_Rabi_CP1_Barwani"/>
      <sheetName val="KC Values"/>
      <sheetName val="Penmen ETO"/>
      <sheetName val="WR"/>
      <sheetName val="Annual Rainfall"/>
      <sheetName val="Crop Pattern and Area"/>
      <sheetName val=" BEFORE IRRIGATION"/>
      <sheetName val=" Value BEFORE IRRIGATION"/>
      <sheetName val="AFTER IRRIGATION"/>
      <sheetName val="VALUE AFTER IRRIGATION"/>
      <sheetName val="B &amp; C"/>
      <sheetName val="Final Abstract"/>
      <sheetName val="S_3 revised"/>
      <sheetName val="I.F"/>
      <sheetName val="Sheet1 (2)"/>
      <sheetName val="Sheet1 (4)"/>
      <sheetName val="GCA Details"/>
      <sheetName val="Fixation_Principal_Level"/>
      <sheetName val="S_2"/>
      <sheetName val="Estimation"/>
      <sheetName val="Discharge-Upper Beda"/>
      <sheetName val="Kogaoan data-Upper BEda"/>
      <sheetName val="US Reserve and Domestic Use"/>
      <sheetName val="Area_Capacity"/>
      <sheetName val="S_3"/>
      <sheetName val="Rainfall_Kogoan"/>
      <sheetName val="Rainfall-Runoff(78-89)_Kogoan"/>
      <sheetName val="Rainfall data (2)"/>
      <sheetName val="Sheet4"/>
      <sheetName val="Waste_Weir"/>
      <sheetName val="Rainfall_Borkhedi"/>
      <sheetName val="Binnies"/>
      <sheetName val="Energy Dissipator"/>
      <sheetName val="Spillway_Profile"/>
      <sheetName val="upper beda-recosted"/>
      <sheetName val="Sheet1"/>
      <sheetName val="Sheet3"/>
      <sheetName val="CW_Base File (2)"/>
      <sheetName val="Water_Planning"/>
      <sheetName val="Sheet2"/>
      <sheetName val="Sheet1 (3)"/>
      <sheetName val="WR (2)"/>
      <sheetName val="Sheet5"/>
      <sheetName val="Sheet11"/>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35">
          <cell r="L35">
            <v>8444.1</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2">
          <cell r="P2">
            <v>26.594337342635395</v>
          </cell>
        </row>
      </sheetData>
      <sheetData sheetId="30" refreshError="1"/>
      <sheetData sheetId="31" refreshError="1"/>
      <sheetData sheetId="32" refreshError="1"/>
      <sheetData sheetId="33" refreshError="1"/>
      <sheetData sheetId="34" refreshError="1"/>
      <sheetData sheetId="35">
        <row r="5">
          <cell r="A5">
            <v>1</v>
          </cell>
        </row>
      </sheetData>
      <sheetData sheetId="36" refreshError="1"/>
      <sheetData sheetId="37" refreshError="1"/>
      <sheetData sheetId="38">
        <row r="18">
          <cell r="S18">
            <v>5.0000000000000001E-4</v>
          </cell>
        </row>
      </sheetData>
      <sheetData sheetId="39" refreshError="1"/>
      <sheetData sheetId="40" refreshError="1"/>
      <sheetData sheetId="41">
        <row r="3">
          <cell r="U3" t="str">
            <v>Flush Bar</v>
          </cell>
        </row>
      </sheetData>
      <sheetData sheetId="42">
        <row r="5">
          <cell r="A5">
            <v>1</v>
          </cell>
        </row>
      </sheetData>
      <sheetData sheetId="43">
        <row r="11">
          <cell r="E11">
            <v>32.561399999999999</v>
          </cell>
        </row>
      </sheetData>
      <sheetData sheetId="44" refreshError="1"/>
      <sheetData sheetId="45" refreshError="1"/>
      <sheetData sheetId="46" refreshError="1"/>
      <sheetData sheetId="47" refreshError="1"/>
      <sheetData sheetId="48" refreshError="1"/>
      <sheetData sheetId="49" refreshError="1"/>
      <sheetData sheetId="50">
        <row r="33">
          <cell r="J33">
            <v>3.0956626573646076</v>
          </cell>
        </row>
      </sheetData>
      <sheetData sheetId="51" refreshError="1"/>
      <sheetData sheetId="52" refreshError="1"/>
      <sheetData sheetId="53" refreshError="1"/>
      <sheetData sheetId="54" refreshError="1"/>
      <sheetData sheetId="55" refreshError="1"/>
      <sheetData sheetId="56"/>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_2R"/>
      <sheetName val="CALC_1R"/>
      <sheetName val="CALC_MC"/>
      <sheetName val="Sheet2"/>
      <sheetName val="Basic Data Sheet"/>
      <sheetName val="Rainfall-Runoff(78-89)_Kogoan"/>
    </sheetNames>
    <sheetDataSet>
      <sheetData sheetId="0">
        <row r="2">
          <cell r="P2">
            <v>1.5</v>
          </cell>
        </row>
      </sheetData>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dex"/>
      <sheetName val="-19.252"/>
      <sheetName val="sum-19.252"/>
      <sheetName val="pc-loads"/>
      <sheetName val="Pile cap"/>
      <sheetName val="General&amp;Local"/>
      <sheetName val="Appendix"/>
      <sheetName val="Design"/>
      <sheetName val="summary"/>
      <sheetName val="Sheet1"/>
      <sheetName val="Legal Risk Analysis"/>
      <sheetName val="CALC_2R"/>
      <sheetName val="Basic Data Sheet"/>
      <sheetName val="CF4 (R)"/>
      <sheetName val="ASME B 36.10 M"/>
      <sheetName val="head loss calc"/>
      <sheetName val="Purlin(7m)"/>
      <sheetName val="-19_252"/>
      <sheetName val="sum-19_252"/>
      <sheetName val="Pile_cap"/>
      <sheetName val="Legal_Risk_Analysis"/>
      <sheetName val="CF4_(R)"/>
      <sheetName val="ASME_B_36_10_M"/>
      <sheetName val="head_loss_calc"/>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Sheet4"/>
      <sheetName val="Sheet5"/>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CBR"/>
      <sheetName val="MDD-OMC "/>
      <sheetName val="Hydraulic"/>
      <sheetName val="Pile cap"/>
      <sheetName val="FIRST"/>
      <sheetName val="Lavel DATA"/>
      <sheetName val="CORR_1"/>
      <sheetName val="bASICDATA"/>
      <sheetName val="Summary_Slab_Karbook"/>
      <sheetName val="Sarguja (S)"/>
      <sheetName val="Roadlist"/>
      <sheetName val="Estimate"/>
    </sheetNames>
    <sheetDataSet>
      <sheetData sheetId="0"/>
      <sheetData sheetId="1"/>
      <sheetData sheetId="2" refreshError="1"/>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NDIYA_TANK"/>
      <sheetName val="Main_Canal_Data_balgaon"/>
      <sheetName val="Sheet1"/>
      <sheetName val="Sheet2"/>
      <sheetName val="Sheet3"/>
      <sheetName val="Hydraulic"/>
      <sheetName val="Labour"/>
      <sheetName val="Material"/>
      <sheetName val="Plant &amp;  Machinery"/>
      <sheetName val="IWR_Rabi_CP1_Barwani_CWR (L)"/>
      <sheetName val="IWR_Rabi_CP1_Barwani_CWR(G)"/>
    </sheetNames>
    <sheetDataSet>
      <sheetData sheetId="0"/>
      <sheetData sheetId="1">
        <row r="2">
          <cell r="A2">
            <v>0</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MASTER"/>
      <sheetName val="WINGWALL"/>
      <sheetName val="BBS-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Eg_1"/>
      <sheetName val="Eg_2"/>
      <sheetName val="Eg_3"/>
      <sheetName val="Eg_4"/>
      <sheetName val="sorna-lanjera"/>
      <sheetName val="23_Design_Wast_weir_chanel"/>
      <sheetName val="Fixation_Principal_Level"/>
      <sheetName val="ABSTRACT"/>
      <sheetName val="Lavel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sheetData sheetId="32"/>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esign"/>
      <sheetName val="tables"/>
      <sheetName val="Wing Wall Design "/>
      <sheetName val="Drawing Data "/>
      <sheetName val="raft"/>
      <sheetName val="SLAB APPROCH"/>
      <sheetName val="SLAB REIN"/>
      <sheetName val="Schedule of Reinforcement"/>
      <sheetName val="Detail of  Quantities "/>
      <sheetName val="Abstract of Cost"/>
      <sheetName val="Consumption and lead statement "/>
      <sheetName val="diversion road"/>
      <sheetName val="abs of diversion"/>
      <sheetName val="consum of diversion"/>
      <sheetName val="Sheet1"/>
      <sheetName val="Sheet4"/>
      <sheetName val="Below_Earth"/>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 CALC"/>
      <sheetName val="TEL LONG"/>
      <sheetName val="GLOSSARY"/>
      <sheetName val="ABUT MASTER (4)"/>
      <sheetName val="ABUT MASTER (3)"/>
      <sheetName val="ABUT MASTER"/>
      <sheetName val="ABUTMENT"/>
      <sheetName val="TOC"/>
      <sheetName val="SPECIFICATIONS"/>
      <sheetName val="DATA LIST "/>
      <sheetName val="Sheet1"/>
      <sheetName val="Sheet2"/>
      <sheetName val="Sheet3"/>
      <sheetName val="#REF"/>
      <sheetName val="Labour"/>
      <sheetName val="scour depth"/>
      <sheetName val="Hydraulic"/>
    </sheetNames>
    <sheetDataSet>
      <sheetData sheetId="0">
        <row r="57">
          <cell r="K57">
            <v>0.3</v>
          </cell>
        </row>
      </sheetData>
      <sheetData sheetId="1"/>
      <sheetData sheetId="2"/>
      <sheetData sheetId="3"/>
      <sheetData sheetId="4"/>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ABUT MASTER"/>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 sheetId="29"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ABUT 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55"/>
      <sheetName val="1+385"/>
      <sheetName val="2+068"/>
      <sheetName val="0_655"/>
      <sheetName val="Sheet11"/>
    </sheetNames>
    <sheetDataSet>
      <sheetData sheetId="0"/>
      <sheetData sheetId="1" refreshError="1"/>
      <sheetData sheetId="2" refreshError="1"/>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Gant)"/>
      <sheetName val="Gantry  (4.575M)"/>
      <sheetName val="Corbel"/>
      <sheetName val="Corbel (pbr)"/>
      <sheetName val="Purlin(7m)"/>
      <sheetName val="0+655"/>
      <sheetName val="Sheet11"/>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mom. distrn."/>
      <sheetName val="reaction-table"/>
      <sheetName val="moments-table(tri)"/>
      <sheetName val="moments-table(rect-base)"/>
      <sheetName val="IS3370-table"/>
      <sheetName val="Purlin(7m)"/>
    </sheetNames>
    <sheetDataSet>
      <sheetData sheetId="0"/>
      <sheetData sheetId="1"/>
      <sheetData sheetId="2"/>
      <sheetData sheetId="3">
        <row r="17">
          <cell r="A17">
            <v>0.125</v>
          </cell>
        </row>
      </sheetData>
      <sheetData sheetId="4"/>
      <sheetData sheetId="5"/>
      <sheetData sheetId="6"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Spillway"/>
      <sheetName val="Sheet1 "/>
      <sheetName val="Sheet2 "/>
      <sheetName val="moments-table(tri)"/>
    </sheetNames>
    <sheetDataSet>
      <sheetData sheetId="0"/>
      <sheetData sheetId="1">
        <row r="2">
          <cell r="AH2">
            <v>0</v>
          </cell>
        </row>
      </sheetData>
      <sheetData sheetId="2">
        <row r="29">
          <cell r="C29">
            <v>0</v>
          </cell>
        </row>
      </sheetData>
      <sheetData sheetId="3" refreshError="1"/>
      <sheetData sheetId="4"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esign"/>
      <sheetName val="Points"/>
      <sheetName val="Table11"/>
      <sheetName val="Table9"/>
      <sheetName val="Table10"/>
      <sheetName val="Table12"/>
      <sheetName val="TemplateInformation"/>
      <sheetName val="Pile cap"/>
      <sheetName val="Purlin(7m)"/>
      <sheetName val="BS8007"/>
      <sheetName val="Sheet1 "/>
    </sheetNames>
    <sheetDataSet>
      <sheetData sheetId="0" refreshError="1"/>
      <sheetData sheetId="1" refreshError="1"/>
      <sheetData sheetId="2"/>
      <sheetData sheetId="3">
        <row r="2">
          <cell r="A2">
            <v>0.4</v>
          </cell>
        </row>
      </sheetData>
      <sheetData sheetId="4">
        <row r="1">
          <cell r="A1" t="str">
            <v>H2/DT</v>
          </cell>
        </row>
      </sheetData>
      <sheetData sheetId="5">
        <row r="1">
          <cell r="A1" t="str">
            <v>H2/DT</v>
          </cell>
        </row>
      </sheetData>
      <sheetData sheetId="6">
        <row r="1">
          <cell r="A1" t="str">
            <v>H2/DT</v>
          </cell>
        </row>
      </sheetData>
      <sheetData sheetId="7" refreshError="1"/>
      <sheetData sheetId="8" refreshError="1"/>
      <sheetData sheetId="9" refreshError="1"/>
      <sheetData sheetId="10" refreshError="1"/>
      <sheetData sheetId="11"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esign"/>
      <sheetName val="Points"/>
      <sheetName val="Table11"/>
      <sheetName val="Table9"/>
      <sheetName val="Table10"/>
      <sheetName val="Table12"/>
      <sheetName val="TemplateInformation"/>
    </sheetNames>
    <sheetDataSet>
      <sheetData sheetId="0"/>
      <sheetData sheetId="1"/>
      <sheetData sheetId="2"/>
      <sheetData sheetId="3">
        <row r="2">
          <cell r="A2">
            <v>0.4</v>
          </cell>
        </row>
      </sheetData>
      <sheetData sheetId="4"/>
      <sheetData sheetId="5"/>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CLAY"/>
      <sheetName val="SAND"/>
      <sheetName val="Sheet2"/>
      <sheetName val="Sheet3"/>
      <sheetName val="Sheet1"/>
      <sheetName val="IS3370"/>
      <sheetName val="IS456"/>
      <sheetName val="Flight-1"/>
      <sheetName val="Table11"/>
      <sheetName val="SPT vs PHI"/>
      <sheetName val="bar bending"/>
      <sheetName val="SECPROP"/>
      <sheetName val="Detai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sign"/>
      <sheetName val="GENERAL ABSTRACT"/>
      <sheetName val="Report"/>
      <sheetName val="abstract of VRB"/>
      <sheetName val="deatil of quantity"/>
      <sheetName val="Consumption and lead statement "/>
      <sheetName val="Sheet1"/>
      <sheetName val="KM WISE LEAD REVISED SANAURA"/>
      <sheetName val="SECTION"/>
      <sheetName val="reinforcement"/>
      <sheetName val="Below_Earth"/>
    </sheetNames>
    <sheetDataSet>
      <sheetData sheetId="0" refreshError="1"/>
      <sheetData sheetId="1">
        <row r="6">
          <cell r="F6">
            <v>7.4499999999999997E-2</v>
          </cell>
        </row>
      </sheetData>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EW"/>
      <sheetName val="Outlet Details"/>
      <sheetName val="Main_Canal_Data_balgaon"/>
      <sheetName val="Abstract"/>
      <sheetName val="qty detail"/>
      <sheetName val="area"/>
      <sheetName val="Chak Statement"/>
      <sheetName val="Main Canal"/>
      <sheetName val="CUT OFF"/>
      <sheetName val="Earth work-"/>
      <sheetName val="Sheet5"/>
      <sheetName val="Strata Classification "/>
      <sheetName val="KM Wise Statement"/>
      <sheetName val="cc lin "/>
      <sheetName val="Abs"/>
      <sheetName val="Lining CS"/>
      <sheetName val="STRATA"/>
      <sheetName val="Sheet11"/>
      <sheetName val="Earth work- (2)"/>
      <sheetName val="Reach 1"/>
      <sheetName val="Reach 2"/>
      <sheetName val="Reach 3"/>
      <sheetName val="BALGAON CCA"/>
      <sheetName val="IS3370"/>
      <sheetName val="IS456"/>
    </sheetNames>
    <sheetDataSet>
      <sheetData sheetId="0"/>
      <sheetData sheetId="1" refreshError="1"/>
      <sheetData sheetId="2">
        <row r="2">
          <cell r="F2">
            <v>0</v>
          </cell>
        </row>
      </sheetData>
      <sheetData sheetId="3"/>
      <sheetData sheetId="4"/>
      <sheetData sheetId="5">
        <row r="7">
          <cell r="H7" t="str">
            <v>TAIL MINOR</v>
          </cell>
        </row>
      </sheetData>
      <sheetData sheetId="6"/>
      <sheetData sheetId="7"/>
      <sheetData sheetId="8">
        <row r="11">
          <cell r="T11">
            <v>0.3</v>
          </cell>
        </row>
      </sheetData>
      <sheetData sheetId="9">
        <row r="3">
          <cell r="S3">
            <v>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Census 2001"/>
      <sheetName val="Working Table"/>
      <sheetName val="I.P"/>
      <sheetName val="IWR_Rabi_CP1_Barwani (3)"/>
      <sheetName val="CWR"/>
      <sheetName val="IWR_Rabi_CP1_Barwani_CWR"/>
      <sheetName val="Crop Pattern and Area"/>
      <sheetName val="Annual Rainfall"/>
      <sheetName val="Penmen ETO"/>
      <sheetName val="Synthetic UH"/>
      <sheetName val="berhda"/>
      <sheetName val="UH"/>
      <sheetName val="IWR_Rabi_CP1_Barwani"/>
      <sheetName val="Sheet6"/>
      <sheetName val="KC Values"/>
      <sheetName val="Sheet1 (2)"/>
      <sheetName val="Drinking &amp; Industrial Water use"/>
      <sheetName val="US Reserve and Domestic Use"/>
      <sheetName val="rainfall at pati"/>
      <sheetName val="Pati_R-R Analysis"/>
      <sheetName val="Area_Capacity"/>
      <sheetName val="CW_Base File (2)"/>
      <sheetName val="P.E.1"/>
      <sheetName val="Rainfall"/>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Effective_Rainfall"/>
      <sheetName val="Binnies"/>
      <sheetName val="Fixation_Principal_Level"/>
      <sheetName val="Routing"/>
      <sheetName val="Water_Planning"/>
      <sheetName val="Spillway_Profile"/>
      <sheetName val="Waste_Weir"/>
      <sheetName val="Ogee Spillway"/>
      <sheetName val="Influence Factor"/>
      <sheetName val="Ogee Spillway (2)"/>
      <sheetName val="Spill channel"/>
      <sheetName val="Splii_Chanel_L_Section"/>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Command Area"/>
      <sheetName val="CALC_MC_Flows"/>
      <sheetName val="Design of Sluice"/>
      <sheetName val="Submergance Area"/>
      <sheetName val="Sheet14"/>
      <sheetName val="Sheet23"/>
      <sheetName val="Ele-Capacity"/>
      <sheetName val="Routing (2)"/>
      <sheetName val="Sheet7"/>
      <sheetName val="Outle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ow r="15">
          <cell r="M15">
            <v>348.99599999999998</v>
          </cell>
        </row>
      </sheetData>
      <sheetData sheetId="59" refreshError="1"/>
      <sheetData sheetId="60" refreshError="1"/>
      <sheetData sheetId="61" refreshError="1"/>
      <sheetData sheetId="62"/>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2-final"/>
      <sheetName val="Table_1"/>
      <sheetName val="Table_2"/>
      <sheetName val="Table_3"/>
      <sheetName val="Table_4"/>
      <sheetName val="Table_5"/>
      <sheetName val="Table_6"/>
      <sheetName val="Table_7"/>
      <sheetName val="Table_8"/>
      <sheetName val="Table 9"/>
      <sheetName val="WR-Final"/>
      <sheetName val="US Reserve and Domestic Use"/>
      <sheetName val=" BEFORE IRRIGATION"/>
      <sheetName val="AFTER IRRIGATION"/>
      <sheetName val="Waste_Weir"/>
      <sheetName val="Final Abstract"/>
      <sheetName val="Weighted rainfall"/>
      <sheetName val="Mon-Rainfall-runoff"/>
      <sheetName val="Influencing Factor &amp; R.F"/>
      <sheetName val="S_3 revised"/>
      <sheetName val="I.F"/>
      <sheetName val="Sheet1 (2)"/>
      <sheetName val="Sheet1 (4)"/>
      <sheetName val="GCA Details"/>
      <sheetName val="S_3 Final"/>
      <sheetName val="Water_Planning"/>
      <sheetName val="Fixation_Principal_Level"/>
      <sheetName val="Binnies"/>
      <sheetName val="kogan discharge data"/>
      <sheetName val="rainfall at kogaon"/>
      <sheetName val="S_2"/>
      <sheetName val="Estimation"/>
      <sheetName val="Discharge-Upper Beda"/>
      <sheetName val="Kogaoan data-Upper BEda"/>
      <sheetName val="WR-upper beda"/>
      <sheetName val="Area_Capacity"/>
      <sheetName val="S_3"/>
      <sheetName val="Rainfall_Kogoan"/>
      <sheetName val="Rainfall-Runoff(78-89)_Kogoan"/>
      <sheetName val="Rainfall data (2)"/>
      <sheetName val="Sheet4"/>
      <sheetName val="Rainfall_Borkhedi"/>
      <sheetName val="Energy Dissipator"/>
      <sheetName val="Spillway_Profile"/>
      <sheetName val="upper beda-recosted"/>
      <sheetName val="Sheet1"/>
      <sheetName val="Sheet3"/>
      <sheetName val="CW_Base File (2)"/>
      <sheetName val="Sheet2"/>
      <sheetName val="Sheet1 (3)"/>
      <sheetName val="WR-older"/>
      <sheetName val="Sheet5"/>
      <sheetName val="Civil Boq"/>
    </sheetNames>
    <sheetDataSet>
      <sheetData sheetId="0">
        <row r="17">
          <cell r="F17" t="str">
            <v>sq km</v>
          </cell>
        </row>
      </sheetData>
      <sheetData sheetId="1"/>
      <sheetData sheetId="2"/>
      <sheetData sheetId="3"/>
      <sheetData sheetId="4"/>
      <sheetData sheetId="5">
        <row r="43">
          <cell r="D43">
            <v>4703</v>
          </cell>
        </row>
      </sheetData>
      <sheetData sheetId="6"/>
      <sheetData sheetId="7"/>
      <sheetData sheetId="8"/>
      <sheetData sheetId="9"/>
      <sheetData sheetId="10"/>
      <sheetData sheetId="11">
        <row r="45">
          <cell r="L45">
            <v>8445</v>
          </cell>
        </row>
      </sheetData>
      <sheetData sheetId="12">
        <row r="56">
          <cell r="E56">
            <v>461.19696569223242</v>
          </cell>
        </row>
      </sheetData>
      <sheetData sheetId="13"/>
      <sheetData sheetId="14"/>
      <sheetData sheetId="15">
        <row r="3">
          <cell r="U3" t="str">
            <v>Flush Bar</v>
          </cell>
        </row>
      </sheetData>
      <sheetData sheetId="16">
        <row r="5">
          <cell r="B5" t="str">
            <v>A-Preliminary</v>
          </cell>
        </row>
      </sheetData>
      <sheetData sheetId="17">
        <row r="3">
          <cell r="M3">
            <v>2.0408163265306123</v>
          </cell>
        </row>
      </sheetData>
      <sheetData sheetId="18">
        <row r="23">
          <cell r="N23">
            <v>0.26045491509754298</v>
          </cell>
        </row>
      </sheetData>
      <sheetData sheetId="19"/>
      <sheetData sheetId="20"/>
      <sheetData sheetId="21"/>
      <sheetData sheetId="22"/>
      <sheetData sheetId="23"/>
      <sheetData sheetId="24"/>
      <sheetData sheetId="25"/>
      <sheetData sheetId="26">
        <row r="21">
          <cell r="E21">
            <v>2.3340017999999985</v>
          </cell>
        </row>
      </sheetData>
      <sheetData sheetId="27">
        <row r="2">
          <cell r="P2">
            <v>28.414999999999999</v>
          </cell>
        </row>
      </sheetData>
      <sheetData sheetId="28">
        <row r="11">
          <cell r="E11">
            <v>120.12180684298681</v>
          </cell>
        </row>
      </sheetData>
      <sheetData sheetId="29"/>
      <sheetData sheetId="30"/>
      <sheetData sheetId="31"/>
      <sheetData sheetId="32"/>
      <sheetData sheetId="33"/>
      <sheetData sheetId="34"/>
      <sheetData sheetId="35">
        <row r="47">
          <cell r="L47">
            <v>731</v>
          </cell>
        </row>
      </sheetData>
      <sheetData sheetId="36">
        <row r="5">
          <cell r="A5">
            <v>1</v>
          </cell>
        </row>
      </sheetData>
      <sheetData sheetId="37"/>
      <sheetData sheetId="38"/>
      <sheetData sheetId="39">
        <row r="18">
          <cell r="S18">
            <v>5.0000000000000001E-4</v>
          </cell>
        </row>
      </sheetData>
      <sheetData sheetId="40"/>
      <sheetData sheetId="41"/>
      <sheetData sheetId="42">
        <row r="5">
          <cell r="A5">
            <v>1</v>
          </cell>
        </row>
      </sheetData>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4 (2)"/>
      <sheetName val="Table_5"/>
      <sheetName val="Table_6"/>
      <sheetName val="Table_7"/>
      <sheetName val="Table_8"/>
      <sheetName val="Estimation_fINAL"/>
      <sheetName val="WR (Barwani Block)"/>
      <sheetName val="Table_9"/>
      <sheetName val="Table_9 (2)"/>
      <sheetName val="Estimation_Final (R)"/>
      <sheetName val="Rainfall_Khandawa"/>
      <sheetName val="Binnies"/>
      <sheetName val="Rainfall"/>
      <sheetName val="Area_Capacity"/>
      <sheetName val="Fixation_Principal_Level"/>
      <sheetName val="Water_Planning"/>
      <sheetName val="WR (Lift)"/>
      <sheetName val="WR"/>
      <sheetName val="Waste_Weir"/>
      <sheetName val="P.E"/>
      <sheetName val="Sheet1"/>
      <sheetName val="Sheet3"/>
      <sheetName val="Sheet2"/>
      <sheetName val="area"/>
      <sheetName val="Water Use"/>
      <sheetName val="Sheet5"/>
    </sheetNames>
    <sheetDataSet>
      <sheetData sheetId="0">
        <row r="8">
          <cell r="G8" t="str">
            <v>Khandwa</v>
          </cell>
        </row>
      </sheetData>
      <sheetData sheetId="1"/>
      <sheetData sheetId="2">
        <row r="6">
          <cell r="F6" t="str">
            <v xml:space="preserve">Kherda Tank </v>
          </cell>
        </row>
      </sheetData>
      <sheetData sheetId="3">
        <row r="4">
          <cell r="D4" t="str">
            <v>Khandawa</v>
          </cell>
        </row>
      </sheetData>
      <sheetData sheetId="4" refreshError="1"/>
      <sheetData sheetId="5" refreshError="1"/>
      <sheetData sheetId="6">
        <row r="6">
          <cell r="C6" t="str">
            <v>Cotton Improved</v>
          </cell>
        </row>
      </sheetData>
      <sheetData sheetId="7">
        <row r="35">
          <cell r="F35">
            <v>0.12650000000000003</v>
          </cell>
        </row>
      </sheetData>
      <sheetData sheetId="8" refreshError="1"/>
      <sheetData sheetId="9">
        <row r="27">
          <cell r="F27">
            <v>383.80076645193822</v>
          </cell>
        </row>
      </sheetData>
      <sheetData sheetId="10" refreshError="1"/>
      <sheetData sheetId="11">
        <row r="38">
          <cell r="D38">
            <v>1972.144721778222</v>
          </cell>
        </row>
      </sheetData>
      <sheetData sheetId="12" refreshError="1"/>
      <sheetData sheetId="13" refreshError="1"/>
      <sheetData sheetId="14">
        <row r="57">
          <cell r="H57">
            <v>1.6277486830916914</v>
          </cell>
        </row>
      </sheetData>
      <sheetData sheetId="15" refreshError="1"/>
      <sheetData sheetId="16">
        <row r="22">
          <cell r="Q22">
            <v>22.44</v>
          </cell>
        </row>
      </sheetData>
      <sheetData sheetId="17">
        <row r="1">
          <cell r="B1" t="str">
            <v>Khandwa</v>
          </cell>
        </row>
      </sheetData>
      <sheetData sheetId="18">
        <row r="2">
          <cell r="E2">
            <v>49.959726000000003</v>
          </cell>
        </row>
      </sheetData>
      <sheetData sheetId="19" refreshError="1"/>
      <sheetData sheetId="20">
        <row r="5">
          <cell r="A5">
            <v>1</v>
          </cell>
        </row>
      </sheetData>
      <sheetData sheetId="21">
        <row r="2">
          <cell r="P2">
            <v>4.2720000000000002</v>
          </cell>
        </row>
      </sheetData>
      <sheetData sheetId="22" refreshError="1"/>
      <sheetData sheetId="23">
        <row r="23">
          <cell r="J23">
            <v>193</v>
          </cell>
        </row>
      </sheetData>
      <sheetData sheetId="24">
        <row r="23">
          <cell r="M23">
            <v>1393.2000000000003</v>
          </cell>
        </row>
      </sheetData>
      <sheetData sheetId="25">
        <row r="3">
          <cell r="U3" t="str">
            <v>Flush Bar</v>
          </cell>
        </row>
      </sheetData>
      <sheetData sheetId="26" refreshError="1"/>
      <sheetData sheetId="27" refreshError="1"/>
      <sheetData sheetId="28" refreshError="1"/>
      <sheetData sheetId="29" refreshError="1"/>
      <sheetData sheetId="30" refreshError="1"/>
      <sheetData sheetId="31">
        <row r="7">
          <cell r="D7" t="str">
            <v>Completed_Tank_In_Kherda_Catchment</v>
          </cell>
        </row>
      </sheetData>
      <sheetData sheetId="3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
      <sheetName val="PF"/>
      <sheetName val="CV"/>
      <sheetName val="V"/>
      <sheetName val="C-1"/>
      <sheetName val="CST"/>
      <sheetName val="CERT-2"/>
      <sheetName val="CERT-1"/>
      <sheetName val="CER-3"/>
      <sheetName val="1"/>
      <sheetName val="2"/>
      <sheetName val="RI"/>
      <sheetName val="M"/>
      <sheetName val="3"/>
      <sheetName val="4"/>
      <sheetName val="T"/>
      <sheetName val="5"/>
      <sheetName val="TR"/>
      <sheetName val="6"/>
      <sheetName val="7"/>
      <sheetName val="8"/>
      <sheetName val="HC"/>
      <sheetName val="9"/>
      <sheetName val="PD"/>
      <sheetName val="FG"/>
      <sheetName val="PDC"/>
      <sheetName val="10"/>
      <sheetName val="H2"/>
      <sheetName val="11"/>
      <sheetName val="12"/>
      <sheetName val="13"/>
      <sheetName val="14"/>
      <sheetName val="15"/>
      <sheetName val="16"/>
      <sheetName val="17"/>
      <sheetName val="18"/>
      <sheetName val="19"/>
      <sheetName val="C-2"/>
      <sheetName val="A"/>
      <sheetName val="B"/>
      <sheetName val="Sumerry B"/>
      <sheetName val="GN-ABS"/>
      <sheetName val="nabad"/>
      <sheetName val="Gor"/>
      <sheetName val="C1"/>
      <sheetName val="S"/>
      <sheetName val="7.3"/>
      <sheetName val="S.S."/>
      <sheetName val="G1"/>
      <sheetName val="G"/>
      <sheetName val="F-1"/>
      <sheetName val="2A"/>
      <sheetName val="2B"/>
      <sheetName val="F-4 "/>
      <sheetName val="F-6"/>
      <sheetName val="EW"/>
      <sheetName val="Mtn1"/>
      <sheetName val="Mtn2"/>
      <sheetName val="Mtn3"/>
      <sheetName val="Mtn"/>
      <sheetName val="DI"/>
      <sheetName val="SB"/>
      <sheetName val="SC"/>
      <sheetName val="1 Row 600"/>
      <sheetName val="1 Row"/>
      <sheetName val="2 R VCW (20m)"/>
      <sheetName val="2 Row "/>
      <sheetName val="2 Row  1200"/>
      <sheetName val="3 Row "/>
      <sheetName val="VCW 1475"/>
      <sheetName val="F-8"/>
      <sheetName val="KM"/>
      <sheetName val="Ld.St"/>
      <sheetName val="A-R"/>
      <sheetName val="LAB"/>
      <sheetName val="P&amp;M"/>
      <sheetName val="Mat"/>
      <sheetName val="R-A"/>
      <sheetName val="XXX"/>
      <sheetName val="CC R.A."/>
      <sheetName val="F-9"/>
      <sheetName val="E.CH"/>
      <sheetName val="CL"/>
      <sheetName val="C-3"/>
      <sheetName val="Wall"/>
      <sheetName val="F-4"/>
      <sheetName val="P1"/>
      <sheetName val="P2"/>
      <sheetName val="P3"/>
      <sheetName val="dcp"/>
      <sheetName val="Drawing"/>
      <sheetName val="B (2)"/>
      <sheetName val="EX"/>
      <sheetName val="inpur CD Ra"/>
      <sheetName val="1.0 m"/>
      <sheetName val="1.5 m"/>
      <sheetName val="2 M"/>
      <sheetName val="3 M"/>
      <sheetName val="4 M"/>
      <sheetName val="2X4 M"/>
      <sheetName val="1x6"/>
      <sheetName val="2x6"/>
      <sheetName val="5X6"/>
      <sheetName val="5 R VCW (36m)"/>
      <sheetName val="6 R VCW (40m)"/>
      <sheetName val="Flushed - 20"/>
      <sheetName val="A-T"/>
      <sheetName val="Sheet1"/>
      <sheetName val="WR"/>
      <sheetName val="Binn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ow r="27">
          <cell r="G27">
            <v>1656</v>
          </cell>
        </row>
      </sheetData>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7-Indore &amp; Khandwa"/>
      <sheetName val="Letter"/>
      <sheetName val="P&amp;M"/>
    </sheetNames>
    <sheetDataSet>
      <sheetData sheetId="0"/>
      <sheetData sheetId="1"/>
      <sheetData sheetId="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atas"/>
      <sheetName val="Slab design-table"/>
      <sheetName val="Typ desn of slab"/>
      <sheetName val="Table-26"/>
      <sheetName val="Letter"/>
      <sheetName val="P&amp;M"/>
      <sheetName val="WR"/>
      <sheetName val="Binnies"/>
      <sheetName val="Civil Boq"/>
      <sheetName val="IS3370"/>
      <sheetName val="IS456"/>
      <sheetName val="Corbel"/>
    </sheetNames>
    <sheetDataSet>
      <sheetData sheetId="0">
        <row r="6">
          <cell r="E6" t="str">
            <v>CWT23102</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ugh"/>
      <sheetName val="Area Capacity Table"/>
      <sheetName val="Overall"/>
      <sheetName val="Yield"/>
      <sheetName val="RF_data"/>
      <sheetName val="Binnie yield"/>
      <sheetName val="Flood Lift"/>
      <sheetName val="Agriculture"/>
      <sheetName val="Crop_Pattern"/>
      <sheetName val="IWR_Rabi_CP1"/>
      <sheetName val="CALC_MC_Flows"/>
      <sheetName val="CALC_MINOR_Flows"/>
      <sheetName val="Working Table"/>
      <sheetName val="Canal design"/>
      <sheetName val="Sheet1"/>
      <sheetName val="Slab datas"/>
    </sheetNames>
    <sheetDataSet>
      <sheetData sheetId="0"/>
      <sheetData sheetId="1"/>
      <sheetData sheetId="2"/>
      <sheetData sheetId="3"/>
      <sheetData sheetId="4"/>
      <sheetData sheetId="5"/>
      <sheetData sheetId="6">
        <row r="75">
          <cell r="FQ75">
            <v>0.87949874684880436</v>
          </cell>
        </row>
      </sheetData>
      <sheetData sheetId="7">
        <row r="4">
          <cell r="B4">
            <v>272</v>
          </cell>
        </row>
      </sheetData>
      <sheetData sheetId="8"/>
      <sheetData sheetId="9"/>
      <sheetData sheetId="10"/>
      <sheetData sheetId="11"/>
      <sheetData sheetId="12"/>
      <sheetData sheetId="13"/>
      <sheetData sheetId="14"/>
      <sheetData sheetId="1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ation_Principal_Level"/>
      <sheetName val="Abst_CWR_CROP_PATt."/>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Estimation_Final (R)"/>
      <sheetName val="Barifaliya_Arc_GIS"/>
      <sheetName val="Area_Capacity"/>
      <sheetName val="Working Table"/>
      <sheetName val="Rainfall_Bhikangaon"/>
      <sheetName val="Dam Section"/>
      <sheetName val="Binnies"/>
      <sheetName val="Rainfall"/>
      <sheetName val="Ogee Spillway"/>
      <sheetName val="Spill channel"/>
      <sheetName val="Water_Planning"/>
      <sheetName val="US Reserve and Domestic Use"/>
      <sheetName val="P.E"/>
      <sheetName val="Sheet1"/>
      <sheetName val="Sheet3"/>
      <sheetName val="Sheet2"/>
      <sheetName val="Sheet4"/>
      <sheetName val="Sheet5"/>
      <sheetName val="Table_8_Design_Wast_weir_chanel"/>
      <sheetName val="Waste_Weir New"/>
      <sheetName val="HFL Calculation"/>
      <sheetName val="L_section"/>
      <sheetName val="Hyd_Jum_WA"/>
      <sheetName val="Design_Waste_weir_channel"/>
      <sheetName val="Hydr_Irr_Sluice"/>
      <sheetName val="CWR for_Crop"/>
      <sheetName val="IWR_Rabi_CP1_Barwani_CWR"/>
      <sheetName val="Crop Pattern and Area"/>
      <sheetName val="Penmen ETO"/>
      <sheetName val="Annual Rainfall (2)"/>
      <sheetName val="Bed Slope"/>
      <sheetName val="Water_Planiing"/>
      <sheetName val="Water_Planning_conti.."/>
      <sheetName val="Fixations_Principal_level"/>
      <sheetName val="Water_Balance"/>
      <sheetName val="Waste_Weir"/>
      <sheetName val="Design of Sluice LBC"/>
      <sheetName val="Table_10_Sluices_Satsoi_LBC "/>
      <sheetName val="Table_11_Sluices_Satsoi_RBC"/>
      <sheetName val="Design of Sluice RBC"/>
      <sheetName val="Sheet6"/>
      <sheetName val="Sheet7"/>
      <sheetName val="Agricultur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J5">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S_3_rev"/>
      <sheetName val="free Catch"/>
      <sheetName val="Rainfall-Runoff"/>
      <sheetName val="75% Rainfall"/>
      <sheetName val="75%_RF"/>
      <sheetName val="yield_cal"/>
      <sheetName val="Table_1"/>
      <sheetName val="Table_2"/>
      <sheetName val="Table_3"/>
      <sheetName val="CW_plan_Kundiya"/>
      <sheetName val="Table_5"/>
      <sheetName val="Table_7 (2)"/>
      <sheetName val="Table_6"/>
      <sheetName val="Table_7"/>
      <sheetName val="estimated value_delete"/>
      <sheetName val=" BEFORE IRRIGATION"/>
      <sheetName val="AFTER IRRIGATION"/>
      <sheetName val="WR"/>
      <sheetName val="B &amp; C"/>
      <sheetName val="Canal_DEtail"/>
      <sheetName val="Villages"/>
      <sheetName val="Waste_Weir"/>
      <sheetName val="Estimation_fINAL"/>
      <sheetName val="Rainfall_Khargone"/>
      <sheetName val="P.E"/>
      <sheetName val="Binnies"/>
      <sheetName val="Sheet1"/>
      <sheetName val="Scheme_CA"/>
      <sheetName val="Sheet3"/>
      <sheetName val="Area_Capacity"/>
      <sheetName val="Table_4"/>
      <sheetName val="Fixation_Principal_Level"/>
      <sheetName val="Water_Planning"/>
      <sheetName val="Waste_Weir (2)"/>
      <sheetName val="Rainfall_Mhow"/>
      <sheetName val="Rainfall"/>
      <sheetName val="CW_plan_MAN"/>
      <sheetName val="Barwaha"/>
      <sheetName val="cont_details"/>
    </sheetNames>
    <sheetDataSet>
      <sheetData sheetId="0" refreshError="1"/>
      <sheetData sheetId="1" refreshError="1"/>
      <sheetData sheetId="2" refreshError="1"/>
      <sheetData sheetId="3" refreshError="1"/>
      <sheetData sheetId="4" refreshError="1"/>
      <sheetData sheetId="5" refreshError="1"/>
      <sheetData sheetId="6">
        <row r="69">
          <cell r="D69">
            <v>665.34240849999992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3">
          <cell r="U3" t="str">
            <v>Flush Bar</v>
          </cell>
        </row>
      </sheetData>
      <sheetData sheetId="25" refreshError="1"/>
      <sheetData sheetId="26">
        <row r="86">
          <cell r="E86">
            <v>572.5</v>
          </cell>
        </row>
      </sheetData>
      <sheetData sheetId="27" refreshError="1"/>
      <sheetData sheetId="28">
        <row r="7">
          <cell r="E7">
            <v>42.831588500114627</v>
          </cell>
        </row>
      </sheetData>
      <sheetData sheetId="29" refreshError="1"/>
      <sheetData sheetId="30" refreshError="1"/>
      <sheetData sheetId="31" refreshError="1"/>
      <sheetData sheetId="32">
        <row r="5">
          <cell r="A5">
            <v>1</v>
          </cell>
        </row>
      </sheetData>
      <sheetData sheetId="33" refreshError="1"/>
      <sheetData sheetId="34">
        <row r="2">
          <cell r="P2">
            <v>51.143654288379956</v>
          </cell>
        </row>
      </sheetData>
      <sheetData sheetId="35" refreshError="1"/>
      <sheetData sheetId="36">
        <row r="14">
          <cell r="K14">
            <v>126</v>
          </cell>
        </row>
      </sheetData>
      <sheetData sheetId="37" refreshError="1"/>
      <sheetData sheetId="38" refreshError="1"/>
      <sheetData sheetId="39" refreshError="1"/>
      <sheetData sheetId="40" refreshError="1"/>
      <sheetData sheetId="4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iHW (2)"/>
      <sheetName val="P_Maintenance"/>
      <sheetName val="quarterly (2)"/>
      <sheetName val="Unit iHW"/>
      <sheetName val="General"/>
      <sheetName val="General Abstract"/>
      <sheetName val="Accored"/>
      <sheetName val="WORK&amp;HAD"/>
      <sheetName val="executed upto"/>
      <sheetName val="BC_Ration"/>
      <sheetName val="Economic"/>
      <sheetName val="Infrastructure"/>
      <sheetName val="employement"/>
      <sheetName val="DAlta program"/>
      <sheetName val="quarterly"/>
      <sheetName val="additional"/>
      <sheetName val="Tide"/>
      <sheetName val="Sheet2"/>
      <sheetName val="wide"/>
      <sheetName val="rcd"/>
      <sheetName val="ROY"/>
      <sheetName val="RD"/>
      <sheetName val="DATA"/>
      <sheetName val="Canal Design Dat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1">
          <cell r="A11" t="str">
            <v>S.No.</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2)"/>
      <sheetName val="CONTENTS (2)"/>
      <sheetName val="24.95"/>
      <sheetName val="27.00"/>
      <sheetName val="30.6"/>
      <sheetName val="ROOF SLAB@24.95"/>
      <sheetName val="ROOF SLAB@27.00"/>
      <sheetName val="ROOF SLAB @30.6"/>
      <sheetName val="Design-slab"/>
      <sheetName val="Civil Boq"/>
      <sheetName val="Fixation_Principal_Level"/>
      <sheetName val="Waste_Weir"/>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 way"/>
      <sheetName val="ScourDepth"/>
      <sheetName val="Abutment"/>
      <sheetName val="bed block"/>
      <sheetName val="wing wall"/>
      <sheetName val="bar bending"/>
      <sheetName val="SPT vs PHI"/>
      <sheetName val="peripheral walls"/>
      <sheetName val="Flight-1"/>
      <sheetName val="Civil Boq"/>
      <sheetName val="All Load combinations"/>
      <sheetName val="Table10"/>
      <sheetName val="Table11"/>
      <sheetName val="Table12"/>
      <sheetName val="Ward areas"/>
      <sheetName val="Waste_Weir (2)"/>
      <sheetName val="Slab datas"/>
      <sheetName val="Area_Capacity"/>
      <sheetName val="Water_Planning"/>
      <sheetName val="DESIGN BASIS "/>
      <sheetName val="vent_way"/>
      <sheetName val="bed_block"/>
      <sheetName val="wing_wall"/>
      <sheetName val="bar_bending"/>
      <sheetName val="SPT_vs_PHI"/>
      <sheetName val="peripheral_walls"/>
      <sheetName val="Civil_Boq"/>
      <sheetName val="All_Load_combinations"/>
      <sheetName val="Ward_areas"/>
      <sheetName val="est"/>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tables"/>
      <sheetName val="Wing Wall Design "/>
      <sheetName val="Drawing Data "/>
      <sheetName val="Detail of Quantity "/>
      <sheetName val="Abstract of Cost"/>
      <sheetName val="Schedule of Reinforcement"/>
      <sheetName val="Consumption and lead statement "/>
      <sheetName val="Sheet1"/>
      <sheetName val="Sheet4"/>
      <sheetName val="bar bending"/>
      <sheetName val="Waste_Weir (2)"/>
      <sheetName val="Area_Capacity"/>
      <sheetName val="Water_Planning"/>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Census 2001"/>
      <sheetName val="Working Table"/>
      <sheetName val="I.P"/>
      <sheetName val="IWR_Rabi_CP1_Barwani (3)"/>
      <sheetName val="CWR"/>
      <sheetName val="Crop Pattern and Area"/>
      <sheetName val="Annual Rainfall"/>
      <sheetName val="Penmen ETO"/>
      <sheetName val="Synthetic UH"/>
      <sheetName val="berhda"/>
      <sheetName val="UH"/>
      <sheetName val="IWR_Rabi_CP1_Barwani"/>
      <sheetName val="Sheet6"/>
      <sheetName val="KC Values"/>
      <sheetName val="Sheet1 (2)"/>
      <sheetName val="Drinking &amp; Industrial Water use"/>
      <sheetName val="US Reserve and Domestic Use"/>
      <sheetName val="rainfall at pati"/>
      <sheetName val="Pati_R-R Analysis"/>
      <sheetName val="Area_Capacity"/>
      <sheetName val="CW_Base File (2)"/>
      <sheetName val="P.E.1"/>
      <sheetName val="Rainfall"/>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Effective_Rainfall"/>
      <sheetName val="Binnies"/>
      <sheetName val="Fixation_Principal_Level"/>
      <sheetName val="Routing"/>
      <sheetName val="Water_Planning"/>
      <sheetName val="Spillway_Profile"/>
      <sheetName val="Waste_Weir"/>
      <sheetName val="Ogee Spillway"/>
      <sheetName val="Influence Factor"/>
      <sheetName val="Ogee Spillway (2)"/>
      <sheetName val="Spill channel"/>
      <sheetName val="Splii_Chanel_L_Section"/>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Command Area"/>
      <sheetName val="IWR_Rabi_CP1_Barwani_CWR"/>
      <sheetName val="CALC_MC_Flows"/>
      <sheetName val="Design of Sluice"/>
      <sheetName val="Submergance Area"/>
      <sheetName val="Sheet14"/>
      <sheetName val="Sheet23"/>
      <sheetName val="Ele-Capacity"/>
      <sheetName val="Routing (2)"/>
      <sheetName val="Sheet7"/>
    </sheetNames>
    <sheetDataSet>
      <sheetData sheetId="0"/>
      <sheetData sheetId="1"/>
      <sheetData sheetId="2"/>
      <sheetData sheetId="3"/>
      <sheetData sheetId="4"/>
      <sheetData sheetId="5">
        <row r="59">
          <cell r="C59">
            <v>1</v>
          </cell>
        </row>
      </sheetData>
      <sheetData sheetId="6"/>
      <sheetData sheetId="7"/>
      <sheetData sheetId="8"/>
      <sheetData sheetId="9"/>
      <sheetData sheetId="10"/>
      <sheetData sheetId="11"/>
      <sheetData sheetId="12"/>
      <sheetData sheetId="13"/>
      <sheetData sheetId="14"/>
      <sheetData sheetId="15"/>
      <sheetData sheetId="16"/>
      <sheetData sheetId="17">
        <row r="1">
          <cell r="B1" t="str">
            <v>AREA</v>
          </cell>
        </row>
      </sheetData>
      <sheetData sheetId="18"/>
      <sheetData sheetId="19">
        <row r="2">
          <cell r="L2">
            <v>0.81599999999999995</v>
          </cell>
        </row>
      </sheetData>
      <sheetData sheetId="20"/>
      <sheetData sheetId="21"/>
      <sheetData sheetId="22">
        <row r="216">
          <cell r="AA216">
            <v>4.9409726470153839</v>
          </cell>
        </row>
      </sheetData>
      <sheetData sheetId="23"/>
      <sheetData sheetId="24"/>
      <sheetData sheetId="25"/>
      <sheetData sheetId="26"/>
      <sheetData sheetId="27">
        <row r="6">
          <cell r="AC6">
            <v>4.7477999999999998</v>
          </cell>
        </row>
      </sheetData>
      <sheetData sheetId="28">
        <row r="6">
          <cell r="AC6">
            <v>4.7477999999999998</v>
          </cell>
        </row>
      </sheetData>
      <sheetData sheetId="29"/>
      <sheetData sheetId="30"/>
      <sheetData sheetId="31"/>
      <sheetData sheetId="32"/>
      <sheetData sheetId="33"/>
      <sheetData sheetId="34"/>
      <sheetData sheetId="35"/>
      <sheetData sheetId="36">
        <row r="5">
          <cell r="A5">
            <v>1</v>
          </cell>
        </row>
      </sheetData>
      <sheetData sheetId="37">
        <row r="5">
          <cell r="A5">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86">
          <cell r="E86">
            <v>474.89499999999998</v>
          </cell>
        </row>
      </sheetData>
      <sheetData sheetId="56">
        <row r="8">
          <cell r="E8">
            <v>12.462308567139999</v>
          </cell>
        </row>
      </sheetData>
      <sheetData sheetId="57">
        <row r="2">
          <cell r="P2">
            <v>6.6538264589692311</v>
          </cell>
        </row>
      </sheetData>
      <sheetData sheetId="58">
        <row r="2">
          <cell r="P2">
            <v>6.6538264589692311</v>
          </cell>
        </row>
      </sheetData>
      <sheetData sheetId="59">
        <row r="15">
          <cell r="L15">
            <v>0.33995448687645463</v>
          </cell>
        </row>
      </sheetData>
      <sheetData sheetId="60">
        <row r="15">
          <cell r="L15">
            <v>0.33995448687645463</v>
          </cell>
        </row>
      </sheetData>
      <sheetData sheetId="61">
        <row r="3">
          <cell r="U3" t="str">
            <v>Flush Bar</v>
          </cell>
        </row>
      </sheetData>
      <sheetData sheetId="62">
        <row r="3">
          <cell r="U3" t="str">
            <v>Flush Bar</v>
          </cell>
        </row>
      </sheetData>
      <sheetData sheetId="63"/>
      <sheetData sheetId="64"/>
      <sheetData sheetId="65">
        <row r="22">
          <cell r="W22">
            <v>0.65</v>
          </cell>
        </row>
      </sheetData>
      <sheetData sheetId="66">
        <row r="22">
          <cell r="W22">
            <v>0.65</v>
          </cell>
        </row>
      </sheetData>
      <sheetData sheetId="67"/>
      <sheetData sheetId="68"/>
      <sheetData sheetId="69"/>
      <sheetData sheetId="70">
        <row r="25">
          <cell r="J25">
            <v>0.4647</v>
          </cell>
          <cell r="M25">
            <v>8.9999999999999998E-4</v>
          </cell>
        </row>
      </sheetData>
      <sheetData sheetId="71">
        <row r="25">
          <cell r="J25">
            <v>0.4647</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ow r="216">
          <cell r="AA216">
            <v>4.9409726470153839</v>
          </cell>
        </row>
      </sheetData>
      <sheetData sheetId="96"/>
      <sheetData sheetId="97"/>
      <sheetData sheetId="98"/>
      <sheetData sheetId="99"/>
      <sheetData sheetId="100"/>
      <sheetData sheetId="101">
        <row r="57">
          <cell r="B57">
            <v>323</v>
          </cell>
        </row>
      </sheetData>
      <sheetData sheetId="102"/>
      <sheetData sheetId="103">
        <row r="9">
          <cell r="C9">
            <v>110</v>
          </cell>
        </row>
      </sheetData>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Title"/>
      <sheetName val="Contents"/>
      <sheetName val="Se 1"/>
      <sheetName val="Introduction"/>
      <sheetName val="TemplateInformation"/>
      <sheetName val="Description"/>
      <sheetName val="Load calculations"/>
      <sheetName val="Se 2"/>
      <sheetName val="Uplift check"/>
      <sheetName val="Se 3"/>
      <sheetName val="Summary"/>
      <sheetName val="S1"/>
      <sheetName val="S2 (a)"/>
      <sheetName val="S2 (b)"/>
      <sheetName val="S3"/>
      <sheetName val="S4"/>
      <sheetName val="S5"/>
      <sheetName val="S6"/>
      <sheetName val="S7"/>
      <sheetName val="S8"/>
      <sheetName val="S9"/>
      <sheetName val="Se 4"/>
      <sheetName val="Beam reinforcement"/>
      <sheetName val="Beam Forces (STAAD)"/>
      <sheetName val="Se 5"/>
      <sheetName val="COL"/>
      <sheetName val="TYP col design"/>
      <sheetName val="Se 6"/>
      <sheetName val="W1forces - V.H"/>
      <sheetName val="W1forces Middle wall"/>
      <sheetName val="W1-Des"/>
      <sheetName val="Se 7"/>
      <sheetName val="PS Raft forces "/>
      <sheetName val="PS Raft"/>
      <sheetName val="Se 8"/>
      <sheetName val="FOOTING_F1"/>
      <sheetName val="FOOTING_F2"/>
      <sheetName val="FOOTING_F3"/>
      <sheetName val="FOOTING_F4"/>
      <sheetName val="FOOTING_F5"/>
      <sheetName val="Se 9"/>
      <sheetName val="Ramp landing "/>
      <sheetName val="Se 10"/>
      <sheetName val="Gantry"/>
      <sheetName val="Se 11"/>
      <sheetName val="Vibration check"/>
      <sheetName val="Annexure -1"/>
      <sheetName val="tables"/>
      <sheetName val="bar bending"/>
    </sheetNames>
    <sheetDataSet>
      <sheetData sheetId="0"/>
      <sheetData sheetId="1"/>
      <sheetData sheetId="2"/>
      <sheetData sheetId="3"/>
      <sheetData sheetId="4">
        <row r="45">
          <cell r="D45">
            <v>25</v>
          </cell>
        </row>
      </sheetData>
      <sheetData sheetId="5"/>
      <sheetData sheetId="6">
        <row r="56">
          <cell r="F56">
            <v>214.5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5">
          <cell r="D5" t="str">
            <v>Odisha Mega Lift Irrigation Project - Cluster III</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ow r="5">
          <cell r="B5" t="str">
            <v>Odisha Mega Lift Irrigation Project - Cluster III</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page"/>
      <sheetName val="TOC"/>
      <sheetName val="1."/>
      <sheetName val="2."/>
      <sheetName val="3."/>
      <sheetName val="4."/>
      <sheetName val="4.1"/>
      <sheetName val="4.2"/>
      <sheetName val="4.3"/>
      <sheetName val="4.3.1"/>
      <sheetName val="4.4"/>
      <sheetName val="4.5"/>
      <sheetName val="4.6"/>
      <sheetName val="4.7"/>
      <sheetName val="4.8"/>
      <sheetName val="4.9"/>
      <sheetName val="4.9.A"/>
      <sheetName val="4.9.B"/>
      <sheetName val="4.9.C"/>
      <sheetName val="wtr pln minor-2"/>
      <sheetName val="Khargoan-RF"/>
      <sheetName val="Sheet11"/>
      <sheetName val="Binnies"/>
      <sheetName val="Capacity table"/>
      <sheetName val="WP-DPR1 (2)"/>
      <sheetName val="WP-DPR1"/>
      <sheetName val="Resvr Storage"/>
      <sheetName val="Crop proposed"/>
      <sheetName val="wtr pln-minor-1"/>
      <sheetName val="Fixation of levels"/>
      <sheetName val="cwr-rice 1HYVTP"/>
      <sheetName val="cwr- rice local 2bi"/>
      <sheetName val="cwr- ground nut"/>
      <sheetName val="cwr- wheat 1mv"/>
      <sheetName val="drf_Khargone"/>
      <sheetName val="cwr- wheat 0 lv"/>
      <sheetName val="Sheet19"/>
      <sheetName val="Effective_Rain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E6">
            <v>0.3</v>
          </cell>
        </row>
      </sheetData>
      <sheetData sheetId="20"/>
      <sheetData sheetId="21">
        <row r="1">
          <cell r="B1" t="str">
            <v>Khargoan</v>
          </cell>
        </row>
      </sheetData>
      <sheetData sheetId="22">
        <row r="8">
          <cell r="F8">
            <v>10.477552747368874</v>
          </cell>
        </row>
      </sheetData>
      <sheetData sheetId="23">
        <row r="5">
          <cell r="A5">
            <v>1</v>
          </cell>
        </row>
      </sheetData>
      <sheetData sheetId="24"/>
      <sheetData sheetId="25"/>
      <sheetData sheetId="26"/>
      <sheetData sheetId="27"/>
      <sheetData sheetId="28"/>
      <sheetData sheetId="29">
        <row r="10">
          <cell r="E10">
            <v>246.89999999999998</v>
          </cell>
        </row>
      </sheetData>
      <sheetData sheetId="30"/>
      <sheetData sheetId="31"/>
      <sheetData sheetId="32"/>
      <sheetData sheetId="33"/>
      <sheetData sheetId="34">
        <row r="72">
          <cell r="E72">
            <v>572.5</v>
          </cell>
        </row>
      </sheetData>
      <sheetData sheetId="35"/>
      <sheetData sheetId="36"/>
      <sheetData sheetId="3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Area_Capacity"/>
      <sheetName val="RF"/>
      <sheetName val="rr graph"/>
      <sheetName val="RR eqn"/>
      <sheetName val="Rainfall_Sondwa"/>
      <sheetName val=" yield"/>
      <sheetName val="Binnies"/>
      <sheetName val="CWR"/>
      <sheetName val="Abst.CWR"/>
      <sheetName val="population and I&amp;D water supply"/>
      <sheetName val="Fixation_Principal_Level"/>
      <sheetName val="ABS CWR"/>
      <sheetName val="CCA calculation"/>
      <sheetName val="kharif &amp; rabi WR"/>
      <sheetName val="WR"/>
      <sheetName val="Water_Planning"/>
      <sheetName val="Waste_Weir"/>
      <sheetName val="sluice"/>
      <sheetName val="dam sec"/>
      <sheetName val="Estimation_fINAL"/>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1">
          <cell r="E11">
            <v>2.7423714519886366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2)"/>
      <sheetName val="Cover Page"/>
      <sheetName val="Gen. Abs (2)"/>
      <sheetName val="UNIT-III(Abs)"/>
      <sheetName val="power detail"/>
      <sheetName val="Unit-cover"/>
      <sheetName val="I."/>
      <sheetName val="A"/>
      <sheetName val="A Det."/>
      <sheetName val="B"/>
      <sheetName val="C"/>
      <sheetName val="L"/>
      <sheetName val="K"/>
      <sheetName val="K DETAIL"/>
      <sheetName val="M"/>
      <sheetName val="O"/>
      <sheetName val="R"/>
      <sheetName val="P"/>
      <sheetName val="R.Abs"/>
      <sheetName val="R.Mts"/>
      <sheetName val="X"/>
      <sheetName val="Water plan-Cover"/>
      <sheetName val="Spill Cover (2)"/>
      <sheetName val="Abt (3)"/>
      <sheetName val="Detail (2)"/>
      <sheetName val="det vertical gate"/>
      <sheetName val="aba vertical gate"/>
      <sheetName val="Excvtn (2)"/>
      <sheetName val="(Vertcal) (2)"/>
      <sheetName val="Gates (2)"/>
      <sheetName val="Sheet3"/>
      <sheetName val="Contents "/>
      <sheetName val="Coffer Dam"/>
      <sheetName val="Consumption statement"/>
      <sheetName val="clubbing  Approved"/>
      <sheetName val="Master Data"/>
      <sheetName val="Dam-cover (2)"/>
      <sheetName val="Detail &amp; Abs"/>
      <sheetName val="Util"/>
      <sheetName val="e-w"/>
      <sheetName val="B.T."/>
      <sheetName val="CUTOFF3"/>
      <sheetName val="Turf"/>
      <sheetName val="WIDTH"/>
      <sheetName val="J.C"/>
      <sheetName val="pich"/>
      <sheetName val="inclind filter above BT"/>
      <sheetName val="inclined Filetr above hearting"/>
      <sheetName val="(Extended filter)"/>
      <sheetName val="EX, For filter"/>
      <sheetName val="Toe Drain Quantity"/>
      <sheetName val="Toe Drain Ex"/>
      <sheetName val="Grou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44">
          <cell r="B244" t="str">
            <v>Dewatering and pumping the working area including all connecting operation required etc. complete. for
cleanliness of working area by 10 hp to 20 hp diesel pump</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R BENDING"/>
      <sheetName val="design"/>
      <sheetName val="Abstract"/>
      <sheetName val="Estimate"/>
      <sheetName val="Consumption and lead statement "/>
      <sheetName val="Abutment"/>
      <sheetName val="wide"/>
    </sheetNames>
    <sheetDataSet>
      <sheetData sheetId="0"/>
      <sheetData sheetId="1"/>
      <sheetData sheetId="2"/>
      <sheetData sheetId="3"/>
      <sheetData sheetId="4"/>
      <sheetData sheetId="5"/>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nies"/>
      <sheetName val="Index"/>
      <sheetName val="Index_Map"/>
      <sheetName val="Working_table"/>
      <sheetName val="Agriculture_static"/>
      <sheetName val="BC_Ration"/>
      <sheetName val="value_AF_P (2)"/>
      <sheetName val="value_BE_P (2)"/>
      <sheetName val="Unit I_Fall_spill"/>
      <sheetName val="con_Fall_spill"/>
      <sheetName val="Unit I_Fall"/>
      <sheetName val="Sheet4"/>
      <sheetName val="con_fall"/>
      <sheetName val="Fall"/>
      <sheetName val="con_Syphon"/>
      <sheetName val="Syphon"/>
      <sheetName val="con_cd"/>
      <sheetName val="CD"/>
      <sheetName val="con_vrb"/>
      <sheetName val="VRB"/>
      <sheetName val="Unit II_P"/>
      <sheetName val="Unit II_M"/>
      <sheetName val="Unit II_O"/>
      <sheetName val="Unit II_L_WORK"/>
      <sheetName val="Unit II_B"/>
      <sheetName val="Unit II_A"/>
      <sheetName val="Abst_Unit_C_M"/>
      <sheetName val="Unit II_G"/>
      <sheetName val="Unit I_II_gENERAL"/>
      <sheetName val="water_planing"/>
      <sheetName val="capacity_final"/>
      <sheetName val="Cropping_pattern"/>
      <sheetName val="Crop_pattern"/>
      <sheetName val="Fixation"/>
      <sheetName val="Deg_Sluice"/>
      <sheetName val="RAIN_Descen"/>
      <sheetName val="RAINFALL"/>
      <sheetName val="Unit I"/>
      <sheetName val="Unit I_P"/>
      <sheetName val="Unit I_O"/>
      <sheetName val="Unit I_K"/>
      <sheetName val="UNIT_IST_C_MAS"/>
      <sheetName val="con_flush"/>
      <sheetName val="Unit I_flushbar (D)"/>
      <sheetName val="Unit I_flushbar"/>
      <sheetName val="con_Sluice"/>
      <sheetName val="Unit I_SLUICE205"/>
      <sheetName val="Unit I_B"/>
      <sheetName val="Unit I_A"/>
      <sheetName val="Sheet1"/>
      <sheetName val="Sheet3"/>
      <sheetName val="A"/>
      <sheetName val="UNIT_IST_C_MAS (2)"/>
      <sheetName val="Unit I_L_WORK"/>
      <sheetName val="Chart2"/>
      <sheetName val="Current"/>
      <sheetName val="Chart1"/>
      <sheetName val="design"/>
      <sheetName val="wide"/>
    </sheetNames>
    <sheetDataSet>
      <sheetData sheetId="0"/>
      <sheetData sheetId="1"/>
      <sheetData sheetId="2"/>
      <sheetData sheetId="3"/>
      <sheetData sheetId="4"/>
      <sheetData sheetId="5"/>
      <sheetData sheetId="6"/>
      <sheetData sheetId="7"/>
      <sheetData sheetId="8"/>
      <sheetData sheetId="9"/>
      <sheetData sheetId="10"/>
      <sheetData sheetId="11">
        <row r="6">
          <cell r="D6" t="str">
            <v>Sub Divisional Officer</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sheetData sheetId="37"/>
      <sheetData sheetId="38"/>
      <sheetData sheetId="39"/>
      <sheetData sheetId="40"/>
      <sheetData sheetId="41"/>
      <sheetData sheetId="42"/>
      <sheetData sheetId="43"/>
      <sheetData sheetId="44">
        <row r="47">
          <cell r="B47" t="str">
            <v xml:space="preserve">          (A.S. Chauhan)                                  (S.P. Soni)                             (M.S. Dawar)</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Working_table (2)"/>
      <sheetName val="Working_table"/>
      <sheetName val="water"/>
      <sheetName val="fixation"/>
      <sheetName val="Cropping_pattern"/>
      <sheetName val="Unit I"/>
      <sheetName val="Unit I_P"/>
      <sheetName val="consum_Sluice"/>
      <sheetName val="Est_sluice"/>
      <sheetName val="Unit I_B"/>
      <sheetName val="Unit I_O"/>
      <sheetName val="Sheet1"/>
      <sheetName val="approach_to_sluice"/>
      <sheetName val="Slope_cutting_nall_clea"/>
      <sheetName val="Spill_area"/>
      <sheetName val="Approach_Abst"/>
      <sheetName val="Approach_area"/>
      <sheetName val="Earth_work_abst"/>
      <sheetName val="Earth_work"/>
      <sheetName val="A"/>
      <sheetName val="Cut_off_PITCHING"/>
      <sheetName val="Spill_Abst_27p"/>
      <sheetName val="SEEPAGE"/>
      <sheetName val="BT_EX"/>
      <sheetName val="Unit I_A"/>
      <sheetName val="Current"/>
      <sheetName val="Chart1"/>
      <sheetName val="Before_this"/>
      <sheetName val="Nalla_Clear"/>
      <sheetName val="Boulder_toe"/>
      <sheetName val="Gravel_layer"/>
      <sheetName val="Sand_layer"/>
      <sheetName val="Exca_B_Toe"/>
      <sheetName val="open_drain"/>
      <sheetName val="CUT_OFF"/>
      <sheetName val="Tot_puddle"/>
      <sheetName val="puddle_cover"/>
      <sheetName val="puddle"/>
      <sheetName val="Bench"/>
      <sheetName val="JC"/>
      <sheetName val="Fall_4"/>
      <sheetName val="Abst_flushbar"/>
      <sheetName val="Utilization"/>
      <sheetName val="Est_flushbar"/>
      <sheetName val="consum_Flush"/>
      <sheetName val="Fall_4 (2)"/>
      <sheetName val="consum_fall_4"/>
      <sheetName val="consum_chute"/>
      <sheetName val="AB_sluice (2)"/>
      <sheetName val="consum_slui"/>
      <sheetName val="Qt_pitching"/>
      <sheetName val="Qt_boulder_edging"/>
      <sheetName val="Qt_turfing"/>
      <sheetName val="Qt_Approach"/>
      <sheetName val="Qt_Spill"/>
      <sheetName val="Unit I_L_WORK (2)"/>
      <sheetName val="Before"/>
      <sheetName val="Ogee_detail"/>
      <sheetName val="consum_Ogee"/>
      <sheetName val="consum_chute (2)"/>
      <sheetName val="Chute_detail"/>
      <sheetName val="Chute_fall"/>
      <sheetName val="AB_sluice"/>
      <sheetName val="BLANK"/>
      <sheetName val="con_vrb"/>
      <sheetName val="VRB"/>
      <sheetName val="Sheet4"/>
      <sheetName val="Unit I_flushbar"/>
      <sheetName val="design"/>
      <sheetName val="Deg_Slu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3">
          <cell r="B13" t="str">
            <v>TOP WIDTH</v>
          </cell>
        </row>
      </sheetData>
      <sheetData sheetId="21"/>
      <sheetData sheetId="22"/>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sheetName val="wind for SP"/>
      <sheetName val="SP (4)"/>
      <sheetName val="wind for SP (4)"/>
      <sheetName val="footing Mx4"/>
      <sheetName val="footingMz4"/>
      <sheetName val="concrete ret wall"/>
      <sheetName val="Deck Slab"/>
      <sheetName val="concrete ret wall (2)"/>
      <sheetName val="footing (4)"/>
      <sheetName val="footing for SP"/>
      <sheetName val="footing for SP(2)"/>
      <sheetName val="Design Pad - 1"/>
      <sheetName val="Design Pad - 1 (2)"/>
      <sheetName val="slab bridge"/>
      <sheetName val="Box type"/>
      <sheetName val="pier"/>
      <sheetName val="footing"/>
      <sheetName val="Wind-old "/>
      <sheetName val="SP (2)"/>
      <sheetName val="SP (3)"/>
      <sheetName val="SP (with hloss for rec)"/>
      <sheetName val="Masonry"/>
      <sheetName val="Flight-1"/>
      <sheetName val="Typical beam calc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nnies"/>
      <sheetName val="Index"/>
      <sheetName val="Index_Map"/>
      <sheetName val="Working_table"/>
      <sheetName val="Agriculture_static"/>
      <sheetName val="BC_Ration"/>
      <sheetName val="value_AF_P (2)"/>
      <sheetName val="value_BE_P (2)"/>
      <sheetName val="Cropping_pattern"/>
      <sheetName val="Unit I_Fall_spill"/>
      <sheetName val="con_Fall_spill"/>
      <sheetName val="Unit I_Fall"/>
      <sheetName val="Sheet4"/>
      <sheetName val="con_fall"/>
      <sheetName val="Fall"/>
      <sheetName val="con_Syphon"/>
      <sheetName val="Syphon"/>
      <sheetName val="con_Acq"/>
      <sheetName val="Acq1680"/>
      <sheetName val="con_cd"/>
      <sheetName val="CD"/>
      <sheetName val="con_vrb"/>
      <sheetName val="VRB"/>
      <sheetName val="Abst_Unit_C_M"/>
      <sheetName val="Unit II_P"/>
      <sheetName val="Unit II_M"/>
      <sheetName val="Unit II_O"/>
      <sheetName val="Unit II_L_WORK"/>
      <sheetName val="Unit II_B"/>
      <sheetName val="Unit II_A"/>
      <sheetName val="Unit II_G"/>
      <sheetName val="Unit I_II_gENERAL"/>
      <sheetName val="water_planing"/>
      <sheetName val="capacity_final"/>
      <sheetName val="Crop_pattern"/>
      <sheetName val="Deg_Sluice"/>
      <sheetName val="RAIN_Descen (2)"/>
      <sheetName val="RAINFALL (2)"/>
      <sheetName val="Unit I"/>
      <sheetName val="Unit I_P"/>
      <sheetName val="Unit I_O"/>
      <sheetName val="Unit I_M"/>
      <sheetName val="Unit I_K"/>
      <sheetName val="UNIT_IST_C_MAS"/>
      <sheetName val="con_flush"/>
      <sheetName val="Unit I_flushbar (D)"/>
      <sheetName val="Unit I_flushbar"/>
      <sheetName val="con_Sluice"/>
      <sheetName val="Unit I_SLUICE205"/>
      <sheetName val="Unit I_B"/>
      <sheetName val="Unit I_A"/>
      <sheetName val="Unit I_A_Gular_Head"/>
      <sheetName val="Sheet1"/>
      <sheetName val="Sheet3"/>
      <sheetName val="Fixation"/>
      <sheetName val="A (2)"/>
      <sheetName val="A"/>
      <sheetName val="Unit I_L_WORK"/>
      <sheetName val="UNIT_IST_C_MAS (2)"/>
      <sheetName val="Chart2"/>
      <sheetName val="Current"/>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Sheet1"/>
      <sheetName val="AB_FLS"/>
      <sheetName val="DET_FLS"/>
      <sheetName val="O_Misc"/>
      <sheetName val="A_Preli"/>
      <sheetName val="REPORT"/>
      <sheetName val="A"/>
      <sheetName val="B"/>
      <sheetName val="Deg_Sluice"/>
      <sheetName val="Sheet4"/>
      <sheetName val="FACE"/>
    </sheetNames>
    <sheetDataSet>
      <sheetData sheetId="0"/>
      <sheetData sheetId="1"/>
      <sheetData sheetId="2"/>
      <sheetData sheetId="3"/>
      <sheetData sheetId="4"/>
      <sheetData sheetId="5"/>
      <sheetData sheetId="6"/>
      <sheetData sheetId="7">
        <row r="1">
          <cell r="A1" t="str">
            <v>MASANIYA WATER HARVESTING TANK NO.2</v>
          </cell>
        </row>
      </sheetData>
      <sheetData sheetId="8"/>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sheetName val="PARAMETER"/>
      <sheetName val="FACE"/>
      <sheetName val="HYDRAULICS"/>
      <sheetName val="SLAB"/>
      <sheetName val="ABUTMENT"/>
      <sheetName val="WINGWALL"/>
      <sheetName val="BAR-BEND"/>
      <sheetName val="STAAD DRAWING "/>
      <sheetName val="B"/>
      <sheetName val="A"/>
      <sheetName val="Deg_Sluice"/>
      <sheetName val="Sheet4"/>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B"/>
      <sheetName val="A"/>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2)"/>
      <sheetName val="08"/>
      <sheetName val="Pier Design(with offset)"/>
      <sheetName val="FACE"/>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Sep(BWR)"/>
      <sheetName val="BWR"/>
      <sheetName val="Cover(Rect. beam2)"/>
      <sheetName val="Sep(Stair)"/>
      <sheetName val="St3-f2"/>
      <sheetName val="Summary"/>
      <sheetName val="Sep(Staad input)"/>
      <sheetName val="Staad input"/>
      <sheetName val="Tank reinf."/>
      <sheetName val="Cover(Rect. beam1)"/>
      <sheetName val="Cover(Rect. beam 0)"/>
      <sheetName val="Cover(T-beam)"/>
      <sheetName val="TemplateInformation"/>
      <sheetName val="footing for SP"/>
      <sheetName val="02"/>
      <sheetName val="08"/>
      <sheetName val="03"/>
      <sheetName val="04"/>
      <sheetName val="05"/>
      <sheetName val="Pier Design(with offse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JAST"/>
      <sheetName val="RAJAST(RAW)"/>
      <sheetName val="2-wlr"/>
      <sheetName val="car"/>
      <sheetName val="bus"/>
      <sheetName val="lcv"/>
      <sheetName val="F 6.10a"/>
      <sheetName val="truck"/>
      <sheetName val="footing for SP"/>
      <sheetName val="02"/>
      <sheetName val="08"/>
      <sheetName val="03"/>
      <sheetName val="04"/>
      <sheetName val="05"/>
    </sheetNames>
    <sheetDataSet>
      <sheetData sheetId="0"/>
      <sheetData sheetId="1"/>
      <sheetData sheetId="2">
        <row r="2">
          <cell r="E2">
            <v>2</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 val="8"/>
      <sheetName val="CD"/>
      <sheetName val="PF"/>
      <sheetName val="CV"/>
      <sheetName val="V"/>
      <sheetName val="C-1"/>
      <sheetName val="1"/>
      <sheetName val="2"/>
      <sheetName val="M"/>
      <sheetName val="3"/>
      <sheetName val="4"/>
      <sheetName val="T"/>
      <sheetName val="CB"/>
      <sheetName val="5"/>
      <sheetName val="TR"/>
      <sheetName val="7"/>
      <sheetName val="C"/>
      <sheetName val="9"/>
      <sheetName val="PD"/>
      <sheetName val="10"/>
      <sheetName val="H2"/>
      <sheetName val="11"/>
      <sheetName val="12"/>
      <sheetName val="13"/>
      <sheetName val="14"/>
      <sheetName val="15"/>
      <sheetName val="16"/>
      <sheetName val="17"/>
      <sheetName val="18"/>
      <sheetName val="19"/>
      <sheetName val="C-2"/>
      <sheetName val="B"/>
      <sheetName val="C1"/>
      <sheetName val="KEY"/>
      <sheetName val="7.3"/>
      <sheetName val="S"/>
      <sheetName val="CS"/>
      <sheetName val="N"/>
      <sheetName val="G"/>
      <sheetName val="F-1"/>
      <sheetName val="2A"/>
      <sheetName val="2B"/>
      <sheetName val="F-6"/>
      <sheetName val="EW"/>
      <sheetName val="RA1"/>
      <sheetName val="RA2"/>
      <sheetName val="SOR"/>
      <sheetName val="SB"/>
      <sheetName val="SC"/>
      <sheetName val="DI"/>
      <sheetName val="1R"/>
      <sheetName val="2R"/>
      <sheetName val="F-8"/>
      <sheetName val="RA"/>
      <sheetName val="A-R"/>
      <sheetName val="A-T"/>
      <sheetName val="R1"/>
      <sheetName val="R2"/>
      <sheetName val="R3"/>
      <sheetName val="M1"/>
      <sheetName val="F9"/>
      <sheetName val="EL"/>
      <sheetName val="CL"/>
      <sheetName val="C-3"/>
      <sheetName val="EX"/>
      <sheetName val="LAB"/>
      <sheetName val="PM"/>
      <sheetName val="MAT"/>
      <sheetName val="P1"/>
      <sheetName val="P2"/>
      <sheetName val="P3"/>
      <sheetName val="p4"/>
      <sheetName val="p3iii"/>
      <sheetName val="p3ii"/>
      <sheetName val="p3i"/>
      <sheetName val="H1"/>
      <sheetName val="F_4"/>
      <sheetName val="PIVB"/>
      <sheetName val="P_III_1_"/>
      <sheetName val="2-wlr"/>
      <sheetName val="footing for SP"/>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hgaon road"/>
      <sheetName val="DAWEZARI RUDERA"/>
      <sheetName val="KAWALEWADA"/>
      <sheetName val="SAKALI APP"/>
      <sheetName val="ASLAPANI"/>
      <sheetName val="HASARA"/>
      <sheetName val="sorna-lanjera"/>
      <sheetName val="YERALI NAVEGAON "/>
      <sheetName val="8"/>
      <sheetName val="6"/>
      <sheetName val="2-wl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MASTER"/>
      <sheetName val="WINGWALL"/>
      <sheetName val="BBS-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Eg_1"/>
      <sheetName val="Eg_2"/>
      <sheetName val="Eg_3"/>
      <sheetName val="Eg_4"/>
      <sheetName val="sorna-lanjera"/>
      <sheetName val="Lavel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sheetData sheetId="32"/>
      <sheetData sheetId="33" refreshError="1"/>
      <sheetData sheetId="3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Pad"/>
      <sheetName val="Oneway Slab"/>
      <sheetName val="Two slab"/>
      <sheetName val="Monorail"/>
      <sheetName val="Flight-1"/>
      <sheetName val="Contents"/>
      <sheetName val="peripheral walls"/>
      <sheetName val="Table10"/>
      <sheetName val="Table11"/>
      <sheetName val="Table12"/>
      <sheetName val="Table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Drinking &amp; Industrial Water use"/>
      <sheetName val="Census 2001"/>
      <sheetName val="Working Table"/>
      <sheetName val="I.P"/>
      <sheetName val="IWR_Rabi_CP1_Barwani (3)"/>
      <sheetName val="CWR"/>
      <sheetName val="Abst.CWR"/>
      <sheetName val="Synthetic UH"/>
      <sheetName val="berhda"/>
      <sheetName val="UH"/>
      <sheetName val="IWR_Rabi_CP1_Barwani_CWR"/>
      <sheetName val="IWR_Rabi_CP1_Barwani"/>
      <sheetName val="Sheet6"/>
      <sheetName val="KC Values"/>
      <sheetName val="CALC_MC_Flows"/>
      <sheetName val="Crop Pattern and Area"/>
      <sheetName val="Penmen ETO"/>
      <sheetName val="Annual Rainfall (2)"/>
      <sheetName val="Sheet1 (2)"/>
      <sheetName val="US Reserve and Domestic Use"/>
      <sheetName val="rainfall at pati"/>
      <sheetName val="Pati_R-R Analysis"/>
      <sheetName val="Water_Planning"/>
      <sheetName val="Area_Capacity"/>
      <sheetName val="CW_Base File (2)"/>
      <sheetName val="P.E.1"/>
      <sheetName val="Rainfall"/>
      <sheetName val="Area and Water Bodies"/>
      <sheetName val="Waste_Weir"/>
      <sheetName val="P.E"/>
      <sheetName val="Sheet1"/>
      <sheetName val="Sheet3"/>
      <sheetName val="Sheet2"/>
      <sheetName val="Sheet4"/>
      <sheetName val="WR (Barwani Block)"/>
      <sheetName val="IF"/>
      <sheetName val="Spill channel"/>
      <sheetName val="rough"/>
      <sheetName val="Routing"/>
      <sheetName val="Ele-Capacity"/>
      <sheetName val="Inflow"/>
      <sheetName val="Sheet5"/>
      <sheetName val="Sheet7"/>
      <sheetName val="IP"/>
      <sheetName val="Barwani"/>
      <sheetName val="SEGAON"/>
      <sheetName val="Rainfall (2)"/>
      <sheetName val="SENDHWA"/>
      <sheetName val="Rajpur"/>
      <sheetName val="Effective_Rainfall"/>
      <sheetName val="Binnies"/>
      <sheetName val="Fixation_Principal_Level"/>
      <sheetName val="Weighted rainfall at pati"/>
      <sheetName val="Pati_R-R Analysis (2)"/>
      <sheetName val="Sheet8"/>
      <sheetName val="Sheet9"/>
      <sheetName val="Influence Factor"/>
      <sheetName val="Weighted Rainfall"/>
      <sheetName val="EQ for Pati"/>
      <sheetName val="Yield Per SqKm"/>
      <sheetName val="Sheet14"/>
      <sheetName val="SENDHWA (2)"/>
      <sheetName val="Barwani (2)"/>
      <sheetName val="17__Abst.CWR(Grav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
          <cell r="AC6">
            <v>4.7477999999999998</v>
          </cell>
        </row>
      </sheetData>
      <sheetData sheetId="16"/>
      <sheetData sheetId="17"/>
      <sheetData sheetId="18"/>
      <sheetData sheetId="19"/>
      <sheetData sheetId="20">
        <row r="2">
          <cell r="L2">
            <v>0.81599999999999995</v>
          </cell>
        </row>
      </sheetData>
      <sheetData sheetId="21"/>
      <sheetData sheetId="22">
        <row r="6">
          <cell r="D6" t="str">
            <v>Cotton (1 KH)</v>
          </cell>
        </row>
      </sheetData>
      <sheetData sheetId="23"/>
      <sheetData sheetId="24"/>
      <sheetData sheetId="25"/>
      <sheetData sheetId="26">
        <row r="6">
          <cell r="AC6">
            <v>4.7477999999999998</v>
          </cell>
        </row>
      </sheetData>
      <sheetData sheetId="27"/>
      <sheetData sheetId="28">
        <row r="15">
          <cell r="L15">
            <v>0.40071832665444435</v>
          </cell>
        </row>
      </sheetData>
      <sheetData sheetId="29">
        <row r="5">
          <cell r="B5">
            <v>294</v>
          </cell>
        </row>
      </sheetData>
      <sheetData sheetId="30"/>
      <sheetData sheetId="31"/>
      <sheetData sheetId="32">
        <row r="5">
          <cell r="D5">
            <v>100</v>
          </cell>
        </row>
      </sheetData>
      <sheetData sheetId="33"/>
      <sheetData sheetId="34"/>
      <sheetData sheetId="35"/>
      <sheetData sheetId="36"/>
      <sheetData sheetId="37"/>
      <sheetData sheetId="38"/>
      <sheetData sheetId="39">
        <row r="15">
          <cell r="L15">
            <v>0.40071832665444435</v>
          </cell>
        </row>
      </sheetData>
      <sheetData sheetId="40">
        <row r="5">
          <cell r="B5">
            <v>294</v>
          </cell>
        </row>
      </sheetData>
      <sheetData sheetId="41"/>
      <sheetData sheetId="42"/>
      <sheetData sheetId="43"/>
      <sheetData sheetId="44">
        <row r="24">
          <cell r="I24">
            <v>557.96842963602319</v>
          </cell>
        </row>
      </sheetData>
      <sheetData sheetId="45">
        <row r="57">
          <cell r="K57">
            <v>6.3067602748281182</v>
          </cell>
        </row>
      </sheetData>
      <sheetData sheetId="46"/>
      <sheetData sheetId="47"/>
      <sheetData sheetId="48">
        <row r="9">
          <cell r="C9">
            <v>88</v>
          </cell>
        </row>
      </sheetData>
      <sheetData sheetId="49"/>
      <sheetData sheetId="50"/>
      <sheetData sheetId="51"/>
      <sheetData sheetId="52"/>
      <sheetData sheetId="53"/>
      <sheetData sheetId="54"/>
      <sheetData sheetId="55">
        <row r="24">
          <cell r="I24">
            <v>557.96842963602319</v>
          </cell>
        </row>
      </sheetData>
      <sheetData sheetId="56">
        <row r="57">
          <cell r="K57">
            <v>6.3067602748281182</v>
          </cell>
        </row>
      </sheetData>
      <sheetData sheetId="57">
        <row r="15">
          <cell r="G15">
            <v>0.7</v>
          </cell>
        </row>
      </sheetData>
      <sheetData sheetId="58"/>
      <sheetData sheetId="59">
        <row r="9">
          <cell r="C9">
            <v>88</v>
          </cell>
        </row>
      </sheetData>
      <sheetData sheetId="60"/>
      <sheetData sheetId="61"/>
      <sheetData sheetId="62"/>
      <sheetData sheetId="63"/>
      <sheetData sheetId="64"/>
      <sheetData sheetId="65"/>
      <sheetData sheetId="66">
        <row r="86">
          <cell r="EZ86">
            <v>0.35520000000000002</v>
          </cell>
        </row>
      </sheetData>
      <sheetData sheetId="67"/>
      <sheetData sheetId="68">
        <row r="15">
          <cell r="G15">
            <v>0.7</v>
          </cell>
        </row>
      </sheetData>
      <sheetData sheetId="69"/>
      <sheetData sheetId="70">
        <row r="25">
          <cell r="J25">
            <v>0.4647</v>
          </cell>
        </row>
      </sheetData>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bration"/>
      <sheetName val="OMC.MDD"/>
      <sheetName val="ATTERBERG LIMIT"/>
      <sheetName val="C.B.R.FORMAT"/>
      <sheetName val="Sieve Analysis"/>
      <sheetName val="PR-1"/>
      <sheetName val="Sub Engg scale"/>
      <sheetName val="CBR "/>
      <sheetName val="Area_Capacity"/>
      <sheetName val="PROCTOR"/>
      <sheetName val="FdnDes_Soil"/>
      <sheetName val="Input"/>
      <sheetName val="Gen Info"/>
      <sheetName val="Material"/>
      <sheetName val="Labour"/>
      <sheetName val="Letter"/>
      <sheetName val="basic"/>
      <sheetName val="Unconnected"/>
      <sheetName val="SOIL TEST REPORT-1"/>
      <sheetName val="8"/>
      <sheetName val="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5-net-yield"/>
      <sheetName val="2.05-Gross-yield"/>
      <sheetName val="2.05-Gross-yield-te"/>
      <sheetName val="2.05-Gross-yield (2)"/>
      <sheetName val="2.05-net-tensile"/>
      <sheetName val="2.05-gross-tensile"/>
      <sheetName val="2.05-gross-ten-yie"/>
      <sheetName val="2.05-gross-tensile (2)"/>
      <sheetName val="Sheet1"/>
      <sheetName val="SPT vs PHI"/>
      <sheetName val="bar bending"/>
      <sheetName val="Flight-1"/>
      <sheetName val="All Load combinations"/>
      <sheetName val="ATTERBERG LIMIT"/>
      <sheetName val="Area_Capacity"/>
      <sheetName val="footing for SP"/>
      <sheetName val="5)SC_Col_Footn"/>
      <sheetName val="2_05-net-yield"/>
      <sheetName val="2_05-Gross-yield"/>
      <sheetName val="2_05-Gross-yield-te"/>
      <sheetName val="2_05-Gross-yield_(2)"/>
      <sheetName val="2_05-net-tensile"/>
      <sheetName val="2_05-gross-tensile"/>
      <sheetName val="2_05-gross-ten-yie"/>
      <sheetName val="2_05-gross-tensile_(2)"/>
      <sheetName val="SPT_vs_PHI"/>
      <sheetName val="bar_bending"/>
      <sheetName val="All_Load_combinations"/>
      <sheetName val="DES"/>
      <sheetName val="BMSPLICE-BOLTED"/>
      <sheetName val="FORM-16"/>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Drinking &amp; Industrial Water use"/>
      <sheetName val="Table_3"/>
      <sheetName val="Penmen ETO"/>
      <sheetName val="KC Values"/>
      <sheetName val="Annual Rainfall "/>
      <sheetName val="Table_6,Waste_Weir New"/>
      <sheetName val="Working Table"/>
      <sheetName val="Lulc_Submergence"/>
      <sheetName val="Crop Pattern and Area"/>
      <sheetName val="IWR_Rabi_CP1_Khargone_CWR"/>
      <sheetName val="Abst.CWR"/>
      <sheetName val="CWR"/>
      <sheetName val="AC Table"/>
      <sheetName val="Rainfall cal"/>
      <sheetName val="Rainfall_Khargone"/>
      <sheetName val="Binnies"/>
      <sheetName val="Rainfall"/>
      <sheetName val="Water Use US"/>
      <sheetName val="Water_Planning"/>
      <sheetName val="S_1 (2)"/>
      <sheetName val="P.E"/>
      <sheetName val="Sheet1"/>
      <sheetName val="Sheet3"/>
      <sheetName val="Sheet2"/>
      <sheetName val="Sheet4"/>
      <sheetName val="Sheet5"/>
      <sheetName val="Table_6"/>
      <sheetName val="S_2"/>
      <sheetName val="S_3"/>
      <sheetName val="S_2 (2)"/>
      <sheetName val="S_3 (2)"/>
      <sheetName val="Stability of Dam"/>
      <sheetName val="Design of Canal"/>
      <sheetName val="HFL Calculation (at Cs m)100%"/>
      <sheetName val="HFL Calculation (Ds 200 m)100%"/>
      <sheetName val="HFL Calculation (Ds 200 m)75%"/>
      <sheetName val="HFL Calculation (Ds 200 m)50%"/>
      <sheetName val="HFL Calculation (Ds 200 m) 25%"/>
      <sheetName val="HFL Calculation (Ds 400 m)"/>
      <sheetName val="Satge Discharge Curve "/>
      <sheetName val="Barrage Design (F)"/>
      <sheetName val="Ogee Spillway (2)"/>
      <sheetName val="Ogee Spillway (3)"/>
      <sheetName val="Ogee Spillway"/>
      <sheetName val="Gate Size"/>
      <sheetName val="Afflux Calculation (2)"/>
      <sheetName val="Scoring Depth"/>
      <sheetName val="Satge Discharge Curve old"/>
      <sheetName val="Sluice design_PUW)"/>
      <sheetName val="Cd for other than Design Head"/>
      <sheetName val="Sheet6"/>
      <sheetName val="JHCn TWC"/>
    </sheetNames>
    <sheetDataSet>
      <sheetData sheetId="0"/>
      <sheetData sheetId="1"/>
      <sheetData sheetId="2"/>
      <sheetData sheetId="3"/>
      <sheetData sheetId="4"/>
      <sheetData sheetId="5"/>
      <sheetData sheetId="6"/>
      <sheetData sheetId="7"/>
      <sheetData sheetId="8">
        <row r="84">
          <cell r="H84">
            <v>0.30000000000000004</v>
          </cell>
        </row>
      </sheetData>
      <sheetData sheetId="9"/>
      <sheetData sheetId="10"/>
      <sheetData sheetId="11"/>
      <sheetData sheetId="12"/>
      <sheetData sheetId="13">
        <row r="16">
          <cell r="O16">
            <v>1</v>
          </cell>
        </row>
      </sheetData>
      <sheetData sheetId="14"/>
      <sheetData sheetId="15"/>
      <sheetData sheetId="16"/>
      <sheetData sheetId="17"/>
      <sheetData sheetId="18"/>
      <sheetData sheetId="19"/>
      <sheetData sheetId="20">
        <row r="5">
          <cell r="B5">
            <v>235</v>
          </cell>
        </row>
      </sheetData>
      <sheetData sheetId="21"/>
      <sheetData sheetId="22">
        <row r="87">
          <cell r="E87">
            <v>615.8982399541826</v>
          </cell>
        </row>
      </sheetData>
      <sheetData sheetId="23">
        <row r="38">
          <cell r="E38">
            <v>1</v>
          </cell>
        </row>
      </sheetData>
      <sheetData sheetId="24"/>
      <sheetData sheetId="25"/>
      <sheetData sheetId="26">
        <row r="32">
          <cell r="K32">
            <v>791</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ow r="4">
          <cell r="F4">
            <v>1.05</v>
          </cell>
        </row>
      </sheetData>
      <sheetData sheetId="40"/>
      <sheetData sheetId="41"/>
      <sheetData sheetId="42">
        <row r="9">
          <cell r="E9">
            <v>234.5812</v>
          </cell>
        </row>
      </sheetData>
      <sheetData sheetId="43"/>
      <sheetData sheetId="44"/>
      <sheetData sheetId="45"/>
      <sheetData sheetId="46"/>
      <sheetData sheetId="47"/>
      <sheetData sheetId="48">
        <row r="28">
          <cell r="F28">
            <v>1</v>
          </cell>
        </row>
      </sheetData>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esign"/>
      <sheetName val="Guidelines"/>
      <sheetName val="Barrage Design (F)"/>
      <sheetName val="HFL Calculation (Ds 200 m)100%"/>
    </sheetNames>
    <sheetDataSet>
      <sheetData sheetId="0"/>
      <sheetData sheetId="1"/>
      <sheetData sheetId="2"/>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
      <sheetName val="Sheet2"/>
      <sheetName val="bASICDATA"/>
      <sheetName val="INPUT"/>
      <sheetName val="foundation"/>
      <sheetName val="data"/>
      <sheetName val="load-cal"/>
      <sheetName val="Design"/>
      <sheetName val="Barrage Design (F)"/>
      <sheetName val="HFL Calculation (Ds 200 m)1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Rainfall_J"/>
      <sheetName val="D&amp;I"/>
      <sheetName val="Table_3"/>
      <sheetName val="CWR"/>
      <sheetName val="Abst.CWR"/>
      <sheetName val="Crop Pattern and Area (2)"/>
      <sheetName val="Penmen ETO"/>
      <sheetName val="KC Values"/>
      <sheetName val="Annual Rainfall "/>
      <sheetName val="CCA_cal (2)"/>
      <sheetName val="Area_Capacity"/>
      <sheetName val="AGR_Stati"/>
      <sheetName val="Table_5_Water_Planning"/>
      <sheetName val="Table_7,Hyd_Jum_WA"/>
      <sheetName val="Table_8_Design_Wast_weir_chanel"/>
      <sheetName val="Table_9_Ogee Spillway "/>
      <sheetName val="Table_10_Sluices_beni_LBC "/>
      <sheetName val="Table_11_Sluices_beni_RBC"/>
      <sheetName val="Fixation_Principal_Level"/>
      <sheetName val="Binnies"/>
      <sheetName val="Rainfall"/>
      <sheetName val="Table_6,Waste_Weir New"/>
      <sheetName val="Water Use US"/>
      <sheetName val="Water_Planning"/>
      <sheetName val="Working Table"/>
      <sheetName val="S_2 (2)"/>
      <sheetName val="S_1 (2)"/>
      <sheetName val="P.E"/>
      <sheetName val="Sheet1"/>
      <sheetName val="Sheet3"/>
      <sheetName val="Sheet2"/>
      <sheetName val="Sheet4"/>
      <sheetName val="Sheet5"/>
      <sheetName val="HFL Calculation"/>
      <sheetName val="L_section"/>
      <sheetName val="Bed Slope"/>
      <sheetName val="Hydr_Irr_Sluice"/>
      <sheetName val="Water_Planiing"/>
      <sheetName val="IWR_Rabi_CP1_Barwani_CWR"/>
      <sheetName val="Table_6"/>
      <sheetName val="S_2"/>
      <sheetName val="S_3"/>
      <sheetName val="Design of Canal"/>
      <sheetName val="S_3 (2)"/>
      <sheetName val="Fixations_Principal_level"/>
      <sheetName val="Water_Planning_conti.."/>
      <sheetName val="Waste_Weir"/>
      <sheetName val="Material"/>
      <sheetName val="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oject at glance"/>
      <sheetName val="Index map"/>
      <sheetName val="2_Brief_Desci"/>
      <sheetName val="3_Constituent_Statetement"/>
      <sheetName val="4-Salient_features"/>
      <sheetName val="5_General_Reports"/>
      <sheetName val="6 Proposed_other "/>
      <sheetName val="6_Comp_sur_ong_sch"/>
      <sheetName val="7_Comp_Proposed_Schemes"/>
      <sheetName val="Sheet7"/>
      <sheetName val="Sheet8"/>
      <sheetName val="8_Interpretations_Soils"/>
      <sheetName val="9_AGR_Stati"/>
      <sheetName val="10_Rainfall_Data"/>
      <sheetName val="11_Rainfall_Runoff_jobat"/>
      <sheetName val="11_Rainfall_Runoff_Kogaon"/>
      <sheetName val="11.Rainfall_Runoff_Pati"/>
      <sheetName val="12_Dependable Yield"/>
      <sheetName val="13_Area_capacity_Table"/>
      <sheetName val="14_Fix_Leve_Table"/>
      <sheetName val="15_Water_Planning"/>
      <sheetName val="16_Drinking &amp; Ind Water use"/>
      <sheetName val="Abst.CWR abv 1000"/>
      <sheetName val="17__Abst.CWR"/>
      <sheetName val="18_CWR_A"/>
      <sheetName val="18_CWR"/>
      <sheetName val="IWR_Rabi_CP1_Dhar_CWR"/>
      <sheetName val="19__Penmen ETO"/>
      <sheetName val="Table_4_Annual Rainfall "/>
      <sheetName val="20a_Sluices_Joganbedi_RBC"/>
      <sheetName val="20b_Sluices_Anwali "/>
      <sheetName val="21_Waste_Weir New"/>
      <sheetName val="Waste_Weir"/>
      <sheetName val="22_Ogee Spillway "/>
      <sheetName val="23_Design_Wast_weir_chanel"/>
      <sheetName val="Hyd_Jum_WA"/>
      <sheetName val="Bed Slope"/>
      <sheetName val="Working Table"/>
      <sheetName val="24_General_Abstract"/>
      <sheetName val="25_a__BC"/>
      <sheetName val="25_b_before"/>
      <sheetName val="Table_4_KC Values"/>
      <sheetName val="25_c_After"/>
      <sheetName val="Quary Map"/>
      <sheetName val="Collector_Rate"/>
      <sheetName val="Part-III,Check"/>
      <sheetName val="27-Preli_Check"/>
      <sheetName val="26_General_Abstract_!2"/>
      <sheetName val="28_Proforma_2"/>
      <sheetName val="Sheet2"/>
      <sheetName val="29_Proforma_3"/>
      <sheetName val="30_Stage_1_estimate"/>
      <sheetName val="31_Adminst_Appr"/>
      <sheetName val="32_Check_state_Irri"/>
      <sheetName val="Hindi Matrials"/>
      <sheetName val="Arcgis_Area"/>
      <sheetName val="Area_Capacity"/>
      <sheetName val="Sheet1"/>
      <sheetName val="Binnies"/>
      <sheetName val="Rainfall_Bagh"/>
      <sheetName val="Fixation_Principal_Level"/>
      <sheetName val="Water_Planning"/>
      <sheetName val="Water Use US"/>
      <sheetName val="CCA_cal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7">
          <cell r="G37">
            <v>90.588999999999999</v>
          </cell>
        </row>
      </sheetData>
      <sheetData sheetId="13"/>
      <sheetData sheetId="14"/>
      <sheetData sheetId="15"/>
      <sheetData sheetId="16"/>
      <sheetData sheetId="17"/>
      <sheetData sheetId="18"/>
      <sheetData sheetId="19"/>
      <sheetData sheetId="20"/>
      <sheetData sheetId="21"/>
      <sheetData sheetId="22"/>
      <sheetData sheetId="23">
        <row r="49">
          <cell r="D49">
            <v>18.600000000000001</v>
          </cell>
        </row>
      </sheetData>
      <sheetData sheetId="24"/>
      <sheetData sheetId="25"/>
      <sheetData sheetId="26"/>
      <sheetData sheetId="27"/>
      <sheetData sheetId="28"/>
      <sheetData sheetId="29"/>
      <sheetData sheetId="30"/>
      <sheetData sheetId="31">
        <row r="14">
          <cell r="F14">
            <v>0.6</v>
          </cell>
        </row>
      </sheetData>
      <sheetData sheetId="32"/>
      <sheetData sheetId="33"/>
      <sheetData sheetId="34"/>
      <sheetData sheetId="35"/>
      <sheetData sheetId="36"/>
      <sheetData sheetId="37"/>
      <sheetData sheetId="38">
        <row r="25">
          <cell r="D25">
            <v>55.000994609999999</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5">
          <cell r="B5">
            <v>323.07470000000001</v>
          </cell>
        </row>
      </sheetData>
      <sheetData sheetId="57"/>
      <sheetData sheetId="58"/>
      <sheetData sheetId="59">
        <row r="107">
          <cell r="M107">
            <v>674.17949999999996</v>
          </cell>
        </row>
      </sheetData>
      <sheetData sheetId="60">
        <row r="3">
          <cell r="P3">
            <v>0.36980000000000002</v>
          </cell>
        </row>
      </sheetData>
      <sheetData sheetId="61">
        <row r="32">
          <cell r="K32">
            <v>74</v>
          </cell>
        </row>
      </sheetData>
      <sheetData sheetId="62"/>
      <sheetData sheetId="6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_rev1"/>
      <sheetName val="free Catch"/>
      <sheetName val="Tanks_Karam"/>
      <sheetName val="Rainfall-Runoff"/>
      <sheetName val="Weighted Rainfall"/>
      <sheetName val="75% Rainfall"/>
      <sheetName val="75%_RF"/>
      <sheetName val="yield_cal"/>
      <sheetName val="Table_2"/>
      <sheetName val="Table_3"/>
      <sheetName val="CW_plan_100ha"/>
      <sheetName val="Table_5"/>
      <sheetName val="Table_6"/>
      <sheetName val=" BEFORE IRRIGATION"/>
      <sheetName val=" Value BEFORE IRRIGATION"/>
      <sheetName val="AFTER IRRIGATION"/>
      <sheetName val="VALUE AFTER IRRIGATION"/>
      <sheetName val="B &amp; C"/>
      <sheetName val="Table_7"/>
      <sheetName val="Waste_Weir"/>
      <sheetName val="CW_plan_Karam"/>
      <sheetName val="Water_Planning"/>
      <sheetName val="Spillway_Profile"/>
      <sheetName val="S_3"/>
      <sheetName val="Area_Capacity"/>
      <sheetName val="Fixation_Principal_Level"/>
      <sheetName val="General Abstract of cost"/>
      <sheetName val="General Abstract"/>
      <sheetName val="Ready Reckoner"/>
      <sheetName val="Quanity"/>
      <sheetName val="Estimate of Earth Work Dam"/>
      <sheetName val="Unit-II Canal (General Abstract"/>
      <sheetName val="Abstract of cost spillway"/>
      <sheetName val="Table_1"/>
      <sheetName val="RF"/>
      <sheetName val="Canal_length"/>
      <sheetName val="Table_4"/>
      <sheetName val="Binnies"/>
      <sheetName val="Estimation"/>
      <sheetName val="data_rohini"/>
      <sheetName val="data_"/>
      <sheetName val="G_D_lowergoi"/>
      <sheetName val="WR"/>
      <sheetName val="Rainfall_Nalchha"/>
      <sheetName val="Rainfall_Mhow"/>
      <sheetName val="Rainfall_Maheswar"/>
      <sheetName val="Rainfall_Dharampuri"/>
      <sheetName val="Karam Catchment"/>
      <sheetName val="Thesian_P"/>
      <sheetName val="CW_planning"/>
      <sheetName val="Sheet3"/>
      <sheetName val="Sheet2"/>
      <sheetName val="Sheet4"/>
      <sheetName val="Sheet5"/>
      <sheetName val="Sheet6"/>
      <sheetName val="Sheet7"/>
      <sheetName val="Rainfall_Khargone"/>
      <sheetName val="Waste_Weir (2)"/>
      <sheetName val="Effective_Rainfall"/>
      <sheetName val="I.P"/>
      <sheetName val="IWR_Rabi_CP1_Barwani_CWR"/>
      <sheetName val="Spill channel"/>
      <sheetName val="UH"/>
      <sheetName val="Ele-Capacity"/>
      <sheetName val="Rou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4">
          <cell r="D34">
            <v>690.65061749999995</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6">
          <cell r="H26">
            <v>1469.0581507109116</v>
          </cell>
        </row>
      </sheetData>
      <sheetData sheetId="16" refreshError="1"/>
      <sheetData sheetId="17">
        <row r="25">
          <cell r="D25">
            <v>9912.9247567751609</v>
          </cell>
        </row>
      </sheetData>
      <sheetData sheetId="18" refreshError="1"/>
      <sheetData sheetId="19" refreshError="1"/>
      <sheetData sheetId="20" refreshError="1"/>
      <sheetData sheetId="21">
        <row r="3">
          <cell r="U3" t="str">
            <v>Flush Bar</v>
          </cell>
        </row>
      </sheetData>
      <sheetData sheetId="22" refreshError="1"/>
      <sheetData sheetId="23">
        <row r="26">
          <cell r="L26">
            <v>12.209976128689664</v>
          </cell>
        </row>
      </sheetData>
      <sheetData sheetId="24" refreshError="1"/>
      <sheetData sheetId="25" refreshError="1"/>
      <sheetData sheetId="26">
        <row r="5">
          <cell r="A5">
            <v>1</v>
          </cell>
        </row>
      </sheetData>
      <sheetData sheetId="27">
        <row r="9">
          <cell r="G9">
            <v>9.4699999999999989</v>
          </cell>
        </row>
      </sheetData>
      <sheetData sheetId="28">
        <row r="54">
          <cell r="E54">
            <v>19766.05476158559</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E7" t="e">
            <v>#REF!</v>
          </cell>
        </row>
      </sheetData>
      <sheetData sheetId="40" refreshError="1"/>
      <sheetData sheetId="41" refreshError="1"/>
      <sheetData sheetId="42" refreshError="1"/>
      <sheetData sheetId="43" refreshError="1"/>
      <sheetData sheetId="44">
        <row r="23">
          <cell r="J23">
            <v>1005.3999999999999</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ow r="26">
          <cell r="B26">
            <v>1</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Table_9"/>
      <sheetName val="IF"/>
      <sheetName val="Estimation_fINAL"/>
      <sheetName val="Area_Capacity"/>
      <sheetName val="Weighted Rainfall"/>
      <sheetName val="Existing and proposed schemes"/>
      <sheetName val="Drinking &amp; Industrial Water use"/>
      <sheetName val="Binnies"/>
      <sheetName val="Fixation_Principal_Level"/>
      <sheetName val="Water_Planning"/>
      <sheetName val="Waste_Weir"/>
      <sheetName val="P.E"/>
      <sheetName val="area"/>
      <sheetName val="Sheet1"/>
      <sheetName val="Sheet3"/>
      <sheetName val="Ogee Spillway (2)"/>
      <sheetName val="23_Design_Wast_weir_chanel"/>
      <sheetName val="Waste_Weir (Goi Barrage)"/>
      <sheetName val="Sheet2"/>
      <sheetName val="CWR"/>
      <sheetName val="IWR_Rabi_CP1_Barwani_CWR"/>
      <sheetName val="Crop Pattern and Area"/>
      <sheetName val="Annual Rainfall"/>
      <sheetName val="Penmen ETO"/>
      <sheetName val="CCA for Gravity &amp; Lift "/>
      <sheetName val="Census"/>
      <sheetName val="CCA_cal"/>
      <sheetName val="lulc"/>
      <sheetName val="CCA_cal (2)"/>
      <sheetName val="LULC_R"/>
      <sheetName val="CCA_cal (Gravity)"/>
      <sheetName val="CCA_cal (Lift)"/>
      <sheetName val="CWR (L)"/>
      <sheetName val="Pump Capacity cal"/>
      <sheetName val="IWR_Rabi_CP1_Barwani_CWR (L)"/>
      <sheetName val="Crop Pattern and Area (L)"/>
      <sheetName val="WR"/>
      <sheetName val="Annual Rainfall (L)"/>
      <sheetName val="Penmen ETO (L)"/>
      <sheetName val="S_1 (2)"/>
      <sheetName val="Deb_Goi_Barrage_Catchment"/>
      <sheetName val="IF (Goi)"/>
      <sheetName val="Weighted Rainfall (Goi)"/>
      <sheetName val="Area_Capacity_GOI_BARRAGE"/>
      <sheetName val="Barrage Design (F)"/>
      <sheetName val="HFL Calculation"/>
      <sheetName val="Afflux Calculation"/>
      <sheetName val="Ogee Spillway"/>
      <sheetName val="Scoring Depth"/>
      <sheetName val="Stability of Dam"/>
      <sheetName val="Satge Discharge Curve"/>
      <sheetName val="50m down_Stream"/>
      <sheetName val="HFL Calculation (Ds 50 m)"/>
      <sheetName val="allup_down1"/>
      <sheetName val="Table_8 (2)"/>
      <sheetName val="Final Abstract"/>
      <sheetName val="L Section of Goi Barrage"/>
      <sheetName val="Sheet5"/>
      <sheetName val="Barrage Estimate"/>
      <sheetName val="Sheet4"/>
      <sheetName val="Dirvesion canal L-section"/>
      <sheetName val="Spill"/>
      <sheetName val="Sheet6"/>
      <sheetName val="Rainfall_Khargone"/>
      <sheetName val="75% Rainfall"/>
      <sheetName val="Waste_Wei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1</v>
          </cell>
        </row>
      </sheetData>
      <sheetData sheetId="15">
        <row r="5">
          <cell r="A5">
            <v>1</v>
          </cell>
        </row>
      </sheetData>
      <sheetData sheetId="16">
        <row r="30">
          <cell r="C30">
            <v>64</v>
          </cell>
        </row>
      </sheetData>
      <sheetData sheetId="17" refreshError="1"/>
      <sheetData sheetId="18">
        <row r="16">
          <cell r="E16">
            <v>22.479635881600007</v>
          </cell>
        </row>
        <row r="44">
          <cell r="K44">
            <v>1</v>
          </cell>
          <cell r="L44">
            <v>254</v>
          </cell>
          <cell r="M44">
            <v>1.7777376033057849E-2</v>
          </cell>
        </row>
        <row r="45">
          <cell r="K45">
            <v>2</v>
          </cell>
          <cell r="L45">
            <v>279.39999999999998</v>
          </cell>
          <cell r="M45">
            <v>2.2358384986225895E-2</v>
          </cell>
        </row>
        <row r="46">
          <cell r="K46">
            <v>3</v>
          </cell>
          <cell r="L46">
            <v>304.79999999999995</v>
          </cell>
          <cell r="M46">
            <v>2.743138774104683E-2</v>
          </cell>
        </row>
        <row r="47">
          <cell r="K47">
            <v>4</v>
          </cell>
          <cell r="L47">
            <v>330.2</v>
          </cell>
          <cell r="M47">
            <v>3.3018250688705238E-2</v>
          </cell>
        </row>
        <row r="48">
          <cell r="K48">
            <v>5</v>
          </cell>
          <cell r="L48">
            <v>355.59999999999997</v>
          </cell>
          <cell r="M48">
            <v>3.9118973829201098E-2</v>
          </cell>
        </row>
        <row r="49">
          <cell r="K49">
            <v>6</v>
          </cell>
          <cell r="L49">
            <v>381</v>
          </cell>
          <cell r="M49">
            <v>4.5722623966942155E-2</v>
          </cell>
        </row>
        <row r="50">
          <cell r="K50">
            <v>7</v>
          </cell>
          <cell r="L50">
            <v>406.4</v>
          </cell>
          <cell r="M50">
            <v>5.2829201101928382E-2</v>
          </cell>
        </row>
        <row r="51">
          <cell r="K51">
            <v>8</v>
          </cell>
          <cell r="L51">
            <v>431.79999999999995</v>
          </cell>
          <cell r="M51">
            <v>6.0449638429752074E-2</v>
          </cell>
        </row>
        <row r="52">
          <cell r="K52">
            <v>9</v>
          </cell>
          <cell r="L52">
            <v>457.2</v>
          </cell>
          <cell r="M52">
            <v>6.8583935950413219E-2</v>
          </cell>
        </row>
        <row r="53">
          <cell r="K53">
            <v>10</v>
          </cell>
          <cell r="L53">
            <v>482.59999999999997</v>
          </cell>
          <cell r="M53">
            <v>7.7221160468319561E-2</v>
          </cell>
        </row>
        <row r="54">
          <cell r="K54">
            <v>11</v>
          </cell>
          <cell r="L54">
            <v>508</v>
          </cell>
          <cell r="M54">
            <v>8.6372245179063362E-2</v>
          </cell>
        </row>
        <row r="55">
          <cell r="K55">
            <v>12</v>
          </cell>
          <cell r="L55">
            <v>533.4</v>
          </cell>
          <cell r="M55">
            <v>9.6015323691460056E-2</v>
          </cell>
        </row>
        <row r="56">
          <cell r="K56">
            <v>13</v>
          </cell>
          <cell r="L56">
            <v>558.79999999999995</v>
          </cell>
          <cell r="M56">
            <v>0.10617226239669422</v>
          </cell>
        </row>
        <row r="57">
          <cell r="K57">
            <v>14</v>
          </cell>
          <cell r="L57">
            <v>584.19999999999993</v>
          </cell>
          <cell r="M57">
            <v>0.11684306129476583</v>
          </cell>
        </row>
        <row r="58">
          <cell r="K58">
            <v>15</v>
          </cell>
          <cell r="L58">
            <v>609.59999999999991</v>
          </cell>
          <cell r="M58">
            <v>0.12801678719008264</v>
          </cell>
        </row>
        <row r="59">
          <cell r="K59">
            <v>16</v>
          </cell>
          <cell r="L59">
            <v>635</v>
          </cell>
          <cell r="M59">
            <v>0.13970437327823693</v>
          </cell>
        </row>
        <row r="60">
          <cell r="K60">
            <v>17</v>
          </cell>
          <cell r="L60">
            <v>660.4</v>
          </cell>
          <cell r="M60">
            <v>0.15186208677685953</v>
          </cell>
        </row>
        <row r="61">
          <cell r="K61">
            <v>18</v>
          </cell>
          <cell r="L61">
            <v>685.8</v>
          </cell>
          <cell r="M61">
            <v>0.16458832644628102</v>
          </cell>
        </row>
        <row r="62">
          <cell r="K62">
            <v>19</v>
          </cell>
          <cell r="L62">
            <v>711.19999999999993</v>
          </cell>
          <cell r="M62">
            <v>0.17779562672176311</v>
          </cell>
        </row>
        <row r="63">
          <cell r="K63">
            <v>20</v>
          </cell>
          <cell r="L63">
            <v>736.59999999999991</v>
          </cell>
          <cell r="M63">
            <v>0.19151678719008267</v>
          </cell>
        </row>
        <row r="64">
          <cell r="K64">
            <v>21</v>
          </cell>
          <cell r="L64">
            <v>762</v>
          </cell>
          <cell r="M64">
            <v>0.20574087465564742</v>
          </cell>
        </row>
        <row r="65">
          <cell r="K65">
            <v>22</v>
          </cell>
          <cell r="L65">
            <v>787.4</v>
          </cell>
          <cell r="M65">
            <v>0.22046788911845727</v>
          </cell>
        </row>
        <row r="66">
          <cell r="K66">
            <v>23</v>
          </cell>
          <cell r="L66">
            <v>812.8</v>
          </cell>
          <cell r="M66">
            <v>0.23614609159779618</v>
          </cell>
        </row>
        <row r="67">
          <cell r="K67">
            <v>24</v>
          </cell>
          <cell r="L67">
            <v>838.19999999999993</v>
          </cell>
          <cell r="M67">
            <v>0.25146349862258954</v>
          </cell>
        </row>
        <row r="68">
          <cell r="K68">
            <v>25</v>
          </cell>
          <cell r="L68">
            <v>863.59999999999991</v>
          </cell>
          <cell r="M68">
            <v>0.26771022727272725</v>
          </cell>
        </row>
        <row r="69">
          <cell r="K69">
            <v>26</v>
          </cell>
          <cell r="L69">
            <v>889</v>
          </cell>
          <cell r="M69">
            <v>0.28448174931129477</v>
          </cell>
        </row>
        <row r="70">
          <cell r="K70">
            <v>27</v>
          </cell>
          <cell r="L70">
            <v>914.4</v>
          </cell>
          <cell r="M70">
            <v>0.30175619834710748</v>
          </cell>
        </row>
        <row r="71">
          <cell r="K71">
            <v>28</v>
          </cell>
          <cell r="L71">
            <v>939.8</v>
          </cell>
          <cell r="M71">
            <v>0.31953357438016528</v>
          </cell>
        </row>
        <row r="72">
          <cell r="K72">
            <v>29</v>
          </cell>
          <cell r="L72">
            <v>965.19999999999993</v>
          </cell>
          <cell r="M72">
            <v>0.33782481060606062</v>
          </cell>
        </row>
        <row r="73">
          <cell r="K73">
            <v>30</v>
          </cell>
          <cell r="L73">
            <v>990.59999999999991</v>
          </cell>
          <cell r="M73">
            <v>0.3566189738292011</v>
          </cell>
        </row>
        <row r="74">
          <cell r="K74">
            <v>31</v>
          </cell>
          <cell r="L74">
            <v>1016</v>
          </cell>
          <cell r="M74">
            <v>0.37592699724517908</v>
          </cell>
        </row>
        <row r="75">
          <cell r="K75">
            <v>32</v>
          </cell>
          <cell r="L75">
            <v>1041.3999999999999</v>
          </cell>
          <cell r="M75">
            <v>0.39468836088154274</v>
          </cell>
        </row>
        <row r="76">
          <cell r="K76">
            <v>33</v>
          </cell>
          <cell r="L76">
            <v>1066.8</v>
          </cell>
          <cell r="M76">
            <v>0.41287026515151515</v>
          </cell>
        </row>
        <row r="77">
          <cell r="K77">
            <v>34</v>
          </cell>
          <cell r="L77">
            <v>1092.2</v>
          </cell>
          <cell r="M77">
            <v>0.43141296487603309</v>
          </cell>
        </row>
        <row r="78">
          <cell r="K78">
            <v>35</v>
          </cell>
          <cell r="L78">
            <v>1117.5999999999999</v>
          </cell>
          <cell r="M78">
            <v>0.45042579201101929</v>
          </cell>
        </row>
        <row r="79">
          <cell r="K79">
            <v>36</v>
          </cell>
          <cell r="L79">
            <v>1143</v>
          </cell>
          <cell r="M79">
            <v>0.46862956267217637</v>
          </cell>
        </row>
        <row r="80">
          <cell r="K80">
            <v>37</v>
          </cell>
          <cell r="L80">
            <v>1168.3999999999999</v>
          </cell>
          <cell r="M80">
            <v>0.48721599517906344</v>
          </cell>
        </row>
        <row r="81">
          <cell r="K81">
            <v>38</v>
          </cell>
          <cell r="L81">
            <v>1193.8</v>
          </cell>
          <cell r="M81">
            <v>0.50617415633608809</v>
          </cell>
        </row>
        <row r="82">
          <cell r="K82">
            <v>39</v>
          </cell>
          <cell r="L82">
            <v>1219.1999999999998</v>
          </cell>
          <cell r="M82">
            <v>0.52548217975206613</v>
          </cell>
        </row>
        <row r="83">
          <cell r="K83">
            <v>40</v>
          </cell>
          <cell r="L83">
            <v>1244.5999999999999</v>
          </cell>
          <cell r="M83">
            <v>0.54388274793388436</v>
          </cell>
        </row>
        <row r="84">
          <cell r="K84">
            <v>41</v>
          </cell>
          <cell r="L84">
            <v>1270</v>
          </cell>
          <cell r="M84">
            <v>0.56387956267217632</v>
          </cell>
        </row>
        <row r="85">
          <cell r="K85">
            <v>42</v>
          </cell>
          <cell r="L85">
            <v>1295.3999999999999</v>
          </cell>
          <cell r="M85">
            <v>0.58292518939393934</v>
          </cell>
        </row>
        <row r="86">
          <cell r="K86">
            <v>43</v>
          </cell>
          <cell r="L86">
            <v>1320.8</v>
          </cell>
          <cell r="M86">
            <v>0.60241907713498632</v>
          </cell>
        </row>
        <row r="87">
          <cell r="K87">
            <v>44</v>
          </cell>
          <cell r="L87">
            <v>1346.1999999999998</v>
          </cell>
          <cell r="M87">
            <v>0.62194576446281002</v>
          </cell>
        </row>
        <row r="88">
          <cell r="K88">
            <v>45</v>
          </cell>
          <cell r="L88">
            <v>1371.6</v>
          </cell>
          <cell r="M88">
            <v>0.64186604683195592</v>
          </cell>
        </row>
        <row r="89">
          <cell r="K89">
            <v>46</v>
          </cell>
          <cell r="L89">
            <v>1397</v>
          </cell>
          <cell r="M89">
            <v>0.66078047520661154</v>
          </cell>
        </row>
        <row r="90">
          <cell r="K90">
            <v>47</v>
          </cell>
          <cell r="L90">
            <v>1422.3999999999999</v>
          </cell>
          <cell r="M90">
            <v>0.68133488292011024</v>
          </cell>
        </row>
        <row r="91">
          <cell r="K91">
            <v>48</v>
          </cell>
          <cell r="L91">
            <v>1447.8</v>
          </cell>
          <cell r="M91">
            <v>0.70073037190082643</v>
          </cell>
        </row>
        <row r="92">
          <cell r="K92">
            <v>49</v>
          </cell>
          <cell r="L92">
            <v>1473.1999999999998</v>
          </cell>
          <cell r="M92">
            <v>0.72187517217630848</v>
          </cell>
        </row>
        <row r="93">
          <cell r="K93">
            <v>50</v>
          </cell>
          <cell r="L93">
            <v>1498.6</v>
          </cell>
          <cell r="M93">
            <v>0.7418063877410469</v>
          </cell>
        </row>
      </sheetData>
      <sheetData sheetId="19">
        <row r="4">
          <cell r="N4">
            <v>12.534000000000001</v>
          </cell>
        </row>
      </sheetData>
      <sheetData sheetId="20">
        <row r="17">
          <cell r="P17">
            <v>1.6162528394036659</v>
          </cell>
        </row>
      </sheetData>
      <sheetData sheetId="21">
        <row r="3">
          <cell r="U3" t="str">
            <v>Flush Bar</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16">
          <cell r="AA216">
            <v>5.5994036133538456</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216">
          <cell r="AA216">
            <v>2.8668505699076916</v>
          </cell>
        </row>
      </sheetData>
      <sheetData sheetId="46" refreshError="1"/>
      <sheetData sheetId="47" refreshError="1"/>
      <sheetData sheetId="48" refreshError="1"/>
      <sheetData sheetId="49" refreshError="1"/>
      <sheetData sheetId="50" refreshError="1"/>
      <sheetData sheetId="51" refreshError="1"/>
      <sheetData sheetId="52">
        <row r="4">
          <cell r="E4">
            <v>494.87274601293802</v>
          </cell>
        </row>
      </sheetData>
      <sheetData sheetId="53" refreshError="1"/>
      <sheetData sheetId="54">
        <row r="5">
          <cell r="A5">
            <v>1</v>
          </cell>
        </row>
      </sheetData>
      <sheetData sheetId="55">
        <row r="4">
          <cell r="E4">
            <v>2413.2259599695799</v>
          </cell>
        </row>
      </sheetData>
      <sheetData sheetId="56">
        <row r="9">
          <cell r="E9">
            <v>331.86709999999999</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Pad"/>
      <sheetName val="Oneway Slab"/>
      <sheetName val="Two slab"/>
      <sheetName val="Monorail"/>
      <sheetName val="Flight-1"/>
      <sheetName val="SPT vs PHI"/>
      <sheetName val="Design_Pad"/>
      <sheetName val="Oneway_Slab"/>
      <sheetName val="Two_slab"/>
      <sheetName val="Desig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Estimation_Final (R)"/>
      <sheetName val="Barifaliya_Arc_GIS"/>
      <sheetName val="Area_Capacity"/>
      <sheetName val="EQ for Pati (Avg Missing Data)"/>
      <sheetName val="Rainfall_Pati"/>
      <sheetName val="Binnies"/>
      <sheetName val="Rainfall"/>
      <sheetName val="US Reserve and Domestic Use"/>
      <sheetName val="Abst_CWR_CROP_PATt."/>
      <sheetName val="CCA_cal (2)"/>
      <sheetName val="Crop Pattern and Area"/>
      <sheetName val="CWR for_Crop"/>
      <sheetName val="Fixation_Principal_Level"/>
      <sheetName val="Water_Planning"/>
      <sheetName val="Drinking &amp; Industrial Water use"/>
      <sheetName val="P.E"/>
      <sheetName val="Sheet1"/>
      <sheetName val="Sheet3"/>
      <sheetName val="Sheet2"/>
      <sheetName val="Sheet4"/>
      <sheetName val="Sheet5"/>
      <sheetName val="Waste_Weir New"/>
      <sheetName val="HFL Calculation"/>
      <sheetName val="L_section"/>
      <sheetName val="Hyd_Jum_WA"/>
      <sheetName val="Design_Waste_weir_channel"/>
      <sheetName val="Sheet6"/>
      <sheetName val="Hydr_Irr_Sluice"/>
      <sheetName val="Penmen ETO"/>
      <sheetName val="Annual Rainfall (2)"/>
      <sheetName val="Water_Planiing"/>
      <sheetName val="Water_Planning_conti.."/>
      <sheetName val="Fixations_Principal_level"/>
      <sheetName val="Water_Balance"/>
      <sheetName val="IWR_Rabi_CP1_Barwani_CWR"/>
      <sheetName val="Design of Sluice LBC"/>
      <sheetName val="Design of Sluice RBC"/>
      <sheetName val="Bed Slope"/>
      <sheetName val="Waste_Weir"/>
      <sheetName val="Area_Capacity_GOI_BARRAGE"/>
      <sheetName val="IF (G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00">
          <cell r="F100" t="e">
            <v>#N/A</v>
          </cell>
        </row>
      </sheetData>
      <sheetData sheetId="18" refreshError="1"/>
      <sheetData sheetId="19" refreshError="1"/>
      <sheetData sheetId="20" refreshError="1"/>
      <sheetData sheetId="21" refreshError="1"/>
      <sheetData sheetId="22">
        <row r="35">
          <cell r="E35">
            <v>163</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5">
          <cell r="A5">
            <v>1</v>
          </cell>
        </row>
      </sheetData>
      <sheetData sheetId="45">
        <row r="30">
          <cell r="F30">
            <v>408.18968473206888</v>
          </cell>
        </row>
      </sheetData>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oject at glance"/>
      <sheetName val="Index map"/>
      <sheetName val="2_Brief_Desci"/>
      <sheetName val="3_Constituent_Statetement"/>
      <sheetName val="4-Salient_features"/>
      <sheetName val="5_General_Reports"/>
      <sheetName val="6 Proposed_other "/>
      <sheetName val="6_Comp_sur_ong_sch"/>
      <sheetName val="7_Comp_Proposed_Schemes"/>
      <sheetName val="Sheet7"/>
      <sheetName val="Sheet8"/>
      <sheetName val="8_Interpretations_Soils"/>
      <sheetName val="9_AGR_Stati"/>
      <sheetName val="10_Rainfall_Data"/>
      <sheetName val="11_Rainfall_Runoff_jobat"/>
      <sheetName val="11_Rainfall_Runoff_Kogaon"/>
      <sheetName val="11.Rainfall_Runoff_Pati"/>
      <sheetName val="12_Dependable Yield"/>
      <sheetName val="13_Area_capacity_Table"/>
      <sheetName val="14_Fix_Leve_Table"/>
      <sheetName val="15_Water_Planning"/>
      <sheetName val="16_Drinking &amp; Ind Water use"/>
      <sheetName val="Abst.CWR abv 1000"/>
      <sheetName val="17__Abst.CWR"/>
      <sheetName val="18_CWR_A"/>
      <sheetName val="18_CWR"/>
      <sheetName val="IWR_Rabi_CP1_Dhar_CWR"/>
      <sheetName val="19__Penmen ETO"/>
      <sheetName val="Table_4_Annual Rainfall "/>
      <sheetName val="20a_Sluices_Joganbedi_RBC"/>
      <sheetName val="20b_Sluices_Anwali "/>
      <sheetName val="21_Waste_Weir New"/>
      <sheetName val="Waste_Weir"/>
      <sheetName val="22_Ogee Spillway "/>
      <sheetName val="23_Design_Wast_weir_chanel"/>
      <sheetName val="Hyd_Jum_WA"/>
      <sheetName val="Bed Slope"/>
      <sheetName val="Working Table"/>
      <sheetName val="24_General_Abstract"/>
      <sheetName val="25_a__BC"/>
      <sheetName val="25_b_before"/>
      <sheetName val="Table_4_KC Values"/>
      <sheetName val="25_c_After"/>
      <sheetName val="Quary Map"/>
      <sheetName val="Collector_Rate"/>
      <sheetName val="Part-III,Check"/>
      <sheetName val="27-Preli_Check"/>
      <sheetName val="26_General_Abstract_!2"/>
      <sheetName val="28_Proforma_2"/>
      <sheetName val="Sheet2"/>
      <sheetName val="29_Proforma_3"/>
      <sheetName val="30_Stage_1_estimate"/>
      <sheetName val="31_Adminst_Appr"/>
      <sheetName val="32_Check_state_Irri"/>
      <sheetName val="Hindi Matrials"/>
      <sheetName val="Arcgis_Area"/>
      <sheetName val="Area_Capacity"/>
      <sheetName val="Sheet1"/>
      <sheetName val="Binnies"/>
      <sheetName val="Rainfall_Bagh"/>
      <sheetName val="Fixation_Principal_Level"/>
      <sheetName val="Water_Planning"/>
      <sheetName val="Water Use US"/>
      <sheetName val="Water_Planning_conti.."/>
      <sheetName val="CCA_cal (2)"/>
      <sheetName val="Fixations_Principal_level"/>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7">
          <cell r="G37">
            <v>90.588999999999999</v>
          </cell>
        </row>
      </sheetData>
      <sheetData sheetId="13"/>
      <sheetData sheetId="14"/>
      <sheetData sheetId="15"/>
      <sheetData sheetId="16"/>
      <sheetData sheetId="17"/>
      <sheetData sheetId="18"/>
      <sheetData sheetId="19"/>
      <sheetData sheetId="20"/>
      <sheetData sheetId="21">
        <row r="95">
          <cell r="D95">
            <v>0</v>
          </cell>
        </row>
      </sheetData>
      <sheetData sheetId="22"/>
      <sheetData sheetId="23">
        <row r="42">
          <cell r="P42">
            <v>2.5751543209876545E-2</v>
          </cell>
        </row>
      </sheetData>
      <sheetData sheetId="24"/>
      <sheetData sheetId="25"/>
      <sheetData sheetId="26"/>
      <sheetData sheetId="27"/>
      <sheetData sheetId="28"/>
      <sheetData sheetId="29"/>
      <sheetData sheetId="30"/>
      <sheetData sheetId="31">
        <row r="14">
          <cell r="F14">
            <v>0.6</v>
          </cell>
        </row>
      </sheetData>
      <sheetData sheetId="32"/>
      <sheetData sheetId="33"/>
      <sheetData sheetId="34">
        <row r="113">
          <cell r="F113">
            <v>3.8504768892654431</v>
          </cell>
        </row>
      </sheetData>
      <sheetData sheetId="35">
        <row r="94">
          <cell r="H94" t="str">
            <v>SQRT(2gH1)</v>
          </cell>
        </row>
      </sheetData>
      <sheetData sheetId="36">
        <row r="3">
          <cell r="J3">
            <v>346.77249999999998</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5">
          <cell r="A5">
            <v>1</v>
          </cell>
        </row>
      </sheetData>
      <sheetData sheetId="57"/>
      <sheetData sheetId="58">
        <row r="38">
          <cell r="K38">
            <v>1</v>
          </cell>
        </row>
      </sheetData>
      <sheetData sheetId="59">
        <row r="7">
          <cell r="A7">
            <v>1</v>
          </cell>
        </row>
      </sheetData>
      <sheetData sheetId="60">
        <row r="2">
          <cell r="P2">
            <v>0.36980000000000002</v>
          </cell>
        </row>
      </sheetData>
      <sheetData sheetId="61">
        <row r="32">
          <cell r="I32">
            <v>7.4459888369230773E-2</v>
          </cell>
        </row>
      </sheetData>
      <sheetData sheetId="62"/>
      <sheetData sheetId="63" refreshError="1"/>
      <sheetData sheetId="64" refreshError="1"/>
      <sheetData sheetId="6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Effective Rainfall"/>
      <sheetName val="Evp.los"/>
      <sheetName val="Ww"/>
      <sheetName val="Overall"/>
      <sheetName val="Agriculture"/>
      <sheetName val="IWR_Rabi_CP1"/>
      <sheetName val="Working Table"/>
      <sheetName val="Fisheries"/>
      <sheetName val="Economics"/>
      <sheetName val="Social&amp;Env"/>
      <sheetName val="CALC_MC_Flows"/>
      <sheetName val="CALC_Minor_Flows "/>
      <sheetName val="List of Chaks"/>
      <sheetName val="Lead of material"/>
      <sheetName val="Abstract"/>
      <sheetName val="Line Dept"/>
      <sheetName val="CadastralSurvey"/>
      <sheetName val="HeadWorks"/>
      <sheetName val="Resectioning_Canal"/>
      <sheetName val="Nala Diversion"/>
      <sheetName val="M.Channel0.60"/>
      <sheetName val="M.Channel0.45"/>
      <sheetName val="Lining"/>
      <sheetName val="Head_Regulator"/>
      <sheetName val="Water_Course"/>
      <sheetName val="Road_Bridge"/>
      <sheetName val="Repair of structures"/>
      <sheetName val="division_box"/>
      <sheetName val="APM"/>
      <sheetName val="measuring_devices"/>
      <sheetName val="Rainfall"/>
      <sheetName val="75% dependable rainfall"/>
      <sheetName val="75% dep.Yield"/>
      <sheetName val="Area-Capacity"/>
      <sheetName val="Principal Levels"/>
      <sheetName val="WR"/>
      <sheetName val="Sheet2"/>
      <sheetName val="Sheet1"/>
      <sheetName val="Sheet4"/>
      <sheetName val="Sheet5"/>
      <sheetName val="Water Planning"/>
      <sheetName val="Area_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12">
          <cell r="D12">
            <v>1279.476828239</v>
          </cell>
        </row>
      </sheetData>
      <sheetData sheetId="35"/>
      <sheetData sheetId="36">
        <row r="23">
          <cell r="J23">
            <v>2254.7999999999997</v>
          </cell>
        </row>
      </sheetData>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s."/>
      <sheetName val="Table_1"/>
      <sheetName val="Table_2"/>
      <sheetName val="Table_3"/>
      <sheetName val="Table_4"/>
      <sheetName val="Table_5"/>
      <sheetName val="Table_6"/>
      <sheetName val="Table_7"/>
      <sheetName val="Estimation"/>
      <sheetName val="Rainfall_Bhikangaon"/>
      <sheetName val="Binnies"/>
      <sheetName val="Area_Capacity"/>
      <sheetName val="Fixation_Principal_Level"/>
      <sheetName val="WR"/>
      <sheetName val="CP_IWR"/>
      <sheetName val="Water_Planning"/>
      <sheetName val="Waste_Weir"/>
      <sheetName val="Canal_Design"/>
      <sheetName val="Kc_Values"/>
      <sheetName val="wtr pln minor-2"/>
      <sheetName val="Fixation of levels"/>
      <sheetName val="Khargoan-RF"/>
      <sheetName val="Sheet11"/>
      <sheetName val="WP-DPR1 (2)"/>
      <sheetName val="WP-DPR1"/>
      <sheetName val="Resvr Storage"/>
      <sheetName val="Crop proposed"/>
      <sheetName val="wtr pln-minor-1"/>
      <sheetName val="cwr-rice 1HYVTP"/>
      <sheetName val="cwr- rice local 2bi"/>
      <sheetName val="cwr- ground nut"/>
      <sheetName val="cwr- wheat 1mv"/>
      <sheetName val="cwr- wheat 0 lv"/>
      <sheetName val="Sheet2"/>
      <sheetName val="CALC_Minor_Flows "/>
      <sheetName val="CALC_MC_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G9">
            <v>4.3000000000000003E-2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 RACK-2"/>
      <sheetName val="PIPE RACK-3to6"/>
      <sheetName val="summary"/>
      <sheetName val="1) Volume - Calculation"/>
      <sheetName val="CLAY"/>
      <sheetName val="Fixation_Principal_Level"/>
      <sheetName val="Area_Capacity"/>
      <sheetName val="Waste_Weir"/>
      <sheetName val="Binnies"/>
      <sheetName val="Rainfall_Khargone"/>
      <sheetName val="75% Rainfall"/>
      <sheetName val="Waste_Weir (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Yeild "/>
      <sheetName val="Flood &amp; Lift"/>
      <sheetName val="Agriculture"/>
      <sheetName val="RF_data"/>
      <sheetName val="Sheet2"/>
      <sheetName val="CALC_MC_Flows"/>
      <sheetName val="IWR_Rabi_CP1"/>
      <sheetName val="CALC_MINOR_Flows"/>
      <sheetName val="Working Table"/>
      <sheetName val="Sheet1"/>
      <sheetName val="CLAY"/>
      <sheetName val="Flocculator footing"/>
    </sheetNames>
    <sheetDataSet>
      <sheetData sheetId="0"/>
      <sheetData sheetId="1"/>
      <sheetData sheetId="2">
        <row r="68">
          <cell r="H68">
            <v>6.8860879146038165</v>
          </cell>
        </row>
      </sheetData>
      <sheetData sheetId="3"/>
      <sheetData sheetId="4"/>
      <sheetData sheetId="5"/>
      <sheetData sheetId="6"/>
      <sheetData sheetId="7"/>
      <sheetData sheetId="8"/>
      <sheetData sheetId="9"/>
      <sheetData sheetId="10">
        <row r="26">
          <cell r="B26" t="str">
            <v>RABI_WHEAT</v>
          </cell>
        </row>
      </sheetData>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Yeild "/>
      <sheetName val="Flood &amp; Lift"/>
      <sheetName val="Agriculture"/>
      <sheetName val="RF_data"/>
      <sheetName val="Sheet2"/>
      <sheetName val="CALC_MC_Flows"/>
      <sheetName val="IWR_Rabi_CP1"/>
      <sheetName val="CALC_MINOR_Flows"/>
      <sheetName val="Working Table"/>
      <sheetName val="Sheet1"/>
      <sheetName val="CLAY"/>
    </sheetNames>
    <sheetDataSet>
      <sheetData sheetId="0"/>
      <sheetData sheetId="1"/>
      <sheetData sheetId="2">
        <row r="68">
          <cell r="H68">
            <v>6.8860879146038165</v>
          </cell>
        </row>
        <row r="75">
          <cell r="FY75">
            <v>0.99036527487622894</v>
          </cell>
        </row>
        <row r="77">
          <cell r="F77">
            <v>18.236205533596806</v>
          </cell>
        </row>
        <row r="88">
          <cell r="FZ88">
            <v>0.99037233201580832</v>
          </cell>
        </row>
      </sheetData>
      <sheetData sheetId="3"/>
      <sheetData sheetId="4"/>
      <sheetData sheetId="5"/>
      <sheetData sheetId="6"/>
      <sheetData sheetId="7"/>
      <sheetData sheetId="8"/>
      <sheetData sheetId="9"/>
      <sheetData sheetId="10">
        <row r="26">
          <cell r="B26" t="str">
            <v>RABI_WHEAT</v>
          </cell>
        </row>
        <row r="27">
          <cell r="B27" t="str">
            <v>RABI_GRAM</v>
          </cell>
        </row>
        <row r="28">
          <cell r="B28" t="str">
            <v>RABI_MUSTARD</v>
          </cell>
        </row>
        <row r="29">
          <cell r="B29" t="str">
            <v>Rabi_French bean</v>
          </cell>
        </row>
        <row r="30">
          <cell r="B30" t="str">
            <v>RABI_PEA</v>
          </cell>
        </row>
        <row r="31">
          <cell r="B31" t="str">
            <v xml:space="preserve">RABI_TOMATO </v>
          </cell>
        </row>
        <row r="32">
          <cell r="B32" t="str">
            <v>RABI_POTATOES</v>
          </cell>
        </row>
        <row r="33">
          <cell r="B33" t="str">
            <v>RABI_ONION</v>
          </cell>
        </row>
        <row r="34">
          <cell r="B34" t="str">
            <v>Rabi_Barseem</v>
          </cell>
        </row>
        <row r="35">
          <cell r="B35" t="str">
            <v>RABI_Mango</v>
          </cell>
        </row>
        <row r="36">
          <cell r="B36" t="str">
            <v>Rabi_Lime-Lemon</v>
          </cell>
        </row>
        <row r="37">
          <cell r="B37" t="str">
            <v>RABI_Lintel</v>
          </cell>
        </row>
        <row r="40">
          <cell r="B40" t="str">
            <v>Kharif_Soybean</v>
          </cell>
        </row>
        <row r="41">
          <cell r="B41" t="str">
            <v>Kharif_Bhendi</v>
          </cell>
        </row>
        <row r="42">
          <cell r="B42" t="str">
            <v>Kharif_Chillies</v>
          </cell>
        </row>
        <row r="43">
          <cell r="B43" t="str">
            <v>Kharif_Brinjal</v>
          </cell>
        </row>
        <row r="44">
          <cell r="B44" t="str">
            <v>Kharif_Paddy</v>
          </cell>
        </row>
        <row r="45">
          <cell r="B45" t="str">
            <v>Kharif_Gnut</v>
          </cell>
        </row>
        <row r="46">
          <cell r="B46" t="str">
            <v>Kharif_Moong</v>
          </cell>
        </row>
      </sheetData>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Des"/>
      <sheetName val="Flood &amp; Lif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Area_Capacity"/>
      <sheetName val="RF"/>
      <sheetName val="rr graph"/>
      <sheetName val="RR eqn"/>
      <sheetName val="Rainfall_Sendhwa"/>
      <sheetName val="RR yield"/>
      <sheetName val="Binnies"/>
      <sheetName val="population and I&amp;D water supply"/>
      <sheetName val="Fixation_Principal_Level"/>
      <sheetName val="ABS CWR"/>
      <sheetName val="CCA calculation"/>
      <sheetName val="kharif &amp; rabi WR"/>
      <sheetName val="WR"/>
      <sheetName val="Water_Planning"/>
      <sheetName val="Waste_Weir"/>
      <sheetName val="sluice"/>
      <sheetName val="dam sec"/>
      <sheetName val="Estimation_fINAL"/>
      <sheetName val="Sheet1"/>
      <sheetName val="basdat"/>
      <sheetName val="CL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refreshError="1"/>
      <sheetData sheetId="17">
        <row r="34">
          <cell r="K34">
            <v>1</v>
          </cell>
        </row>
      </sheetData>
      <sheetData sheetId="18" refreshError="1"/>
      <sheetData sheetId="19"/>
      <sheetData sheetId="20"/>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Fixation_Principal_Level"/>
      <sheetName val="S_3"/>
      <sheetName val="Table_1"/>
      <sheetName val="Table_2"/>
      <sheetName val="Table_3"/>
      <sheetName val="Table_4"/>
      <sheetName val="Binnies"/>
      <sheetName val="Table_5"/>
      <sheetName val="Table_6"/>
      <sheetName val="Table_7"/>
      <sheetName val="Table_8"/>
      <sheetName val="Rainfall_Rajpur"/>
      <sheetName val="Estimation_fINAL"/>
      <sheetName val="Water_Planning"/>
      <sheetName val="WR"/>
      <sheetName val="Waste_Weir"/>
      <sheetName val="Area_Capacity"/>
      <sheetName val="P.E"/>
      <sheetName val="Arc_GIS_Data"/>
      <sheetName val="Sheet1"/>
      <sheetName val="Sheet3"/>
      <sheetName val="Exisiting &amp; Proposed Scheme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ow r="42">
          <cell r="L42">
            <v>254</v>
          </cell>
        </row>
        <row r="43">
          <cell r="L43">
            <v>279.39999999999998</v>
          </cell>
        </row>
        <row r="44">
          <cell r="L44">
            <v>304.79999999999995</v>
          </cell>
        </row>
        <row r="45">
          <cell r="L45">
            <v>330.2</v>
          </cell>
        </row>
        <row r="46">
          <cell r="L46">
            <v>355.59999999999997</v>
          </cell>
        </row>
        <row r="47">
          <cell r="L47">
            <v>381</v>
          </cell>
        </row>
        <row r="48">
          <cell r="L48">
            <v>406.4</v>
          </cell>
        </row>
        <row r="49">
          <cell r="L49">
            <v>431.79999999999995</v>
          </cell>
        </row>
        <row r="50">
          <cell r="L50">
            <v>457.2</v>
          </cell>
        </row>
        <row r="51">
          <cell r="L51">
            <v>482.59999999999997</v>
          </cell>
        </row>
        <row r="52">
          <cell r="L52">
            <v>508</v>
          </cell>
        </row>
        <row r="53">
          <cell r="L53">
            <v>533.4</v>
          </cell>
        </row>
        <row r="54">
          <cell r="L54">
            <v>558.79999999999995</v>
          </cell>
        </row>
        <row r="55">
          <cell r="L55">
            <v>584.19999999999993</v>
          </cell>
        </row>
        <row r="56">
          <cell r="L56">
            <v>609.59999999999991</v>
          </cell>
        </row>
        <row r="57">
          <cell r="L57">
            <v>635</v>
          </cell>
        </row>
        <row r="58">
          <cell r="L58">
            <v>660.4</v>
          </cell>
        </row>
        <row r="59">
          <cell r="L59">
            <v>685.8</v>
          </cell>
        </row>
        <row r="60">
          <cell r="L60">
            <v>711.19999999999993</v>
          </cell>
        </row>
        <row r="61">
          <cell r="L61">
            <v>736.59999999999991</v>
          </cell>
        </row>
        <row r="62">
          <cell r="L62">
            <v>762</v>
          </cell>
        </row>
        <row r="63">
          <cell r="L63">
            <v>787.4</v>
          </cell>
        </row>
        <row r="64">
          <cell r="L64">
            <v>812.8</v>
          </cell>
        </row>
        <row r="65">
          <cell r="L65">
            <v>838.19999999999993</v>
          </cell>
        </row>
        <row r="66">
          <cell r="L66">
            <v>863.59999999999991</v>
          </cell>
        </row>
        <row r="67">
          <cell r="L67">
            <v>889</v>
          </cell>
        </row>
        <row r="68">
          <cell r="L68">
            <v>914.4</v>
          </cell>
        </row>
        <row r="69">
          <cell r="L69">
            <v>939.8</v>
          </cell>
        </row>
        <row r="70">
          <cell r="L70">
            <v>965.19999999999993</v>
          </cell>
        </row>
        <row r="71">
          <cell r="L71">
            <v>990.59999999999991</v>
          </cell>
        </row>
        <row r="72">
          <cell r="L72">
            <v>1016</v>
          </cell>
        </row>
        <row r="73">
          <cell r="L73">
            <v>1041.3999999999999</v>
          </cell>
        </row>
        <row r="74">
          <cell r="L74">
            <v>1066.8</v>
          </cell>
        </row>
        <row r="75">
          <cell r="L75">
            <v>1092.2</v>
          </cell>
        </row>
        <row r="76">
          <cell r="L76">
            <v>1117.5999999999999</v>
          </cell>
        </row>
        <row r="77">
          <cell r="L77">
            <v>1143</v>
          </cell>
        </row>
        <row r="78">
          <cell r="L78">
            <v>1168.3999999999999</v>
          </cell>
        </row>
        <row r="79">
          <cell r="L79">
            <v>1193.8</v>
          </cell>
        </row>
        <row r="80">
          <cell r="L80">
            <v>1219.1999999999998</v>
          </cell>
        </row>
        <row r="81">
          <cell r="L81">
            <v>1244.5999999999999</v>
          </cell>
        </row>
        <row r="82">
          <cell r="L82">
            <v>1270</v>
          </cell>
        </row>
        <row r="83">
          <cell r="L83">
            <v>1295.3999999999999</v>
          </cell>
        </row>
        <row r="84">
          <cell r="L84">
            <v>1320.8</v>
          </cell>
        </row>
        <row r="85">
          <cell r="L85">
            <v>1346.1999999999998</v>
          </cell>
        </row>
        <row r="86">
          <cell r="L86">
            <v>1371.6</v>
          </cell>
        </row>
        <row r="87">
          <cell r="L87">
            <v>1397</v>
          </cell>
        </row>
        <row r="88">
          <cell r="L88">
            <v>1422.3999999999999</v>
          </cell>
        </row>
        <row r="89">
          <cell r="L89">
            <v>1447.8</v>
          </cell>
        </row>
        <row r="90">
          <cell r="L90">
            <v>1473.1999999999998</v>
          </cell>
        </row>
        <row r="91">
          <cell r="L91">
            <v>1498.6</v>
          </cell>
        </row>
        <row r="92">
          <cell r="L92">
            <v>1524</v>
          </cell>
        </row>
        <row r="93">
          <cell r="L93">
            <v>1549.3999999999999</v>
          </cell>
        </row>
      </sheetData>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f &amp; slope 18975"/>
      <sheetName val="Hydraulic"/>
      <sheetName val="Design"/>
      <sheetName val="tables"/>
      <sheetName val="wing wall us"/>
      <sheetName val="Wing Wall Design ds "/>
      <sheetName val="Drawing Data "/>
      <sheetName val="Detail of Culvert "/>
      <sheetName val="Abstract of Culvert "/>
      <sheetName val="Schedule of Reinforcement"/>
      <sheetName val="Consumption and lead statement "/>
      <sheetName val="Abutment"/>
      <sheetName val="Sheet4"/>
      <sheetName val="Design_OLD"/>
      <sheetName val="Budheda"/>
      <sheetName val="Jhadiya"/>
      <sheetName val="Kumhedi"/>
      <sheetName val="Richchra"/>
      <sheetName val="Sirol"/>
      <sheetName val="Flight-1"/>
      <sheetName val="SPT vs PHI"/>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page"/>
      <sheetName val="TOC"/>
      <sheetName val="1."/>
      <sheetName val="2."/>
      <sheetName val="3."/>
      <sheetName val="4."/>
      <sheetName val="4.1"/>
      <sheetName val="4.2"/>
      <sheetName val="4.3"/>
      <sheetName val="4.3.1"/>
      <sheetName val="4.4"/>
      <sheetName val="4.5"/>
      <sheetName val="4.6"/>
      <sheetName val="4.7"/>
      <sheetName val="4.8"/>
      <sheetName val="4.9"/>
      <sheetName val="4.9.A"/>
      <sheetName val="4.9.B"/>
      <sheetName val="4.9.C"/>
      <sheetName val="wtr pln minor-2"/>
      <sheetName val="Khargoan-RF"/>
      <sheetName val="Sheet11"/>
      <sheetName val="Binnies"/>
      <sheetName val="Capacity table"/>
      <sheetName val="WP-DPR1 (2)"/>
      <sheetName val="WP-DPR1"/>
      <sheetName val="Resvr Storage"/>
      <sheetName val="Crop proposed"/>
      <sheetName val="wtr pln-minor-1"/>
      <sheetName val="Fixation of levels"/>
      <sheetName val="cwr-rice 1HYVTP"/>
      <sheetName val="cwr- rice local 2bi"/>
      <sheetName val="cwr- ground nut"/>
      <sheetName val="cwr- wheat 1mv"/>
      <sheetName val="drf_Khargone"/>
      <sheetName val="cwr- wheat 0 lv"/>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E6">
            <v>0.3</v>
          </cell>
        </row>
      </sheetData>
      <sheetData sheetId="20"/>
      <sheetData sheetId="21">
        <row r="1">
          <cell r="B1" t="str">
            <v>Khargoan</v>
          </cell>
        </row>
      </sheetData>
      <sheetData sheetId="22">
        <row r="8">
          <cell r="F8">
            <v>10.477552747368874</v>
          </cell>
        </row>
      </sheetData>
      <sheetData sheetId="23">
        <row r="5">
          <cell r="A5">
            <v>1</v>
          </cell>
        </row>
      </sheetData>
      <sheetData sheetId="24"/>
      <sheetData sheetId="25"/>
      <sheetData sheetId="26"/>
      <sheetData sheetId="27"/>
      <sheetData sheetId="28"/>
      <sheetData sheetId="29">
        <row r="10">
          <cell r="E10">
            <v>246.89999999999998</v>
          </cell>
        </row>
      </sheetData>
      <sheetData sheetId="30"/>
      <sheetData sheetId="31"/>
      <sheetData sheetId="32"/>
      <sheetData sheetId="33"/>
      <sheetData sheetId="34">
        <row r="72">
          <cell r="E72">
            <v>572.5</v>
          </cell>
        </row>
      </sheetData>
      <sheetData sheetId="35"/>
      <sheetData sheetId="3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Estimation_Final (R)"/>
      <sheetName val="Barifaliya_Arc_GIS"/>
      <sheetName val="Area_Capacity"/>
      <sheetName val="Rainfall_Pati"/>
      <sheetName val="Binnies"/>
      <sheetName val="Rainfall"/>
      <sheetName val="Fixation_Principal_Level"/>
      <sheetName val="US Reserve and Domestic Use"/>
      <sheetName val="WR"/>
      <sheetName val="Water_Planning"/>
      <sheetName val="Waste_Weir"/>
      <sheetName val="P.E"/>
      <sheetName val="Sheet1"/>
      <sheetName val="Sheet3"/>
      <sheetName val="Sheet2"/>
      <sheetName val="Sheet4"/>
      <sheetName val="Sheet5"/>
      <sheetName val="IWR_Rabi_CP1_Barwani_CWR"/>
      <sheetName val="Crop Pattern and Area"/>
      <sheetName val="Water_Planiing"/>
      <sheetName val="Water_Planning_conti.."/>
      <sheetName val="Fixations_Principal_level"/>
      <sheetName val="Abst_CWR_CROP_PATt."/>
      <sheetName val="CWR for_Crop"/>
      <sheetName val="Penmen ETO"/>
      <sheetName val="Annual Rainfall (2)"/>
      <sheetName val="CUT OFF LBC"/>
      <sheetName val="CWR"/>
      <sheetName val="Sheet9"/>
      <sheetName val="Table_1 (2)"/>
      <sheetName val="Table_7 (2)"/>
      <sheetName val="estimated value"/>
      <sheetName val="canal_d"/>
      <sheetName val="Estimation"/>
      <sheetName val="Abst.CWR"/>
      <sheetName val="Rainfall_jobat"/>
      <sheetName val="Contour_area"/>
      <sheetName val="Sheet6"/>
      <sheetName val="Sheet7"/>
      <sheetName val="Capacity table"/>
      <sheetName val="wtr pln minor-2"/>
      <sheetName val="drf_Khargone"/>
      <sheetName val="Fixation of levels"/>
      <sheetName val="Rainfall_Khandwa"/>
      <sheetName val="21_Waste_Weir New"/>
      <sheetName val="Ele-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8">
          <cell r="E38">
            <v>1</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harge-Upper Beda"/>
      <sheetName val="Kogaoan data-Upper BEda"/>
      <sheetName val="S_1"/>
      <sheetName val="S_2"/>
      <sheetName val="S_3"/>
      <sheetName val="Table_1"/>
      <sheetName val="Table_2"/>
      <sheetName val="WR"/>
      <sheetName val="Table_3"/>
      <sheetName val="Sheet5 (2)"/>
      <sheetName val="Table_4"/>
      <sheetName val="Table_5"/>
      <sheetName val="Table_6"/>
      <sheetName val="Table_7"/>
      <sheetName val="Table_8"/>
      <sheetName val="Estimation_Final"/>
      <sheetName val="Berhda Tank (Old)"/>
      <sheetName val="Census 2001"/>
      <sheetName val="Working Table"/>
      <sheetName val="I.P"/>
      <sheetName val="IWR_Rabi_CP1_Barwani (3)"/>
      <sheetName val="CWR"/>
      <sheetName val="IWR_Rabi_CP1_Barwani_CWR"/>
      <sheetName val="Crop Pattern and Area"/>
      <sheetName val="Annual Rainfall"/>
      <sheetName val="Penmen ETO"/>
      <sheetName val="Synthetic UH"/>
      <sheetName val="berhda"/>
      <sheetName val="UH"/>
      <sheetName val="IWR_Rabi_CP1_Barwani"/>
      <sheetName val="Sheet6"/>
      <sheetName val="KC Values"/>
      <sheetName val="Sheet1 (2)"/>
      <sheetName val="Drinking &amp; Industrial Water use"/>
      <sheetName val="US Reserve and Domestic Use"/>
      <sheetName val="rainfall at pati"/>
      <sheetName val="Pati_R-R Analysis"/>
      <sheetName val="Area_Capacity"/>
      <sheetName val="CW_Base File (2)"/>
      <sheetName val="P.E.1"/>
      <sheetName val="Rainfall"/>
      <sheetName val="Area and Water Bodies"/>
      <sheetName val="P.E"/>
      <sheetName val="Sheet1"/>
      <sheetName val="Sheet3"/>
      <sheetName val="Sheet2"/>
      <sheetName val="Sheet4"/>
      <sheetName val="WR (Barwani Block)"/>
      <sheetName val="IF"/>
      <sheetName val="rough"/>
      <sheetName val="Inflow"/>
      <sheetName val="Sheet5"/>
      <sheetName val="IP"/>
      <sheetName val="Barwani"/>
      <sheetName val="Rajpur"/>
      <sheetName val="Rainfall (2)"/>
      <sheetName val="Effective_Rainfall"/>
      <sheetName val="Binnies"/>
      <sheetName val="Fixation_Principal_Level"/>
      <sheetName val="Routing"/>
      <sheetName val="Water_Planning"/>
      <sheetName val="Spillway_Profile"/>
      <sheetName val="Waste_Weir"/>
      <sheetName val="Ogee Spillway"/>
      <sheetName val="Influence Factor"/>
      <sheetName val="Ogee Spillway (2)"/>
      <sheetName val="Spill channel"/>
      <sheetName val="Splii_Chanel_L_Section"/>
      <sheetName val="10mRD"/>
      <sheetName val="150_RD"/>
      <sheetName val="Weighted rainfall at pati"/>
      <sheetName val="Pati_R-R Analysis (2)"/>
      <sheetName val="Sheet8"/>
      <sheetName val="Sheet9"/>
      <sheetName val="Weighted Rainfall"/>
      <sheetName val="EQ for Pati"/>
      <sheetName val="Yield Per SqKm"/>
      <sheetName val="SENDHWA"/>
      <sheetName val="SENDHWA (2)"/>
      <sheetName val="Barwani (2)"/>
      <sheetName val="Sheet10"/>
      <sheetName val="Sheet11"/>
      <sheetName val="EQ for Pati (2)"/>
      <sheetName val="Yield Per SqKm (2)"/>
      <sheetName val="Avg Missing Data"/>
      <sheetName val="EQ for Pati (Avg Missing Data)"/>
      <sheetName val="Yield Per SqKm (Avg Missing Da)"/>
      <sheetName val="Avg Missing Data (Pen)"/>
      <sheetName val="EQ for Pati (Avg Missing Da (2)"/>
      <sheetName val="Yield Per SqKm (Avg Missing (3)"/>
      <sheetName val="SEGAON"/>
      <sheetName val="DAHAI"/>
      <sheetName val="Avg Missing Data (4)"/>
      <sheetName val="EQ for Pati (Avg Missing Da (4)"/>
      <sheetName val="Yield Per SqKm (Avg Missing (4)"/>
      <sheetName val="Command Area"/>
      <sheetName val="CALC_MC_Flows"/>
      <sheetName val="Design of Sluice"/>
      <sheetName val="Sheet14"/>
      <sheetName val="Sheet23"/>
      <sheetName val="Ele-Capacity"/>
      <sheetName val="Routing (2)"/>
      <sheetName val="Sheet7"/>
      <sheetName val="Rainfall_Pati"/>
    </sheetNames>
    <sheetDataSet>
      <sheetData sheetId="0"/>
      <sheetData sheetId="1"/>
      <sheetData sheetId="2"/>
      <sheetData sheetId="3"/>
      <sheetData sheetId="4"/>
      <sheetData sheetId="5">
        <row r="59">
          <cell r="C59">
            <v>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L2">
            <v>0.81599999999999995</v>
          </cell>
        </row>
      </sheetData>
      <sheetData sheetId="20"/>
      <sheetData sheetId="21"/>
      <sheetData sheetId="22">
        <row r="216">
          <cell r="AA216">
            <v>4.9409726470153839</v>
          </cell>
        </row>
      </sheetData>
      <sheetData sheetId="23"/>
      <sheetData sheetId="24"/>
      <sheetData sheetId="25"/>
      <sheetData sheetId="26"/>
      <sheetData sheetId="27"/>
      <sheetData sheetId="28">
        <row r="6">
          <cell r="AC6">
            <v>4.7477999999999998</v>
          </cell>
        </row>
      </sheetData>
      <sheetData sheetId="29"/>
      <sheetData sheetId="30"/>
      <sheetData sheetId="31"/>
      <sheetData sheetId="32"/>
      <sheetData sheetId="33"/>
      <sheetData sheetId="34"/>
      <sheetData sheetId="35"/>
      <sheetData sheetId="36"/>
      <sheetData sheetId="37">
        <row r="5">
          <cell r="A5">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86">
          <cell r="E86">
            <v>474.89499999999998</v>
          </cell>
        </row>
      </sheetData>
      <sheetData sheetId="57">
        <row r="7">
          <cell r="E7">
            <v>12.462308567139999</v>
          </cell>
        </row>
        <row r="38">
          <cell r="K38">
            <v>1</v>
          </cell>
          <cell r="L38">
            <v>254</v>
          </cell>
          <cell r="M38">
            <v>1.7777376033057849E-2</v>
          </cell>
        </row>
        <row r="39">
          <cell r="K39">
            <v>2</v>
          </cell>
          <cell r="L39">
            <v>279.39999999999998</v>
          </cell>
          <cell r="M39">
            <v>2.2358384986225895E-2</v>
          </cell>
        </row>
        <row r="40">
          <cell r="K40">
            <v>3</v>
          </cell>
          <cell r="L40">
            <v>304.79999999999995</v>
          </cell>
          <cell r="M40">
            <v>2.743138774104683E-2</v>
          </cell>
        </row>
        <row r="41">
          <cell r="K41">
            <v>4</v>
          </cell>
          <cell r="L41">
            <v>330.2</v>
          </cell>
          <cell r="M41">
            <v>3.3018250688705238E-2</v>
          </cell>
        </row>
        <row r="42">
          <cell r="K42">
            <v>5</v>
          </cell>
          <cell r="L42">
            <v>355.59999999999997</v>
          </cell>
          <cell r="M42">
            <v>3.9118973829201098E-2</v>
          </cell>
        </row>
        <row r="43">
          <cell r="K43">
            <v>6</v>
          </cell>
          <cell r="L43">
            <v>381</v>
          </cell>
          <cell r="M43">
            <v>4.5722623966942155E-2</v>
          </cell>
        </row>
        <row r="44">
          <cell r="K44">
            <v>7</v>
          </cell>
          <cell r="L44">
            <v>406.4</v>
          </cell>
          <cell r="M44">
            <v>5.2829201101928382E-2</v>
          </cell>
        </row>
        <row r="45">
          <cell r="K45">
            <v>8</v>
          </cell>
          <cell r="L45">
            <v>431.79999999999995</v>
          </cell>
          <cell r="M45">
            <v>6.0449638429752074E-2</v>
          </cell>
        </row>
        <row r="46">
          <cell r="K46">
            <v>9</v>
          </cell>
          <cell r="L46">
            <v>457.2</v>
          </cell>
          <cell r="M46">
            <v>6.8583935950413219E-2</v>
          </cell>
        </row>
        <row r="47">
          <cell r="K47">
            <v>10</v>
          </cell>
          <cell r="L47">
            <v>482.59999999999997</v>
          </cell>
          <cell r="M47">
            <v>7.7221160468319561E-2</v>
          </cell>
        </row>
        <row r="48">
          <cell r="K48">
            <v>11</v>
          </cell>
          <cell r="L48">
            <v>508</v>
          </cell>
          <cell r="M48">
            <v>8.6372245179063362E-2</v>
          </cell>
        </row>
        <row r="49">
          <cell r="K49">
            <v>12</v>
          </cell>
          <cell r="L49">
            <v>533.4</v>
          </cell>
          <cell r="M49">
            <v>9.6015323691460056E-2</v>
          </cell>
        </row>
        <row r="50">
          <cell r="K50">
            <v>13</v>
          </cell>
          <cell r="L50">
            <v>558.79999999999995</v>
          </cell>
          <cell r="M50">
            <v>0.10617226239669422</v>
          </cell>
        </row>
        <row r="51">
          <cell r="K51">
            <v>14</v>
          </cell>
          <cell r="L51">
            <v>584.19999999999993</v>
          </cell>
          <cell r="M51">
            <v>0.11684306129476583</v>
          </cell>
        </row>
        <row r="52">
          <cell r="K52">
            <v>15</v>
          </cell>
          <cell r="L52">
            <v>609.59999999999991</v>
          </cell>
          <cell r="M52">
            <v>0.12801678719008264</v>
          </cell>
        </row>
        <row r="53">
          <cell r="K53">
            <v>16</v>
          </cell>
          <cell r="L53">
            <v>635</v>
          </cell>
          <cell r="M53">
            <v>0.13970437327823693</v>
          </cell>
        </row>
        <row r="54">
          <cell r="K54">
            <v>17</v>
          </cell>
          <cell r="L54">
            <v>660.4</v>
          </cell>
          <cell r="M54">
            <v>0.15186208677685953</v>
          </cell>
        </row>
        <row r="55">
          <cell r="K55">
            <v>18</v>
          </cell>
          <cell r="L55">
            <v>685.8</v>
          </cell>
          <cell r="M55">
            <v>0.16458832644628102</v>
          </cell>
        </row>
        <row r="56">
          <cell r="K56">
            <v>19</v>
          </cell>
          <cell r="L56">
            <v>711.19999999999993</v>
          </cell>
          <cell r="M56">
            <v>0.17779562672176311</v>
          </cell>
        </row>
        <row r="57">
          <cell r="K57">
            <v>20</v>
          </cell>
          <cell r="L57">
            <v>736.59999999999991</v>
          </cell>
          <cell r="M57">
            <v>0.19151678719008267</v>
          </cell>
        </row>
        <row r="58">
          <cell r="K58">
            <v>21</v>
          </cell>
          <cell r="L58">
            <v>762</v>
          </cell>
          <cell r="M58">
            <v>0.20574087465564742</v>
          </cell>
        </row>
        <row r="59">
          <cell r="K59">
            <v>22</v>
          </cell>
          <cell r="L59">
            <v>787.4</v>
          </cell>
          <cell r="M59">
            <v>0.22046788911845727</v>
          </cell>
        </row>
        <row r="60">
          <cell r="K60">
            <v>23</v>
          </cell>
          <cell r="L60">
            <v>812.8</v>
          </cell>
          <cell r="M60">
            <v>0.23614609159779618</v>
          </cell>
        </row>
        <row r="61">
          <cell r="K61">
            <v>24</v>
          </cell>
          <cell r="L61">
            <v>838.19999999999993</v>
          </cell>
          <cell r="M61">
            <v>0.25146349862258954</v>
          </cell>
        </row>
        <row r="62">
          <cell r="K62">
            <v>25</v>
          </cell>
          <cell r="L62">
            <v>863.59999999999991</v>
          </cell>
          <cell r="M62">
            <v>0.26771022727272725</v>
          </cell>
        </row>
        <row r="63">
          <cell r="K63">
            <v>26</v>
          </cell>
          <cell r="L63">
            <v>889</v>
          </cell>
          <cell r="M63">
            <v>0.28448174931129477</v>
          </cell>
        </row>
        <row r="64">
          <cell r="K64">
            <v>27</v>
          </cell>
          <cell r="L64">
            <v>914.4</v>
          </cell>
          <cell r="M64">
            <v>0.30175619834710748</v>
          </cell>
        </row>
        <row r="65">
          <cell r="K65">
            <v>28</v>
          </cell>
          <cell r="L65">
            <v>939.8</v>
          </cell>
          <cell r="M65">
            <v>0.31953357438016528</v>
          </cell>
        </row>
        <row r="66">
          <cell r="K66">
            <v>29</v>
          </cell>
          <cell r="L66">
            <v>965.19999999999993</v>
          </cell>
          <cell r="M66">
            <v>0.33782481060606062</v>
          </cell>
        </row>
        <row r="67">
          <cell r="K67">
            <v>30</v>
          </cell>
          <cell r="L67">
            <v>990.59999999999991</v>
          </cell>
          <cell r="M67">
            <v>0.3566189738292011</v>
          </cell>
        </row>
        <row r="68">
          <cell r="K68">
            <v>31</v>
          </cell>
          <cell r="L68">
            <v>1016</v>
          </cell>
          <cell r="M68">
            <v>0.37592699724517908</v>
          </cell>
        </row>
        <row r="69">
          <cell r="K69">
            <v>32</v>
          </cell>
          <cell r="L69">
            <v>1041.3999999999999</v>
          </cell>
          <cell r="M69">
            <v>0.39468836088154274</v>
          </cell>
        </row>
        <row r="70">
          <cell r="K70">
            <v>33</v>
          </cell>
          <cell r="L70">
            <v>1066.8</v>
          </cell>
          <cell r="M70">
            <v>0.41287026515151515</v>
          </cell>
        </row>
        <row r="71">
          <cell r="K71">
            <v>34</v>
          </cell>
          <cell r="L71">
            <v>1092.2</v>
          </cell>
          <cell r="M71">
            <v>0.43141296487603309</v>
          </cell>
        </row>
        <row r="72">
          <cell r="K72">
            <v>35</v>
          </cell>
          <cell r="L72">
            <v>1117.5999999999999</v>
          </cell>
          <cell r="M72">
            <v>0.45042579201101929</v>
          </cell>
        </row>
        <row r="73">
          <cell r="K73">
            <v>36</v>
          </cell>
          <cell r="L73">
            <v>1143</v>
          </cell>
          <cell r="M73">
            <v>0.46862956267217637</v>
          </cell>
        </row>
        <row r="74">
          <cell r="K74">
            <v>37</v>
          </cell>
          <cell r="L74">
            <v>1168.3999999999999</v>
          </cell>
          <cell r="M74">
            <v>0.48721599517906344</v>
          </cell>
        </row>
        <row r="75">
          <cell r="K75">
            <v>38</v>
          </cell>
          <cell r="L75">
            <v>1193.8</v>
          </cell>
          <cell r="M75">
            <v>0.50617415633608809</v>
          </cell>
        </row>
        <row r="76">
          <cell r="K76">
            <v>39</v>
          </cell>
          <cell r="L76">
            <v>1219.1999999999998</v>
          </cell>
          <cell r="M76">
            <v>0.52548217975206613</v>
          </cell>
        </row>
        <row r="77">
          <cell r="K77">
            <v>40</v>
          </cell>
          <cell r="L77">
            <v>1244.5999999999999</v>
          </cell>
          <cell r="M77">
            <v>0.54388274793388436</v>
          </cell>
        </row>
        <row r="78">
          <cell r="K78">
            <v>41</v>
          </cell>
          <cell r="L78">
            <v>1270</v>
          </cell>
          <cell r="M78">
            <v>0.56387956267217632</v>
          </cell>
        </row>
        <row r="79">
          <cell r="K79">
            <v>42</v>
          </cell>
          <cell r="L79">
            <v>1295.3999999999999</v>
          </cell>
          <cell r="M79">
            <v>0.58292518939393934</v>
          </cell>
        </row>
        <row r="80">
          <cell r="K80">
            <v>43</v>
          </cell>
          <cell r="L80">
            <v>1320.8</v>
          </cell>
          <cell r="M80">
            <v>0.60241907713498632</v>
          </cell>
        </row>
        <row r="81">
          <cell r="K81">
            <v>44</v>
          </cell>
          <cell r="L81">
            <v>1346.1999999999998</v>
          </cell>
          <cell r="M81">
            <v>0.62194576446281002</v>
          </cell>
        </row>
        <row r="82">
          <cell r="K82">
            <v>45</v>
          </cell>
          <cell r="L82">
            <v>1371.6</v>
          </cell>
          <cell r="M82">
            <v>0.64186604683195592</v>
          </cell>
        </row>
        <row r="83">
          <cell r="K83">
            <v>46</v>
          </cell>
          <cell r="L83">
            <v>1397</v>
          </cell>
          <cell r="M83">
            <v>0.66078047520661154</v>
          </cell>
        </row>
        <row r="84">
          <cell r="K84">
            <v>47</v>
          </cell>
          <cell r="L84">
            <v>1422.3999999999999</v>
          </cell>
          <cell r="M84">
            <v>0.68133488292011024</v>
          </cell>
        </row>
        <row r="85">
          <cell r="K85">
            <v>48</v>
          </cell>
          <cell r="L85">
            <v>1447.8</v>
          </cell>
          <cell r="M85">
            <v>0.70073037190082643</v>
          </cell>
        </row>
        <row r="86">
          <cell r="K86">
            <v>49</v>
          </cell>
          <cell r="L86">
            <v>1473.1999999999998</v>
          </cell>
          <cell r="M86">
            <v>0.72187517217630848</v>
          </cell>
        </row>
        <row r="87">
          <cell r="K87">
            <v>50</v>
          </cell>
          <cell r="L87">
            <v>1498.6</v>
          </cell>
          <cell r="M87">
            <v>0.7418063877410469</v>
          </cell>
        </row>
        <row r="88">
          <cell r="K88">
            <v>51</v>
          </cell>
          <cell r="L88">
            <v>1524</v>
          </cell>
          <cell r="M88">
            <v>0.76200000000000001</v>
          </cell>
        </row>
        <row r="89">
          <cell r="K89">
            <v>52</v>
          </cell>
          <cell r="L89">
            <v>1549.3999999999999</v>
          </cell>
          <cell r="M89">
            <v>0.78242320936639109</v>
          </cell>
        </row>
        <row r="90">
          <cell r="K90">
            <v>53</v>
          </cell>
          <cell r="L90">
            <v>1574.8</v>
          </cell>
          <cell r="M90">
            <v>0.80313068181818181</v>
          </cell>
        </row>
        <row r="91">
          <cell r="K91">
            <v>54</v>
          </cell>
          <cell r="L91">
            <v>1600.1999999999998</v>
          </cell>
          <cell r="M91">
            <v>0.8022122933884297</v>
          </cell>
        </row>
        <row r="92">
          <cell r="K92">
            <v>55</v>
          </cell>
          <cell r="L92">
            <v>1625.6</v>
          </cell>
          <cell r="M92">
            <v>0.84531095041322324</v>
          </cell>
        </row>
        <row r="93">
          <cell r="K93">
            <v>56</v>
          </cell>
          <cell r="L93">
            <v>1651</v>
          </cell>
          <cell r="M93">
            <v>0.86676188016528932</v>
          </cell>
        </row>
        <row r="94">
          <cell r="K94">
            <v>57</v>
          </cell>
          <cell r="L94">
            <v>1676.3999999999999</v>
          </cell>
          <cell r="M94">
            <v>0.88849707300275493</v>
          </cell>
        </row>
        <row r="95">
          <cell r="K95">
            <v>58</v>
          </cell>
          <cell r="L95">
            <v>1701.8</v>
          </cell>
          <cell r="M95">
            <v>0.9104509297520661</v>
          </cell>
        </row>
        <row r="96">
          <cell r="K96">
            <v>59</v>
          </cell>
          <cell r="L96">
            <v>1727.1999999999998</v>
          </cell>
          <cell r="M96">
            <v>0.93268904958677701</v>
          </cell>
        </row>
        <row r="97">
          <cell r="K97">
            <v>60</v>
          </cell>
          <cell r="L97">
            <v>1752.6</v>
          </cell>
          <cell r="M97">
            <v>0.95516769972451809</v>
          </cell>
        </row>
      </sheetData>
      <sheetData sheetId="58">
        <row r="2">
          <cell r="P2">
            <v>6.6739116367692297</v>
          </cell>
        </row>
      </sheetData>
      <sheetData sheetId="59">
        <row r="24">
          <cell r="I24">
            <v>0</v>
          </cell>
        </row>
      </sheetData>
      <sheetData sheetId="60">
        <row r="15">
          <cell r="L15">
            <v>0.33893614373856434</v>
          </cell>
        </row>
      </sheetData>
      <sheetData sheetId="61"/>
      <sheetData sheetId="62">
        <row r="3">
          <cell r="U3" t="str">
            <v>Flush Bar</v>
          </cell>
        </row>
      </sheetData>
      <sheetData sheetId="63"/>
      <sheetData sheetId="64"/>
      <sheetData sheetId="65"/>
      <sheetData sheetId="66">
        <row r="10">
          <cell r="I10">
            <v>5.3560433586975753</v>
          </cell>
        </row>
      </sheetData>
      <sheetData sheetId="67"/>
      <sheetData sheetId="68"/>
      <sheetData sheetId="69"/>
      <sheetData sheetId="70"/>
      <sheetData sheetId="71">
        <row r="25">
          <cell r="J25">
            <v>0.4647</v>
          </cell>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ow r="57">
          <cell r="B57">
            <v>323</v>
          </cell>
        </row>
      </sheetData>
      <sheetData sheetId="101"/>
      <sheetData sheetId="102">
        <row r="9">
          <cell r="C9">
            <v>110</v>
          </cell>
        </row>
      </sheetData>
      <sheetData sheetId="10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3 (3)"/>
      <sheetName val="S_2 (3)"/>
      <sheetName val="S_1 (3)"/>
      <sheetName val="1_Project at glance"/>
      <sheetName val="2_Brief_Desci"/>
      <sheetName val="3_Constituent_Statetement"/>
      <sheetName val="4-Salient_features"/>
      <sheetName val="5_General_Reports"/>
      <sheetName val="6_Comp_sur_ong_sch"/>
      <sheetName val="7_Comp_Proposed_Schemes"/>
      <sheetName val="8_Interpretations_Soils"/>
      <sheetName val="9_AGR_Stati"/>
      <sheetName val="10_Rainfall_Data"/>
      <sheetName val="11_Rainfall_Runoff_Kogaon"/>
      <sheetName val="Rainfall_Runoff_Pati"/>
      <sheetName val="12_Dependable Yield"/>
      <sheetName val="13_Area_capacity_Table"/>
      <sheetName val="14_Fix_Leve_Table"/>
      <sheetName val="15_Water_Planning"/>
      <sheetName val="16_Drinking &amp; Ind Water use"/>
      <sheetName val="17__Abst.CWR"/>
      <sheetName val="18_CWR"/>
      <sheetName val="IWR_Rabi_CP1_Khandwa_CWR"/>
      <sheetName val="19__Penmen ETO"/>
      <sheetName val="Table_4_Annual Rainfall "/>
      <sheetName val="20a_Sluices_beni_RBC"/>
      <sheetName val="21_Waste_Weir New"/>
      <sheetName val="Spill channel"/>
      <sheetName val="22_Ogee Spillway "/>
      <sheetName val="Spill channel (2)"/>
      <sheetName val="Table_7,Hyd_Jum_WA"/>
      <sheetName val="HFL Calculation_527"/>
      <sheetName val="HFL Calculation_703"/>
      <sheetName val="HFL Calculation_814"/>
      <sheetName val="HFL Calculation_950"/>
      <sheetName val="L_section"/>
      <sheetName val="Bed Slope"/>
      <sheetName val="Table_10_Sluices_beni_LBC "/>
      <sheetName val="Working Table"/>
      <sheetName val="Unit-I _II"/>
      <sheetName val="Unit-I _II (2)"/>
      <sheetName val="23_Design_Wast_weir_chanel"/>
      <sheetName val="24_General_Abstract"/>
      <sheetName val="25_a__BC"/>
      <sheetName val="25_b_before"/>
      <sheetName val="25_c_After"/>
      <sheetName val="Crop Pattern and Area (2)"/>
      <sheetName val="Binnies"/>
      <sheetName val="Rainfall"/>
      <sheetName val="Design of Canal"/>
      <sheetName val="P.E"/>
      <sheetName val="Sheet1"/>
      <sheetName val="Sheet3"/>
      <sheetName val="Sheet2"/>
      <sheetName val="Sheet4"/>
      <sheetName val="Sheet5"/>
      <sheetName val="Water_Planiing"/>
      <sheetName val="Table_6"/>
      <sheetName val="S_2"/>
      <sheetName val="S_3"/>
      <sheetName val="S_1 (2)"/>
      <sheetName val="S_2 (2)"/>
      <sheetName val="S_3 (2)"/>
      <sheetName val="Fixations_Principal_level"/>
      <sheetName val="Water_Planning_conti.."/>
      <sheetName val="Motlapura_Canal_Outlet"/>
      <sheetName val="Table_4_KC Values"/>
      <sheetName val="Sheet6"/>
      <sheetName val="Sheet13"/>
      <sheetName val="26_General_Abstract_!2"/>
      <sheetName val="27-Preli_Check"/>
      <sheetName val="28_Proforma_2"/>
      <sheetName val="29_Proforma_3"/>
      <sheetName val="30_Stage_1_estimate"/>
      <sheetName val="31_Adminst_Appr"/>
      <sheetName val="32_Check_state_Irri"/>
      <sheetName val="Worksheet"/>
      <sheetName val="Water_Planning"/>
      <sheetName val="Area_Capacity"/>
      <sheetName val="Rainfall_Khandwa"/>
      <sheetName val="Fixation_Principal_Level"/>
      <sheetName val="Water Use US"/>
      <sheetName val="Lulc_Submergence"/>
      <sheetName val="Canal_Details"/>
      <sheetName val="IWR_Rabi_CP1_Barwani_CWR"/>
      <sheetName val="Waste_Weir"/>
      <sheetName val="Ele-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2">
          <cell r="E22">
            <v>585.55748496210003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87">
          <cell r="E87">
            <v>0.2</v>
          </cell>
        </row>
      </sheetData>
      <sheetData sheetId="20">
        <row r="57">
          <cell r="P57">
            <v>0</v>
          </cell>
        </row>
      </sheetData>
      <sheetData sheetId="21" refreshError="1"/>
      <sheetData sheetId="22" refreshError="1"/>
      <sheetData sheetId="23" refreshError="1"/>
      <sheetData sheetId="24" refreshError="1"/>
      <sheetData sheetId="25" refreshError="1"/>
      <sheetData sheetId="26">
        <row r="13">
          <cell r="F13">
            <v>0.9</v>
          </cell>
        </row>
      </sheetData>
      <sheetData sheetId="27" refreshError="1"/>
      <sheetData sheetId="28">
        <row r="92">
          <cell r="R92">
            <v>275.23487710709287</v>
          </cell>
        </row>
      </sheetData>
      <sheetData sheetId="29" refreshError="1"/>
      <sheetData sheetId="30">
        <row r="109">
          <cell r="H109" t="str">
            <v>SQRT(2gH1)</v>
          </cell>
        </row>
      </sheetData>
      <sheetData sheetId="31" refreshError="1"/>
      <sheetData sheetId="32" refreshError="1"/>
      <sheetData sheetId="33" refreshError="1"/>
      <sheetData sheetId="34" refreshError="1"/>
      <sheetData sheetId="35" refreshError="1"/>
      <sheetData sheetId="36">
        <row r="17">
          <cell r="G17">
            <v>272.98770000000002</v>
          </cell>
        </row>
      </sheetData>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ow r="38">
          <cell r="E38">
            <v>1</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ow r="17">
          <cell r="F17">
            <v>0.92300000000000004</v>
          </cell>
        </row>
      </sheetData>
      <sheetData sheetId="64">
        <row r="5">
          <cell r="B5">
            <v>397.25</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32">
          <cell r="I32">
            <v>0.35971794272000002</v>
          </cell>
        </row>
      </sheetData>
      <sheetData sheetId="78">
        <row r="5">
          <cell r="A5">
            <v>1</v>
          </cell>
        </row>
      </sheetData>
      <sheetData sheetId="79">
        <row r="6">
          <cell r="A6">
            <v>1</v>
          </cell>
        </row>
      </sheetData>
      <sheetData sheetId="80">
        <row r="2">
          <cell r="P2">
            <v>2.0810535267586312</v>
          </cell>
        </row>
      </sheetData>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Estimation_Final (R)"/>
      <sheetName val="Barifaliya_Arc_GIS"/>
      <sheetName val="Area_Capacity"/>
      <sheetName val="Rainfall_Pati"/>
      <sheetName val="Binnies"/>
      <sheetName val="Rainfall"/>
      <sheetName val="Fixation_Principal_Level"/>
      <sheetName val="US Reserve and Domestic Use"/>
      <sheetName val="WR"/>
      <sheetName val="Water_Planning"/>
      <sheetName val="Waste_Weir"/>
      <sheetName val="P.E"/>
      <sheetName val="Sheet1"/>
      <sheetName val="Sheet3"/>
      <sheetName val="Sheet2"/>
      <sheetName val="Sheet4"/>
      <sheetName val="Sheet5"/>
      <sheetName val="IWR_Rabi_CP1_Barwani_CWR"/>
      <sheetName val="Crop Pattern and Area"/>
      <sheetName val="Water_Planiing"/>
      <sheetName val="Water_Planning_conti.."/>
      <sheetName val="Fixations_Principal_level"/>
      <sheetName val="Abst_CWR_CROP_PATt."/>
      <sheetName val="CWR for_Crop"/>
      <sheetName val="Penmen ETO"/>
      <sheetName val="Annual Rainfall (2)"/>
      <sheetName val="CUT OFF LBC"/>
      <sheetName val="CWR"/>
      <sheetName val="Sheet9"/>
      <sheetName val="Table_1 (2)"/>
      <sheetName val="Table_7 (2)"/>
      <sheetName val="estimated value"/>
      <sheetName val="canal_d"/>
      <sheetName val="Estimation"/>
      <sheetName val="Abst.CWR"/>
      <sheetName val="Rainfall_jobat"/>
      <sheetName val="Contour_area"/>
      <sheetName val="Sheet6"/>
      <sheetName val="Sheet7"/>
      <sheetName val="Rainfall_Khandwa"/>
      <sheetName val="21_Waste_Weir New"/>
      <sheetName val="Ele-Capacity"/>
      <sheetName val="wtr pln minor-2"/>
      <sheetName val="drf_Khargone"/>
      <sheetName val="Capacit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5">
          <cell r="A5">
            <v>1</v>
          </cell>
        </row>
      </sheetData>
      <sheetData sheetId="16">
        <row r="6">
          <cell r="A6">
            <v>1</v>
          </cell>
        </row>
      </sheetData>
      <sheetData sheetId="17">
        <row r="38">
          <cell r="E38">
            <v>1</v>
          </cell>
        </row>
      </sheetData>
      <sheetData sheetId="18" refreshError="1"/>
      <sheetData sheetId="19">
        <row r="2">
          <cell r="P2">
            <v>0.7084606160000001</v>
          </cell>
        </row>
      </sheetData>
      <sheetData sheetId="20" refreshError="1"/>
      <sheetData sheetId="21">
        <row r="23">
          <cell r="J23">
            <v>96.199999999999989</v>
          </cell>
        </row>
      </sheetData>
      <sheetData sheetId="22" refreshError="1"/>
      <sheetData sheetId="23">
        <row r="3">
          <cell r="U3" t="str">
            <v>Flush Bar</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ontents"/>
      <sheetName val="Design Basis"/>
      <sheetName val="Load"/>
      <sheetName val="Launder Bagidora"/>
      <sheetName val="Tank wall "/>
      <sheetName val="Wall footing-1"/>
      <sheetName val="Stability-1"/>
      <sheetName val="Wall footing-2"/>
      <sheetName val="Stability-2"/>
      <sheetName val="Wall footing-3"/>
      <sheetName val="Stability-3"/>
      <sheetName val="Wall footing-4"/>
      <sheetName val="Stability-4"/>
      <sheetName val="Flocculator wall"/>
      <sheetName val="Flocculator footing"/>
      <sheetName val="Central Shaft"/>
      <sheetName val="Bot Pit Wall "/>
      <sheetName val="Top Pit Wal"/>
      <sheetName val="CS1"/>
      <sheetName val="TemplateInformation"/>
      <sheetName val="Table-26"/>
      <sheetName val="Flight  (2)"/>
      <sheetName val="stair footing"/>
      <sheetName val="Hydrodynamic"/>
      <sheetName val="Sheet1"/>
      <sheetName val="Unconnected"/>
      <sheetName val="Binnies"/>
      <sheetName val="wtr pln minor-2"/>
      <sheetName val="drf_Khargone"/>
      <sheetName val="Capacity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F10">
            <v>113.34</v>
          </cell>
        </row>
      </sheetData>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DATA"/>
      <sheetName val="S C W _Basic"/>
      <sheetName val="RECAP"/>
      <sheetName val="RD"/>
      <sheetName val="1R"/>
      <sheetName val="2R"/>
      <sheetName val="3R"/>
      <sheetName val="S CW"/>
      <sheetName val="S CW (2)"/>
      <sheetName val="Box Culvert"/>
      <sheetName val="SC Single "/>
      <sheetName val="SC Multiple"/>
      <sheetName val="SUB  SLAB CULVERT  Basic"/>
      <sheetName val="SLab CAUSE Multiple (2)"/>
      <sheetName val="Hard Passage Repairing"/>
      <sheetName val="Hard Passage"/>
      <sheetName val="SRC"/>
      <sheetName val="rrd"/>
      <sheetName val="rcd"/>
      <sheetName val="RET"/>
      <sheetName val="GUT"/>
      <sheetName val="Div-23"/>
      <sheetName val="S-OUT"/>
      <sheetName val="ROY"/>
      <sheetName val="Design"/>
      <sheetName val="footing for S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ESIGN"/>
      <sheetName val="DESIGN2"/>
      <sheetName val="DRawing "/>
      <sheetName val="Wing Wall Sec 1-1"/>
      <sheetName val="Wing Wall Sec 2-2 "/>
      <sheetName val="Drawing Data"/>
      <sheetName val="Details"/>
      <sheetName val="Abstract "/>
      <sheetName val="Bar bending schedule"/>
      <sheetName val="Consumption and Lead Statement "/>
      <sheetName val="Flocculator footing"/>
      <sheetName val="Gen Info"/>
      <sheetName val="Rainfall_Khandwa"/>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level"/>
      <sheetName val="volume"/>
      <sheetName val="G_Design"/>
      <sheetName val="traffic "/>
      <sheetName val="lab_ test"/>
      <sheetName val="CD_Existing"/>
      <sheetName val="Slab-1840"/>
      <sheetName val="Slab-2560"/>
      <sheetName val="Slab-3520"/>
      <sheetName val="Slab 3520m est"/>
      <sheetName val="CD Design"/>
      <sheetName val="pavement(0-1300&amp;2600-3860)"/>
      <sheetName val="pavement (1300-2600m)"/>
      <sheetName val="road_est(bm)"/>
      <sheetName val="E-Slab3520"/>
      <sheetName val="E-Slab 1840,2560"/>
      <sheetName val="E-P1"/>
      <sheetName val="E-P2"/>
      <sheetName val="Total Cost"/>
      <sheetName val="cover page"/>
      <sheetName val="1.5mspanX1.0m est. "/>
      <sheetName val="design of 510m "/>
      <sheetName val="510m estimate"/>
      <sheetName val="design of 750m"/>
      <sheetName val="design of  1260m"/>
      <sheetName val="Dig_Pavment 0-1300"/>
      <sheetName val="Dig_Pavment1300-2600"/>
      <sheetName val="Dig_Pavment2600-3860"/>
      <sheetName val="Rigid Pavement Drawing"/>
      <sheetName val="ATTERBERG LIMIT"/>
      <sheetName val="pavement(0-1300&amp;26p0-3860)"/>
      <sheetName val="Back_Cal_for OMC"/>
      <sheetName val="hyperstatic-3"/>
      <sheetName val="Unconnected"/>
      <sheetName val="foundation(V)"/>
      <sheetName val="MAIN"/>
      <sheetName val="Assumptions"/>
      <sheetName val="DESIGN"/>
      <sheetName val="Flocculator footing"/>
      <sheetName val="Machinery"/>
      <sheetName val="17"/>
      <sheetName val="procurement"/>
      <sheetName val="Indirect expenses"/>
      <sheetName val="Build-up"/>
      <sheetName val="SILICATE"/>
      <sheetName val="RA"/>
      <sheetName val="DETAILED  BOQ"/>
      <sheetName val="Letter"/>
      <sheetName val="CBR "/>
      <sheetName val="Plant &amp;  Machinery"/>
      <sheetName val="A.O.R."/>
      <sheetName val="FORM7"/>
      <sheetName val="FT-05-02IsoBOM"/>
      <sheetName val="Timesheet"/>
      <sheetName val="INPUT-DATA"/>
      <sheetName val="basdat"/>
      <sheetName val="Dayworks Bill"/>
      <sheetName val="Bills of Quantities"/>
      <sheetName val="SALIENT"/>
      <sheetName val="Sheet1"/>
      <sheetName val="Inventory"/>
      <sheetName val="dBase"/>
      <sheetName val="REL"/>
      <sheetName val="Staff Acco."/>
      <sheetName val="PROG_DATA"/>
      <sheetName val="Rates Basic"/>
      <sheetName val="doq"/>
      <sheetName val="01"/>
      <sheetName val="Cul_detail"/>
      <sheetName val="SUMMARY"/>
      <sheetName val="Major Br. Statement"/>
      <sheetName val="DATA"/>
      <sheetName val="Input_data"/>
      <sheetName val="PLAN_FEB97"/>
      <sheetName val="ANAL"/>
      <sheetName val="UNP-NCW "/>
      <sheetName val="BOQ Distribution"/>
      <sheetName val="Material "/>
      <sheetName val="meas"/>
      <sheetName val="Gen_Info"/>
      <sheetName val="traffic_"/>
      <sheetName val="lab__test"/>
      <sheetName val="Slab_3520m_est"/>
      <sheetName val="CD_Design"/>
      <sheetName val="pavement_(1300-2600m)"/>
      <sheetName val="E-Slab_1840,2560"/>
      <sheetName val="Total_Cost"/>
      <sheetName val="cover_page"/>
      <sheetName val="1_5mspanX1_0m_est__"/>
      <sheetName val="design_of_510m_"/>
      <sheetName val="510m_estimate"/>
      <sheetName val="design_of_750m"/>
      <sheetName val="design_of__1260m"/>
      <sheetName val="Dig_Pavment_0-1300"/>
      <sheetName val="Rigid_Pavement_Drawing"/>
      <sheetName val="ATTERBERG_LIMIT"/>
      <sheetName val="Indirect_expenses"/>
      <sheetName val="Material"/>
      <sheetName val="Labour"/>
      <sheetName val="Voucher"/>
      <sheetName val="Cal"/>
      <sheetName val="ANNEXURE-A"/>
      <sheetName val="basic-data"/>
      <sheetName val="mem-property"/>
      <sheetName val="schedule1"/>
      <sheetName val="Legal Risk Analysis"/>
      <sheetName val="key dates"/>
      <sheetName val="Actuals"/>
      <sheetName val="BA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A_I-abst"/>
      <sheetName val="A-det"/>
      <sheetName val="A_I_abst"/>
      <sheetName val="C_I_abst"/>
      <sheetName val="C-I_abst"/>
      <sheetName val="Slui"/>
      <sheetName val="W-W"/>
      <sheetName val="Abs of sluice "/>
      <sheetName val="Detail of Sluice&amp; Flush Bar"/>
      <sheetName val="Consumption (2)"/>
      <sheetName val="C-well-Sluice-Det"/>
      <sheetName val="Abs. Spillway"/>
      <sheetName val="13)Consm-St"/>
      <sheetName val="Spilway Exca"/>
      <sheetName val="Conc"/>
      <sheetName val="Anchore &amp; Drill"/>
      <sheetName val="2) bar Sched"/>
      <sheetName val="R Gate"/>
      <sheetName val="C-Flush Bar-Det1"/>
      <sheetName val="L_I_Dam"/>
      <sheetName val="L_I_abst"/>
      <sheetName val="Unit-I _II"/>
      <sheetName val="Unit-I"/>
      <sheetName val="Abstract"/>
      <sheetName val="A_II_abst"/>
      <sheetName val="B-1-SATSOI"/>
      <sheetName val="C_Masonary(1)"/>
      <sheetName val="C_Masonary(2)_Sluice"/>
      <sheetName val="A_II_Det."/>
      <sheetName val="B_I_abst"/>
      <sheetName val="C"/>
      <sheetName val="C_MASONARY_WW "/>
      <sheetName val="C_MASONARY_Sluice"/>
      <sheetName val="Sump Well"/>
      <sheetName val="PUMP AND EQUIPMENT"/>
      <sheetName val="DISTRIBUTION CHAMBER"/>
      <sheetName val="K-I_abs"/>
      <sheetName val="L_Genral Abstract"/>
      <sheetName val="Clay blanket"/>
      <sheetName val="Sheet1 (3)"/>
      <sheetName val="Data Sheet"/>
      <sheetName val="M_I_abs"/>
      <sheetName val="O_I_abst"/>
      <sheetName val="P_I_abst"/>
      <sheetName val="R_I_abst"/>
      <sheetName val="X_I_abs"/>
      <sheetName val="Utilization"/>
      <sheetName val="Consumption"/>
      <sheetName val="Road"/>
      <sheetName val="Ralling"/>
      <sheetName val="Grouting"/>
      <sheetName val=" J.C"/>
      <sheetName val="Turfing"/>
      <sheetName val="Data"/>
      <sheetName val=" EW"/>
      <sheetName val="Pitch Toe S."/>
      <sheetName val="Pitch.Toe G."/>
      <sheetName val="Pitch. toe P"/>
      <sheetName val="Pitching Sand"/>
      <sheetName val="Pitching Qua"/>
      <sheetName val="Pitching"/>
      <sheetName val="Chimney Filter"/>
      <sheetName val="Inclind Fil. G."/>
      <sheetName val="Inclind Filter S"/>
      <sheetName val="BT"/>
      <sheetName val="Exca. Fil.,B.T."/>
      <sheetName val="Exca.Drain&amp;clasi"/>
      <sheetName val="Ext.Fil. Bot."/>
      <sheetName val="Ext. Fil. Top"/>
      <sheetName val="Ext.Fil.Gravel "/>
      <sheetName val="DS Toe Drain S."/>
      <sheetName val="DS Toe Drain G."/>
      <sheetName val="DS Toe Drain B."/>
      <sheetName val="C.O.T."/>
      <sheetName val="sOIL sTRATA"/>
      <sheetName val="Stripping"/>
      <sheetName val="Levels"/>
      <sheetName val="L-section"/>
      <sheetName val="Required Data"/>
      <sheetName val="Unit-II"/>
      <sheetName val="B-II_abst"/>
      <sheetName val="C_II_abst"/>
      <sheetName val="L.B.C. EW"/>
      <sheetName val="Jungle clerance"/>
      <sheetName val="Strip"/>
      <sheetName val="Lift calculation"/>
      <sheetName val="Sheet4"/>
      <sheetName val="Abstract of work"/>
      <sheetName val="Sheet2 (2)"/>
      <sheetName val="Sheet1 (2)"/>
      <sheetName val="Sheet3 (2)"/>
      <sheetName val="L_II_abst"/>
      <sheetName val="M_II_abst"/>
      <sheetName val="O_II_Abst"/>
      <sheetName val="P_II_abst"/>
      <sheetName val="R_II_abst"/>
      <sheetName val="T_II_abst"/>
      <sheetName val="T_II_abst_1"/>
      <sheetName val="Sheet1"/>
      <sheetName val="Sheet2"/>
      <sheetName val="Sheet3"/>
      <sheetName val="II.3. (7)"/>
      <sheetName val="II.3. (8)"/>
      <sheetName val="cot cal"/>
      <sheetName val="beni-sub area"/>
      <sheetName val="13)Consm-St (2)"/>
      <sheetName val="Spilway Exca (2)"/>
      <sheetName val="R Gate (2)"/>
      <sheetName val="Strata"/>
      <sheetName val="Detail of Sluice &amp; Flush Bar"/>
      <sheetName val="Consumption (3)"/>
      <sheetName val="Sheet5"/>
      <sheetName val="Gen Info"/>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2">
          <cell r="C12">
            <v>402.73</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ow r="20">
          <cell r="W20">
            <v>7.3195235851077511E-2</v>
          </cell>
        </row>
      </sheetData>
      <sheetData sheetId="105"/>
      <sheetData sheetId="106"/>
      <sheetData sheetId="107"/>
      <sheetData sheetId="108"/>
      <sheetData sheetId="109"/>
      <sheetData sheetId="110"/>
      <sheetData sheetId="111"/>
      <sheetData sheetId="112"/>
      <sheetData sheetId="113" refreshError="1"/>
      <sheetData sheetId="1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
      <sheetName val="wind for SP"/>
      <sheetName val="SP (4)"/>
      <sheetName val="wind for SP (4)"/>
      <sheetName val="footing Mx4"/>
      <sheetName val="footingMz4"/>
      <sheetName val="concrete ret wall"/>
      <sheetName val="Deck Slab"/>
      <sheetName val="concrete ret wall (2)"/>
      <sheetName val="footing (4)"/>
      <sheetName val="footing for SP"/>
      <sheetName val="footing for SP(2)"/>
      <sheetName val="Design Pad - 1"/>
      <sheetName val="Design Pad - 1 (2)"/>
      <sheetName val="slab bridge"/>
      <sheetName val="Box type"/>
      <sheetName val="pier"/>
      <sheetName val="footing"/>
      <sheetName val="Wind-old "/>
      <sheetName val="SP (2)"/>
      <sheetName val="SP (3)"/>
      <sheetName val="SP (with hloss for rec)"/>
      <sheetName val="Masonry"/>
      <sheetName val="Flight-1"/>
      <sheetName val="Typical beam calcn"/>
      <sheetName val="Sheet1"/>
      <sheetName val="Design_OLD"/>
      <sheetName val="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D&amp;I"/>
      <sheetName val="Table_3"/>
      <sheetName val="Abst.CWR"/>
      <sheetName val="CWR"/>
      <sheetName val="Crop Pattern "/>
      <sheetName val="Penmen ETO"/>
      <sheetName val="KC Values"/>
      <sheetName val="Annual Rainfall "/>
      <sheetName val="CCA_cal (2)"/>
      <sheetName val="AGR_Stati"/>
      <sheetName val="Table_5_Water_Planning"/>
      <sheetName val="Table_7,Hyd_Jum_WA"/>
      <sheetName val="Table_8_Design_Wast_weir_chanel"/>
      <sheetName val="Table_9_Ogee Spillway "/>
      <sheetName val="Table_10_Sluices_beni_LBC "/>
      <sheetName val="Table_11_Sluices_beni_RBC"/>
      <sheetName val="Unit_II"/>
      <sheetName val="Motlapura_Canal_Outlet"/>
      <sheetName val="Canal_Details"/>
      <sheetName val="Lulc_Submergence"/>
      <sheetName val="Area_Capacity"/>
      <sheetName val="Rainfall_K"/>
      <sheetName val="Binnies"/>
      <sheetName val="Rainfall"/>
      <sheetName val="Table_6,Waste_Weir "/>
      <sheetName val="Level Fixation"/>
      <sheetName val="US Use"/>
      <sheetName val="Planning"/>
      <sheetName val="Working Table"/>
      <sheetName val="S_1 (2)"/>
      <sheetName val="P.E"/>
      <sheetName val="Sheet1"/>
      <sheetName val="Sheet3"/>
      <sheetName val="Sheet2"/>
      <sheetName val="Sheet4"/>
      <sheetName val="Sheet5"/>
      <sheetName val="HFL Calculation"/>
      <sheetName val="L_section"/>
      <sheetName val="Bed Slope"/>
      <sheetName val="Hydr_Irr_Sluice"/>
      <sheetName val="Water_Planiing"/>
      <sheetName val="IWR_Rabi_CP1_Barwani_CWR"/>
      <sheetName val="Table_6"/>
      <sheetName val="S_2"/>
      <sheetName val="S_3"/>
      <sheetName val="Design of Canal"/>
      <sheetName val="S_2 (2)"/>
      <sheetName val="S_3 (2)"/>
      <sheetName val="Fixations_Principal_level"/>
      <sheetName val="Water_Planning_conti.."/>
      <sheetName val="Waste_Weir"/>
      <sheetName val="Unit-I"/>
      <sheetName val="cot cal"/>
      <sheetName val="Flocculator foo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Table_9(Old)"/>
      <sheetName val="Table_9"/>
      <sheetName val="WR"/>
      <sheetName val="Estimation_Final (R)"/>
      <sheetName val="Rainfall_Alirajpur"/>
      <sheetName val="Binnies"/>
      <sheetName val="Rainfall"/>
      <sheetName val="Fixation_Principal_Level"/>
      <sheetName val="Water_Planning"/>
      <sheetName val="WR (3)"/>
      <sheetName val="Waste_Weir"/>
      <sheetName val="Area_Capacity"/>
      <sheetName val="R-R Relation"/>
      <sheetName val="P.E"/>
      <sheetName val="Arc_GIS"/>
      <sheetName val="Sheet3"/>
      <sheetName val="Sheet2"/>
      <sheetName val="Water Use"/>
      <sheetName val="CA_Bhamo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3">
          <cell r="J23">
            <v>176.5</v>
          </cell>
        </row>
      </sheetData>
      <sheetData sheetId="16" refreshError="1"/>
      <sheetData sheetId="17">
        <row r="86">
          <cell r="E86">
            <v>626.68150000000003</v>
          </cell>
        </row>
      </sheetData>
      <sheetData sheetId="18">
        <row r="29">
          <cell r="E29">
            <v>0.49141219641800071</v>
          </cell>
        </row>
      </sheetData>
      <sheetData sheetId="19" refreshError="1"/>
      <sheetData sheetId="20">
        <row r="7">
          <cell r="R7">
            <v>257.50900000000001</v>
          </cell>
        </row>
      </sheetData>
      <sheetData sheetId="21"/>
      <sheetData sheetId="22"/>
      <sheetData sheetId="23">
        <row r="4">
          <cell r="AM4">
            <v>0.5</v>
          </cell>
        </row>
      </sheetData>
      <sheetData sheetId="24">
        <row r="5">
          <cell r="J5">
            <v>0</v>
          </cell>
        </row>
      </sheetData>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rgr"/>
      <sheetName val=" Submitd"/>
      <sheetName val=" P.M BR"/>
      <sheetName val="Sheet1"/>
      <sheetName val="Sheet4"/>
      <sheetName val="CC"/>
      <sheetName val="Rainfall_Alirajpur"/>
      <sheetName val="Fixation_Principal_Level"/>
      <sheetName val="WR"/>
      <sheetName val="Waste_Weir"/>
      <sheetName val="Binnies"/>
      <sheetName val="Area_Capacity"/>
      <sheetName val="CA_Bhamori"/>
      <sheetName val="Level Fix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Drinking &amp; Industrial Water use"/>
      <sheetName val="Table_3"/>
      <sheetName val="CWR"/>
      <sheetName val="Crop Pattern and Area"/>
      <sheetName val="Abst.CWR"/>
      <sheetName val="CCA_cal (2)"/>
      <sheetName val="Penmen ETO"/>
      <sheetName val="KC Values"/>
      <sheetName val="Annual Rainfall "/>
      <sheetName val="AGR_Stati"/>
      <sheetName val="Table_5_Water_Planning"/>
      <sheetName val="Table_7,Hyd_Jum_WA"/>
      <sheetName val="Table_6,Waste_Weir New"/>
      <sheetName val="Table_9_Ogee Spillway "/>
      <sheetName val="Table_10_Sluices_beni_LBC "/>
      <sheetName val="Table_11_Sluices_beni_RBC"/>
      <sheetName val="Table_8_Design_Wast_weir_spilch"/>
      <sheetName val="Table_8_Design_Wast_weir_chanel"/>
      <sheetName val="Working Table"/>
      <sheetName val="Table_8_Design_Wast_weir_flumin"/>
      <sheetName val="Unit_II"/>
      <sheetName val="Motlapura_Canal_Outlet"/>
      <sheetName val="Lulc_Submergence"/>
      <sheetName val="Canal_Details"/>
      <sheetName val="Table_6,Waste_Weir New Dhawaliy"/>
      <sheetName val="Rainfall_BHagwanpura"/>
      <sheetName val="Area_Capacity Bhilyapani"/>
      <sheetName val="Area_Capacity Dhawaliya"/>
      <sheetName val="Rainfall cal"/>
      <sheetName val="Binnies"/>
      <sheetName val="Rainfall"/>
      <sheetName val="Fixation_Principal_Level Bhelya"/>
      <sheetName val="Water Use US"/>
      <sheetName val="Water_Planning"/>
      <sheetName val="Fixation_Principal_Level Dhawal"/>
      <sheetName val="Water_Planning dhwaliya"/>
      <sheetName val="Design of Sluice LBC"/>
      <sheetName val="S_1 (2)"/>
      <sheetName val="P.E"/>
      <sheetName val="Sheet1"/>
      <sheetName val="Sheet3"/>
      <sheetName val="Sheet2"/>
      <sheetName val="Sheet4"/>
      <sheetName val="Sheet5"/>
      <sheetName val="HFL Calculation"/>
      <sheetName val="L_section"/>
      <sheetName val="Bed Slope"/>
      <sheetName val="Hydr_Irr_Sluice"/>
      <sheetName val="Water_Planiing"/>
      <sheetName val="IWR_Rabi_CP1_Barwani_CWR"/>
      <sheetName val="Table_6"/>
      <sheetName val="S_2"/>
      <sheetName val="S_3"/>
      <sheetName val="Design of Canal"/>
      <sheetName val="S_2 (2)"/>
      <sheetName val="S_3 (2)"/>
      <sheetName val="Fixations_Principal_level"/>
      <sheetName val="Water_Planning_conti.."/>
      <sheetName val="Waste_Weir"/>
      <sheetName val="Sheet6"/>
      <sheetName val="Inventory"/>
      <sheetName val="Rainfall_Alirajpur"/>
      <sheetName val="Fixation_Principal_Level"/>
      <sheetName val="WR"/>
      <sheetName val="Area_Capac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Rainfall_J"/>
      <sheetName val="D&amp;I"/>
      <sheetName val="Table_3"/>
      <sheetName val="CWR"/>
      <sheetName val="Abst.CWR"/>
      <sheetName val="Crop Pattern and Area (2)"/>
      <sheetName val="Penmen ETO"/>
      <sheetName val="KC Values"/>
      <sheetName val="Annual Rainfall "/>
      <sheetName val="CCA_cal (2)"/>
      <sheetName val="Area_Capacity"/>
      <sheetName val="AGR_Stati"/>
      <sheetName val="Table_5_Water_Planning"/>
      <sheetName val="Table_7,Hyd_Jum_WA"/>
      <sheetName val="Table_8_Design_Wast_weir_chanel"/>
      <sheetName val="Table_9_Ogee Spillway "/>
      <sheetName val="Table_10_Sluices_beni_LBC "/>
      <sheetName val="Table_11_Sluices_beni_RBC"/>
      <sheetName val="Fixation_Principal_Level"/>
      <sheetName val="Binnies"/>
      <sheetName val="Rainfall"/>
      <sheetName val="Table_6,Waste_Weir New"/>
      <sheetName val="Water Use US"/>
      <sheetName val="Water_Planning"/>
      <sheetName val="Working Table"/>
      <sheetName val="S_2 (2)"/>
      <sheetName val="S_1 (2)"/>
      <sheetName val="P.E"/>
      <sheetName val="Sheet1"/>
      <sheetName val="Sheet3"/>
      <sheetName val="Sheet2"/>
      <sheetName val="Sheet4"/>
      <sheetName val="Sheet5"/>
      <sheetName val="HFL Calculation"/>
      <sheetName val="L_section"/>
      <sheetName val="Bed Slope"/>
      <sheetName val="Hydr_Irr_Sluice"/>
      <sheetName val="Water_Planiing"/>
      <sheetName val="IWR_Rabi_CP1_Barwani_CWR"/>
      <sheetName val="Table_6"/>
      <sheetName val="S_2"/>
      <sheetName val="S_3"/>
      <sheetName val="Design of Canal"/>
      <sheetName val="S_3 (2)"/>
      <sheetName val="Fixations_Principal_level"/>
      <sheetName val="Water_Planning_conti.."/>
      <sheetName val="Waste_Weir"/>
      <sheetName val="Drinking &amp; Industrial Water use"/>
      <sheetName val="Area_Capacity Dhawaliya"/>
      <sheetName val="Fixation_Principal_Level Bhelya"/>
      <sheetName val="Fixation_Principal_Level Dhawal"/>
      <sheetName val="Area_Capacity Bhilyapani"/>
      <sheetName val="Rainfall_BHagwanpura"/>
      <sheetName val="Water_Planning dhwaliy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9">
          <cell r="E29">
            <v>1023.856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innies"/>
      <sheetName val="BC_Ration"/>
      <sheetName val="value_AF_P (2)"/>
      <sheetName val="value_BE_P (2)"/>
      <sheetName val="Cropping_pattern (2)"/>
      <sheetName val="capacity"/>
      <sheetName val="Fixation"/>
      <sheetName val="Unit I_G (2)"/>
      <sheetName val="Unit I_A"/>
      <sheetName val="Sheet1"/>
      <sheetName val="Sheet3"/>
      <sheetName val="A"/>
      <sheetName val="Unit I_L_WORK"/>
      <sheetName val="report"/>
      <sheetName val="Chart2"/>
      <sheetName val="Current"/>
      <sheetName val="Chart1"/>
      <sheetName val="Consumption (2)"/>
      <sheetName val="DET_FLS (2)"/>
      <sheetName val="Unit I_flushbar"/>
      <sheetName val="HYDRAULICS"/>
      <sheetName val="FAC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ent Features"/>
      <sheetName val="I.F."/>
      <sheetName val="Rainfall (2)"/>
      <sheetName val="R.Desc (2)"/>
      <sheetName val="R.Desc"/>
      <sheetName val="Us Uti (2)"/>
      <sheetName val="AC Table"/>
      <sheetName val="D&amp;I"/>
      <sheetName val="CCA"/>
      <sheetName val="CWR"/>
      <sheetName val="Abst.CWR_1000"/>
      <sheetName val="Abst.CWR"/>
      <sheetName val="CPA (RBC)"/>
      <sheetName val="IWR"/>
      <sheetName val="Planning"/>
      <sheetName val="Flood Storage For"/>
      <sheetName val="Sluice"/>
      <sheetName val="Sec. Des."/>
      <sheetName val="Ogee"/>
      <sheetName val="Sheet3"/>
      <sheetName val="Hyd Jump (2)"/>
      <sheetName val="JHC vs TWC"/>
      <sheetName val="Area"/>
      <sheetName val="CUT OFF"/>
      <sheetName val="W.T."/>
      <sheetName val="Unit I_L_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35">
          <cell r="F135" t="str">
            <v>Flush Bar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BS8007"/>
      <sheetName val="BS8007 (21)"/>
      <sheetName val="BS8007 (3)"/>
      <sheetName val="Sheet3"/>
      <sheetName val="Sheet2"/>
      <sheetName val="Sheet1"/>
      <sheetName val="Sheet4"/>
      <sheetName val="IS456"/>
      <sheetName val="TemplateInformation"/>
      <sheetName val="1) Volume - Calculation"/>
      <sheetName val="2)DESIGN CONSTANTS"/>
      <sheetName val="Planning"/>
    </sheetNames>
    <sheetDataSet>
      <sheetData sheetId="0"/>
      <sheetData sheetId="1">
        <row r="12">
          <cell r="F12">
            <v>600</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 of section-revised"/>
      <sheetName val="Newzero elevation-type II"/>
      <sheetName val="Sediment deposit-type II"/>
      <sheetName val="flood"/>
      <sheetName val="flood_hyd"/>
      <sheetName val="routing"/>
      <sheetName val="routing_hyd"/>
      <sheetName val="Area_Capacity"/>
      <sheetName val="Gora_exmp"/>
      <sheetName val="routing (2)"/>
      <sheetName val="Spill &amp; tail w.R"/>
      <sheetName val="FB_341.2"/>
      <sheetName val="FB_341.6"/>
      <sheetName val="FB_342"/>
      <sheetName val="FB-1"/>
      <sheetName val="IWR_Rabi_CP1_Barwani"/>
      <sheetName val="KC Values"/>
      <sheetName val="Crop Pattern and Area"/>
      <sheetName val="Penmen ETO"/>
      <sheetName val="VD_Mutmur"/>
      <sheetName val="CCA_cal (2)"/>
      <sheetName val="Fixation_Principal_Level"/>
      <sheetName val="Area_Capacity1"/>
      <sheetName val="Water_Planning"/>
      <sheetName val="Rainfall_Borkhedi"/>
      <sheetName val="bed_slope"/>
      <sheetName val="HFL Calculation"/>
      <sheetName val="HFL Calculation (routed)"/>
      <sheetName val="Y2_caln."/>
      <sheetName val="Spill-Hydro design"/>
      <sheetName val="Sluices_beni_LBC"/>
      <sheetName val="Sluices_beni_RBC"/>
      <sheetName val="HFL Calculation (routed) (2)"/>
      <sheetName val="FB_340"/>
      <sheetName val="Sheet10"/>
      <sheetName val="Sheet3"/>
      <sheetName val="BS8007"/>
    </sheetNames>
    <sheetDataSet>
      <sheetData sheetId="0"/>
      <sheetData sheetId="1">
        <row r="3">
          <cell r="Q3">
            <v>2.47105381467165E-4</v>
          </cell>
        </row>
      </sheetData>
      <sheetData sheetId="2"/>
      <sheetData sheetId="3"/>
      <sheetData sheetId="4"/>
      <sheetData sheetId="5"/>
      <sheetData sheetId="6"/>
      <sheetData sheetId="7"/>
      <sheetData sheetId="8"/>
      <sheetData sheetId="9">
        <row r="76">
          <cell r="C76">
            <v>337.8</v>
          </cell>
        </row>
      </sheetData>
      <sheetData sheetId="10"/>
      <sheetData sheetId="11"/>
      <sheetData sheetId="12"/>
      <sheetData sheetId="13"/>
      <sheetData sheetId="14"/>
      <sheetData sheetId="15"/>
      <sheetData sheetId="16"/>
      <sheetData sheetId="17"/>
      <sheetData sheetId="18"/>
      <sheetData sheetId="19"/>
      <sheetData sheetId="20"/>
      <sheetData sheetId="21">
        <row r="4">
          <cell r="O4">
            <v>24.233000000000001</v>
          </cell>
        </row>
      </sheetData>
      <sheetData sheetId="22">
        <row r="5">
          <cell r="A5">
            <v>1</v>
          </cell>
        </row>
      </sheetData>
      <sheetData sheetId="23">
        <row r="33">
          <cell r="J33">
            <v>2.9824720111490799</v>
          </cell>
        </row>
      </sheetData>
      <sheetData sheetId="24"/>
      <sheetData sheetId="25"/>
      <sheetData sheetId="26"/>
      <sheetData sheetId="27">
        <row r="1157">
          <cell r="E1157">
            <v>307.8</v>
          </cell>
        </row>
      </sheetData>
      <sheetData sheetId="28"/>
      <sheetData sheetId="29">
        <row r="85">
          <cell r="F85">
            <v>84.5</v>
          </cell>
        </row>
      </sheetData>
      <sheetData sheetId="30"/>
      <sheetData sheetId="31"/>
      <sheetData sheetId="32"/>
      <sheetData sheetId="33">
        <row r="138">
          <cell r="J138">
            <v>2</v>
          </cell>
        </row>
      </sheetData>
      <sheetData sheetId="34"/>
      <sheetData sheetId="35"/>
      <sheetData sheetId="3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haroundi  CURVE STA."/>
      <sheetName val="Lavel DATA"/>
      <sheetName val="CUT OFF  KHARONDHI MINOR-2"/>
      <sheetName val="AREA"/>
      <sheetName val="EW"/>
      <sheetName val="HYDRAULICS"/>
      <sheetName val="23_Design_Wast_weir_chanel"/>
      <sheetName val="Bed Slope"/>
      <sheetName val="Fixation_Principal_Level"/>
      <sheetName val="Drinking &amp; Industrial Water use"/>
      <sheetName val="Rainfall_Seagaon"/>
      <sheetName val="Fixations_Principal_level"/>
      <sheetName val="Hydraulic"/>
    </sheetNames>
    <sheetDataSet>
      <sheetData sheetId="0" refreshError="1"/>
      <sheetData sheetId="1">
        <row r="4">
          <cell r="G4">
            <v>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GN-ST-05"/>
      <sheetName val="CONTENTS"/>
      <sheetName val="basis"/>
      <sheetName val="Hydraulic design"/>
      <sheetName val="TROUGH "/>
      <sheetName val="Abutment Design"/>
      <sheetName val="Wing wall"/>
      <sheetName val="Hydraulic design (2)"/>
      <sheetName val="Appendix-A"/>
      <sheetName val="SP87.76-Design-09-12-06..."/>
      <sheetName val="head loss calc"/>
      <sheetName val="floor slab-RS2"/>
      <sheetName val="Flight-1"/>
      <sheetName val="1) Volume Cal"/>
      <sheetName val="BS8007"/>
      <sheetName val="Sheet1"/>
      <sheetName val="footing for SP"/>
      <sheetName val="Design_OLD"/>
      <sheetName val="Lead"/>
      <sheetName val="twoway"/>
      <sheetName val="loadcal"/>
      <sheetName val="Design"/>
      <sheetName val="Labour &amp; Plant"/>
      <sheetName val="Cover Sheet"/>
      <sheetName val="Index"/>
      <sheetName val="Introduction"/>
      <sheetName val="Description"/>
      <sheetName val="SB-Chk-W1 -I"/>
      <sheetName val="SB-Chk-W1 -II"/>
      <sheetName val="W3"/>
      <sheetName val="W1 footing I"/>
      <sheetName val="SPT vs PHI"/>
      <sheetName val="1-Pop Proj"/>
      <sheetName val="data"/>
    </sheetNames>
    <sheetDataSet>
      <sheetData sheetId="0" refreshError="1"/>
      <sheetData sheetId="1"/>
      <sheetData sheetId="2" refreshError="1"/>
      <sheetData sheetId="3"/>
      <sheetData sheetId="4"/>
      <sheetData sheetId="5"/>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oject at glance"/>
      <sheetName val="Index map"/>
      <sheetName val="CCA"/>
      <sheetName val="2_Brief_Desci"/>
      <sheetName val="3_Constituent_Statetement"/>
      <sheetName val="4-Salient_features"/>
      <sheetName val="5_General_Reports"/>
      <sheetName val="6_Comp_sur_ong_sch"/>
      <sheetName val="6_Comp_sur_ong_sch (2)"/>
      <sheetName val="7_Comp_Proposed_Schemes (2)"/>
      <sheetName val="7_Comp_Proposed_Schemes"/>
      <sheetName val="Sheet7"/>
      <sheetName val="Sheet8"/>
      <sheetName val="8_Interpretations_Soils"/>
      <sheetName val="9_AGR_Stati"/>
      <sheetName val="CENSUS aREA"/>
      <sheetName val="10_Rainfall_Data"/>
      <sheetName val="11_Rainfall_Runoff_jobat"/>
      <sheetName val="11_Rainfall_Runoff_Kogaon"/>
      <sheetName val="11.Rainfall_Runoff_Pati"/>
      <sheetName val="11_Rainfall_Runoff"/>
      <sheetName val="12_Dependable Yield"/>
      <sheetName val="13_Area_capacity_Table"/>
      <sheetName val="14_Fix_Leve_Table"/>
      <sheetName val="15_Water_Planning"/>
      <sheetName val="16_Drinking &amp; Ind Water use"/>
      <sheetName val="Badwani"/>
      <sheetName val="BADNAWAR"/>
      <sheetName val="17__Abst.CWR(Overall)"/>
      <sheetName val="17__Abst.CWR(Lift R)"/>
      <sheetName val="18_CWR(Overall)"/>
      <sheetName val="18_CWR(G)"/>
      <sheetName val="17__Abst.CWR(Gravity)"/>
      <sheetName val="IWR_Rabi_CP1_Alirajpur_CWR(G)"/>
      <sheetName val="18_CWR (Lift)"/>
      <sheetName val="IWR_Rabi_CP1_Alirajpur_CWR (Li)"/>
      <sheetName val="IWR_Rabi_CP1_Alirajpur_CWR( (O)"/>
      <sheetName val="19__Penmen ETO"/>
      <sheetName val="Table_4_Annual Rainfall "/>
      <sheetName val="20a_Sluices_beni_RBC"/>
      <sheetName val="20b_Sluices_balgaon_RBC "/>
      <sheetName val="21_Waste_Weir New"/>
      <sheetName val="Waste_Weir"/>
      <sheetName val="22_Ogee Spillway "/>
      <sheetName val="23_Design_Wast_weir_chanel"/>
      <sheetName val="Hyd_Jum_WA"/>
      <sheetName val="Chute fall Design"/>
      <sheetName val="Chute Fall"/>
      <sheetName val="Chute fall Design (2)"/>
      <sheetName val="Bed Slope"/>
      <sheetName val="Working Table"/>
      <sheetName val="Bed Slope (2)"/>
      <sheetName val="Baghad Spill channel"/>
      <sheetName val="24_General_Abstract"/>
      <sheetName val="25_a__BC"/>
      <sheetName val="25_b_before"/>
      <sheetName val="Binnies"/>
      <sheetName val="Table_4_KC Values"/>
      <sheetName val="26_General_Abstract_!2"/>
      <sheetName val="25_c_After"/>
      <sheetName val="Quary Map"/>
      <sheetName val="Collector_Rate"/>
      <sheetName val="Part-III,Check"/>
      <sheetName val="27-Preli_Check"/>
      <sheetName val="28_Proforma_2"/>
      <sheetName val="29_Proforma_3"/>
      <sheetName val="30_Stage_1_estimate"/>
      <sheetName val="31_Adminst_Appr"/>
      <sheetName val="32_Check_state_Irri"/>
      <sheetName val="Hindi Matrials"/>
      <sheetName val="Arc GIS DATA"/>
      <sheetName val="Area_Capacity"/>
      <sheetName val="Rainfall_Rajpura"/>
      <sheetName val="Water_Planning"/>
      <sheetName val="Fixation_Principal_Level"/>
      <sheetName val="Water Use US"/>
      <sheetName val="Sheet1"/>
      <sheetName val="Cut off"/>
      <sheetName val="Balgaon Tank_Dam_Profile"/>
      <sheetName val="FIRST"/>
      <sheetName val="Ene"/>
      <sheetName val="CODE BOOK REFERENCE"/>
      <sheetName val="Eg-2"/>
      <sheetName val="Eg-1"/>
      <sheetName val="Eg-3"/>
      <sheetName val="Eg-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8">
          <cell r="S58">
            <v>0</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39">
          <cell r="D39">
            <v>17.793278000000001</v>
          </cell>
        </row>
      </sheetData>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ea_Capacity"/>
      <sheetName val="type of section-revised"/>
      <sheetName val="Newzero elevation-type II"/>
      <sheetName val="Sediment deposit-type II"/>
      <sheetName val="flood"/>
      <sheetName val="flood_hyd"/>
      <sheetName val="routing"/>
      <sheetName val="routing_hyd"/>
      <sheetName val="Gora_exmp"/>
      <sheetName val="routing (2)"/>
      <sheetName val="Spill &amp; tail w.R"/>
      <sheetName val="FB_341.2"/>
      <sheetName val="FB_341.6"/>
      <sheetName val="FB_342"/>
      <sheetName val="Y2_caln."/>
      <sheetName val="FB-1"/>
      <sheetName val="IWR_Rabi_CP1_Barwani"/>
      <sheetName val="KC Values"/>
      <sheetName val="Crop Pattern and Area"/>
      <sheetName val="Penmen ETO"/>
      <sheetName val="VD_beni"/>
      <sheetName val="CCA_cal (2)"/>
      <sheetName val="Fixation_Principal_Level"/>
      <sheetName val="Area_Capacity1"/>
      <sheetName val="Working Table"/>
      <sheetName val="Water_Planning"/>
      <sheetName val="Rainfall_Borkhedi"/>
      <sheetName val="bed_slope"/>
      <sheetName val="HFL Calculation"/>
      <sheetName val="HFL Calculation (routed)"/>
      <sheetName val="Spill-Hydro design"/>
      <sheetName val="Sluices_beni_LBC"/>
      <sheetName val="Sluices_beni_RBC"/>
      <sheetName val="HFL Calculation (routed) (2)"/>
      <sheetName val="FB_340"/>
      <sheetName val="Sheet10"/>
      <sheetName val="Sheet3"/>
      <sheetName val="Waste_Weir"/>
      <sheetName val="Binnies"/>
      <sheetName val="Effective_Rainfall"/>
      <sheetName val="IWR_Rabi_CP1_Barwani_CWR"/>
      <sheetName val="I.P"/>
      <sheetName val="Sheet7"/>
      <sheetName val="Spill channel"/>
      <sheetName val="Table_1"/>
      <sheetName val="UH"/>
      <sheetName val="Ele-Capacity"/>
    </sheetNames>
    <sheetDataSet>
      <sheetData sheetId="0"/>
      <sheetData sheetId="1"/>
      <sheetData sheetId="2">
        <row r="3">
          <cell r="Q3">
            <v>2.47105381467165E-4</v>
          </cell>
        </row>
      </sheetData>
      <sheetData sheetId="3"/>
      <sheetData sheetId="4"/>
      <sheetData sheetId="5"/>
      <sheetData sheetId="6"/>
      <sheetData sheetId="7"/>
      <sheetData sheetId="8"/>
      <sheetData sheetId="9">
        <row r="76">
          <cell r="C76">
            <v>337.8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4">
          <cell r="O4">
            <v>26.543000000000003</v>
          </cell>
        </row>
      </sheetData>
      <sheetData sheetId="23">
        <row r="5">
          <cell r="A5">
            <v>1</v>
          </cell>
        </row>
      </sheetData>
      <sheetData sheetId="24"/>
      <sheetData sheetId="25">
        <row r="33">
          <cell r="J33">
            <v>2.9824720111490799</v>
          </cell>
        </row>
      </sheetData>
      <sheetData sheetId="26"/>
      <sheetData sheetId="27"/>
      <sheetData sheetId="28"/>
      <sheetData sheetId="29">
        <row r="1157">
          <cell r="E1157">
            <v>307.8</v>
          </cell>
        </row>
      </sheetData>
      <sheetData sheetId="30">
        <row r="85">
          <cell r="F85">
            <v>84.5</v>
          </cell>
        </row>
      </sheetData>
      <sheetData sheetId="31"/>
      <sheetData sheetId="32"/>
      <sheetData sheetId="33"/>
      <sheetData sheetId="34">
        <row r="138">
          <cell r="J138">
            <v>2</v>
          </cell>
        </row>
      </sheetData>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Table_9"/>
      <sheetName val="IF"/>
      <sheetName val="Weighted Rainfall"/>
      <sheetName val="Estimation_fINAL"/>
      <sheetName val="Area_Capacity"/>
      <sheetName val="Binnies"/>
      <sheetName val="Drinking &amp; Industrial Water use"/>
      <sheetName val="pop calc"/>
      <sheetName val="Fixation_Principal_Level"/>
      <sheetName val="Waste_Weir"/>
      <sheetName val="Ogee Spillway (2)"/>
      <sheetName val="Splii_Chanel_L_Section"/>
      <sheetName val="Lahargaon_Spill_Channel_Profile"/>
      <sheetName val="Existing and proposed schemes"/>
      <sheetName val="P.E"/>
      <sheetName val="area"/>
      <sheetName val="Sheet1"/>
      <sheetName val="Sheet3"/>
      <sheetName val="Sheet2"/>
      <sheetName val="CCA_cal (Gravity)"/>
      <sheetName val="CCA_cal (Lift)"/>
      <sheetName val="Penmen ETO"/>
      <sheetName val="CCA-All"/>
      <sheetName val="Annual Rainfall"/>
      <sheetName val="CCA for Gravity &amp; Lift "/>
      <sheetName val="CCA_cal"/>
      <sheetName val="CCA_cal (2)"/>
      <sheetName val="WR"/>
      <sheetName val="Annual Rainfall (L)"/>
      <sheetName val="Penmen ETO (L)"/>
      <sheetName val="Water_Planning"/>
      <sheetName val="Pump Capacity cal"/>
      <sheetName val="Design of Sluice"/>
      <sheetName val="Sump Chamber &amp; Dist. Chamber"/>
      <sheetName val="CWR(G)"/>
      <sheetName val="Crop Pattern and Area(G)"/>
      <sheetName val="IWR_Rabi_CP1_Barwani_CWR(G)"/>
      <sheetName val="CWR (L)"/>
      <sheetName val="Crop Pattern and Area (L)"/>
      <sheetName val="IWR_Rabi_CP1_Barwani_CWR (L)"/>
      <sheetName val="spill  L-SECTION OF LAHARGAON T"/>
      <sheetName val="Sheet1 (2)"/>
      <sheetName val="Spill channel"/>
      <sheetName val="Balancing_Profile"/>
      <sheetName val="Outlets"/>
      <sheetName val="Outlets (combined)"/>
      <sheetName val="Outlets (Lift_LBC)"/>
      <sheetName val="Outlets (Lift_RBC)"/>
      <sheetName val="DAM L-SECTION OF LAHARGAON TANK"/>
      <sheetName val="Submergence Details"/>
      <sheetName val="Submergence LULC"/>
      <sheetName val="Main canal"/>
      <sheetName val="RBC Lift"/>
      <sheetName val="LBC lift"/>
      <sheetName val="Sheet6"/>
      <sheetName val="basd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ow r="51">
          <cell r="K51">
            <v>1</v>
          </cell>
        </row>
      </sheetData>
      <sheetData sheetId="17" refreshError="1"/>
      <sheetData sheetId="18" refreshError="1"/>
      <sheetData sheetId="19"/>
      <sheetData sheetId="20"/>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ow r="216">
          <cell r="AA216">
            <v>1.3967372239384614</v>
          </cell>
        </row>
      </sheetData>
      <sheetData sheetId="48" refreshError="1"/>
      <sheetData sheetId="49" refreshError="1"/>
      <sheetData sheetId="50">
        <row r="216">
          <cell r="AA216">
            <v>2.8668505699076916</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heetName val="Estimate"/>
      <sheetName val="Abstract HR"/>
      <sheetName val="Consumption and lead statement "/>
      <sheetName val="Sheet3"/>
      <sheetName val="Material"/>
      <sheetName val="Labour"/>
      <sheetName val="Waste_Weir"/>
      <sheetName val="I.P"/>
      <sheetName val="Sheet7"/>
      <sheetName val="Water_Planning"/>
      <sheetName val="Spill channel"/>
      <sheetName val="Area_Capacity"/>
      <sheetName val="Ele-Capacity"/>
      <sheetName val="Effective_Rainf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
      <sheetName val="General Abs"/>
      <sheetName val="General Abs canal"/>
      <sheetName val="B-Land Canal"/>
      <sheetName val="C-MASONARY"/>
      <sheetName val="C -MASSONARY LBC "/>
      <sheetName val="L-EARTHWORK"/>
      <sheetName val="Canal Design Data"/>
      <sheetName val="Cutoff-RBC "/>
      <sheetName val="RBC"/>
      <sheetName val="Canal Design Data-R"/>
      <sheetName val="C&amp;F_MC-RBC"/>
      <sheetName val="ABS EARTH WORK-RBC"/>
      <sheetName val="Cal. of Balancing Depth_MC-L"/>
      <sheetName val="Table of BD Contour_MC-L"/>
      <sheetName val="Cutoff-LBC"/>
      <sheetName val="LBC"/>
      <sheetName val="Canal Design Data -R"/>
      <sheetName val="C&amp;F_MC-R"/>
      <sheetName val="ABS EARTH WORK -R"/>
      <sheetName val="Cal. of Balancing Depth_MC -R"/>
      <sheetName val="Table of BD Contour_MC-R"/>
      <sheetName val="Cutoff-mi"/>
      <sheetName val="minor"/>
      <sheetName val="Canal Design Data -mi"/>
      <sheetName val="C&amp;F_MC-min"/>
      <sheetName val="ABS EARTH WORK -minor"/>
      <sheetName val="Cal. of Balancing Depth_MC -min"/>
      <sheetName val="Table of BD Contour_MC-minor"/>
      <sheetName val="ABS LINING"/>
      <sheetName val="Summary"/>
      <sheetName val="LBC (2)"/>
      <sheetName val="LBC-2"/>
      <sheetName val="RBC "/>
      <sheetName val="RBC-2"/>
      <sheetName val="MINOR LINNING"/>
      <sheetName val="LINNING MINOR"/>
      <sheetName val="colba detail"/>
      <sheetName val="colba abs"/>
      <sheetName val="Cutoff-mi R-1"/>
      <sheetName val="minor R-1"/>
      <sheetName val="Canal Design Data -mi R-1"/>
      <sheetName val="C&amp;F_MC-min R-1"/>
      <sheetName val="ABS EARTH WORK -minor R-1"/>
      <sheetName val="Cal. of Balancing Depth_MC R-1"/>
      <sheetName val="Cutoff-mi R-2"/>
      <sheetName val="minor R-1 2"/>
      <sheetName val="Canal Design Data -mi R-2"/>
      <sheetName val="C&amp;F_MC-min R-2"/>
      <sheetName val="ABS EARTH WORK -minor R-2"/>
      <sheetName val="Cal. of Balancing Depth_MC  R2"/>
    </sheetNames>
    <sheetDataSet>
      <sheetData sheetId="0">
        <row r="2">
          <cell r="B2" t="str">
            <v>TENDUN NALLA  TANK PROJECT</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A_I-abst"/>
      <sheetName val="A-det"/>
      <sheetName val="A_I_abst"/>
      <sheetName val="C_I_abst"/>
      <sheetName val="C-I_abst"/>
      <sheetName val="Slui"/>
      <sheetName val="W-W"/>
      <sheetName val="Abs of sluice "/>
      <sheetName val="Detail of Sluice&amp; Flush Bar"/>
      <sheetName val="Consumption (2)"/>
      <sheetName val="C-well-Sluice-Det"/>
      <sheetName val="Abs. Spillway"/>
      <sheetName val="13)Consm-St"/>
      <sheetName val="Spilway Exca"/>
      <sheetName val="Conc"/>
      <sheetName val="Anchore &amp; Drill"/>
      <sheetName val="2) bar Sched"/>
      <sheetName val="R Gate"/>
      <sheetName val="C-Flush Bar-Det1"/>
      <sheetName val="L_I_Dam"/>
      <sheetName val="L_I_abst"/>
      <sheetName val="Unit-I _II"/>
      <sheetName val="Unit-I"/>
      <sheetName val="Abstract"/>
      <sheetName val="A_II_abst"/>
      <sheetName val="B-1-SATSOI"/>
      <sheetName val="C_Masonary(1)"/>
      <sheetName val="C_Masonary(2)_Sluice"/>
      <sheetName val="A_II_Det."/>
      <sheetName val="B_I_abst"/>
      <sheetName val="C"/>
      <sheetName val="C_MASONARY_WW "/>
      <sheetName val="C_MASONARY_Sluice"/>
      <sheetName val="Sump Well"/>
      <sheetName val="PUMP AND EQUIPMENT"/>
      <sheetName val="DISTRIBUTION CHAMBER"/>
      <sheetName val="K-I_abs"/>
      <sheetName val="L_Genral Abstract"/>
      <sheetName val="Clay blanket"/>
      <sheetName val="Sheet1 (3)"/>
      <sheetName val="Data Sheet"/>
      <sheetName val="M_I_abs"/>
      <sheetName val="O_I_abst"/>
      <sheetName val="P_I_abst"/>
      <sheetName val="R_I_abst"/>
      <sheetName val="X_I_abs"/>
      <sheetName val="Utilization"/>
      <sheetName val="Consumption"/>
      <sheetName val="Road"/>
      <sheetName val="Ralling"/>
      <sheetName val="Grouting"/>
      <sheetName val=" J.C"/>
      <sheetName val="Turfing"/>
      <sheetName val="Data"/>
      <sheetName val=" EW"/>
      <sheetName val="Pitch Toe S."/>
      <sheetName val="Pitch.Toe G."/>
      <sheetName val="Pitch. toe P"/>
      <sheetName val="Pitching Sand"/>
      <sheetName val="Pitching Qua"/>
      <sheetName val="Pitching"/>
      <sheetName val="Chimney Filter"/>
      <sheetName val="Inclind Fil. G."/>
      <sheetName val="Inclind Filter S"/>
      <sheetName val="BT"/>
      <sheetName val="Exca. Fil.,B.T."/>
      <sheetName val="Exca.Drain&amp;clasi"/>
      <sheetName val="Ext.Fil. Bot."/>
      <sheetName val="Ext. Fil. Top"/>
      <sheetName val="Ext.Fil.Gravel "/>
      <sheetName val="DS Toe Drain S."/>
      <sheetName val="DS Toe Drain G."/>
      <sheetName val="DS Toe Drain B."/>
      <sheetName val="C.O.T."/>
      <sheetName val="sOIL sTRATA"/>
      <sheetName val="Stripping"/>
      <sheetName val="Levels"/>
      <sheetName val="L-section"/>
      <sheetName val="Required Data"/>
      <sheetName val="Unit-II"/>
      <sheetName val="B-II_abst"/>
      <sheetName val="C_II_abst"/>
      <sheetName val="L.B.C. EW"/>
      <sheetName val="Jungle clerance"/>
      <sheetName val="Strip"/>
      <sheetName val="Lift calculation"/>
      <sheetName val="Sheet4"/>
      <sheetName val="Abstract of work"/>
      <sheetName val="Sheet2 (2)"/>
      <sheetName val="Sheet1 (2)"/>
      <sheetName val="Sheet3 (2)"/>
      <sheetName val="L_II_abst"/>
      <sheetName val="M_II_abst"/>
      <sheetName val="O_II_Abst"/>
      <sheetName val="P_II_abst"/>
      <sheetName val="R_II_abst"/>
      <sheetName val="T_II_abst"/>
      <sheetName val="T_II_abst_1"/>
      <sheetName val="Sheet1"/>
      <sheetName val="Sheet2"/>
      <sheetName val="Sheet3"/>
      <sheetName val="II.3. (7)"/>
      <sheetName val="II.3. (8)"/>
      <sheetName val="cot cal"/>
      <sheetName val="beni-sub area"/>
      <sheetName val="13)Consm-St (2)"/>
      <sheetName val="Spilway Exca (2)"/>
      <sheetName val="R Gate (2)"/>
      <sheetName val="Strata"/>
      <sheetName val="Detail of Sluice &amp; Flush Bar"/>
      <sheetName val="Consumption (3)"/>
      <sheetName val="Sheet5"/>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20">
          <cell r="W20">
            <v>7.3195235851077511E-2</v>
          </cell>
        </row>
      </sheetData>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ltya barrage LS"/>
      <sheetName val="S_1"/>
      <sheetName val="Table_1"/>
      <sheetName val="Cropping Pattern"/>
      <sheetName val="WR (3)"/>
      <sheetName val="Stability of Dam"/>
      <sheetName val="Hatni_River_Barrage_LS"/>
      <sheetName val="HFL Calculation"/>
      <sheetName val="Afflux Calculation"/>
      <sheetName val="Scoring Depth"/>
      <sheetName val="Estimation_detailed"/>
      <sheetName val="Estimation_Final (R)"/>
      <sheetName val="Area_Capacity"/>
      <sheetName val="Rainfall_Alirajpur"/>
      <sheetName val="Estimation"/>
      <sheetName val="Sheet1"/>
      <sheetName val="Sheet2"/>
      <sheetName val="Binnies Table"/>
      <sheetName val="Heran_River_ARC GIS"/>
      <sheetName val="Sheet4"/>
      <sheetName val="Basic Data Sheet"/>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row r="98">
          <cell r="D98">
            <v>1515.8720000000001</v>
          </cell>
        </row>
      </sheetData>
      <sheetData sheetId="14" refreshError="1"/>
      <sheetData sheetId="15"/>
      <sheetData sheetId="16" refreshError="1"/>
      <sheetData sheetId="17"/>
      <sheetData sheetId="18" refreshError="1"/>
      <sheetData sheetId="19"/>
      <sheetData sheetId="2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WR"/>
      <sheetName val="Water_Planning"/>
      <sheetName val="Waste_Weir"/>
      <sheetName val="Fixation_Principal_Level"/>
      <sheetName val="Area_Capacity"/>
      <sheetName val="Rainfall_Khargone"/>
      <sheetName val="Binnies"/>
      <sheetName val="Estimation"/>
      <sheetName val="Sheet1"/>
      <sheetName val="Sheet3"/>
      <sheetName val="Sheet2"/>
      <sheetName val="Rainfall_Alirajpur"/>
      <sheetName val="Area_Capacity_GOI_BARRAGE"/>
    </sheetNames>
    <sheetDataSet>
      <sheetData sheetId="0"/>
      <sheetData sheetId="1"/>
      <sheetData sheetId="2"/>
      <sheetData sheetId="3"/>
      <sheetData sheetId="4">
        <row r="8">
          <cell r="B8">
            <v>255</v>
          </cell>
        </row>
      </sheetData>
      <sheetData sheetId="5"/>
      <sheetData sheetId="6">
        <row r="6">
          <cell r="C6" t="str">
            <v>Cotton-Improved</v>
          </cell>
        </row>
      </sheetData>
      <sheetData sheetId="7"/>
      <sheetData sheetId="8">
        <row r="13">
          <cell r="F13" t="str">
            <v>Flush Bar</v>
          </cell>
        </row>
      </sheetData>
      <sheetData sheetId="9">
        <row r="35">
          <cell r="D35">
            <v>489.45632942424248</v>
          </cell>
        </row>
      </sheetData>
      <sheetData sheetId="10">
        <row r="23">
          <cell r="J23">
            <v>362.8</v>
          </cell>
        </row>
      </sheetData>
      <sheetData sheetId="11"/>
      <sheetData sheetId="12">
        <row r="3">
          <cell r="U3" t="str">
            <v>Flush Bar</v>
          </cell>
        </row>
      </sheetData>
      <sheetData sheetId="13">
        <row r="2">
          <cell r="P2">
            <v>1.29</v>
          </cell>
        </row>
      </sheetData>
      <sheetData sheetId="14">
        <row r="5">
          <cell r="A5">
            <v>1</v>
          </cell>
        </row>
      </sheetData>
      <sheetData sheetId="15">
        <row r="3">
          <cell r="C3" t="str">
            <v>Khargone</v>
          </cell>
        </row>
      </sheetData>
      <sheetData sheetId="16">
        <row r="2">
          <cell r="E2">
            <v>12.798349</v>
          </cell>
        </row>
      </sheetData>
      <sheetData sheetId="17">
        <row r="19">
          <cell r="Q19">
            <v>0.8125</v>
          </cell>
        </row>
      </sheetData>
      <sheetData sheetId="18"/>
      <sheetData sheetId="19"/>
      <sheetData sheetId="20"/>
      <sheetData sheetId="21" refreshError="1"/>
      <sheetData sheetId="2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SONKHEDI SAILENT FEATURES"/>
      <sheetName val="Sheet1"/>
      <sheetName val="Sheet6"/>
      <sheetName val="Sheet7"/>
      <sheetName val="80"/>
      <sheetName val="Sheet2"/>
      <sheetName val="Sheet4"/>
      <sheetName val="Rainfall_Khargone"/>
    </sheetNames>
    <sheetDataSet>
      <sheetData sheetId="0"/>
      <sheetData sheetId="1"/>
      <sheetData sheetId="2">
        <row r="2">
          <cell r="A2" t="str">
            <v>S.No.</v>
          </cell>
        </row>
      </sheetData>
      <sheetData sheetId="3"/>
      <sheetData sheetId="4"/>
      <sheetData sheetId="5">
        <row r="3">
          <cell r="A3" t="str">
            <v>Information for Integrated Water Resources Management</v>
          </cell>
        </row>
      </sheetData>
      <sheetData sheetId="6"/>
      <sheetData sheetId="7"/>
      <sheetData sheetId="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Barrage Design (F)"/>
      <sheetName val="UndersluiceBay(F)"/>
      <sheetName val="OtherBarrageBay(F)"/>
      <sheetName val="Spillway rating curve"/>
      <sheetName val="Satge Discharge Curve"/>
      <sheetName val="Table_4"/>
      <sheetName val="WR-Final"/>
      <sheetName val="L Section of Satwadi Barrage"/>
      <sheetName val="Area_Capacity"/>
      <sheetName val="WRF"/>
      <sheetName val="Rainfall"/>
      <sheetName val="Arc_GIS"/>
      <sheetName val="Sheet2"/>
      <sheetName val="Rainfall Ratio"/>
      <sheetName val="Sept-Runoff data  at Kogaon"/>
      <sheetName val="Rainfall Runoff Eq"/>
      <sheetName val="Influence Factor"/>
      <sheetName val="Rainfall for Satwari"/>
      <sheetName val="Stability of Dam"/>
      <sheetName val="Sheet1"/>
      <sheetName val="Estimation_detailed"/>
      <sheetName val="Final Abstract"/>
      <sheetName val="Canal Discharge &amp; Section"/>
      <sheetName val="80"/>
    </sheetNames>
    <sheetDataSet>
      <sheetData sheetId="0" refreshError="1"/>
      <sheetData sheetId="1"/>
      <sheetData sheetId="2" refreshError="1"/>
      <sheetData sheetId="3">
        <row r="4">
          <cell r="AX4">
            <v>0.2</v>
          </cell>
        </row>
      </sheetData>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sign"/>
      <sheetName val="GENERAL ABSTRACT"/>
      <sheetName val="Report"/>
      <sheetName val="abstract VRB 1478"/>
      <sheetName val="deatil of quantity"/>
      <sheetName val="Consumption and lead statement "/>
      <sheetName val="Sheet1"/>
      <sheetName val="KM WISE LEAD REVISED SANAURA"/>
      <sheetName val="SECTION"/>
      <sheetName val="reinforcement"/>
      <sheetName val="Sheet2"/>
      <sheetName val="Flight-1"/>
    </sheetNames>
    <sheetDataSet>
      <sheetData sheetId="0" refreshError="1"/>
      <sheetData sheetId="1"/>
      <sheetData sheetId="2" refreshError="1"/>
      <sheetData sheetId="3" refreshError="1"/>
      <sheetData sheetId="4" refreshError="1"/>
      <sheetData sheetId="5"/>
      <sheetData sheetId="6"/>
      <sheetData sheetId="7"/>
      <sheetData sheetId="8" refreshError="1"/>
      <sheetData sheetId="9"/>
      <sheetData sheetId="10"/>
      <sheetData sheetId="11" refreshError="1"/>
      <sheetData sheetId="1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
      <sheetName val="Below_Earth"/>
      <sheetName val="Below_Water"/>
      <sheetName val="Ld_Diagms"/>
      <sheetName val="OUTPUT_MEMBER"/>
      <sheetName val="OUTPUT_REACTIONS"/>
      <sheetName val="RWALL_MAX"/>
      <sheetName val="RWALL_MIN"/>
      <sheetName val="HEADWALL"/>
      <sheetName val="AREA-VELOCITY"/>
      <sheetName val="OtherBarrageBay(F)"/>
      <sheetName val="routing (2)"/>
      <sheetName val="Fixation_Principal_Level"/>
      <sheetName val="Spill-Hydro design"/>
      <sheetName val="HFL Calculation (routed)"/>
      <sheetName val="Basic Data Sheet"/>
    </sheetNames>
    <sheetDataSet>
      <sheetData sheetId="0"/>
      <sheetData sheetId="1">
        <row r="12">
          <cell r="H12">
            <v>25</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
      <sheetName val="DATA"/>
      <sheetName val="TRAIL PIT DETAILS"/>
      <sheetName val="HYDRAULIC"/>
      <sheetName val="US HFL"/>
      <sheetName val="DS HFL "/>
      <sheetName val="VENT DESIGN "/>
      <sheetName val="TRANSITIONS"/>
      <sheetName val="TRAINED NALA"/>
      <sheetName val="AFF DRAW"/>
      <sheetName val="AFFLUX CALC"/>
      <sheetName val="PROTECTION"/>
      <sheetName val="Profile"/>
      <sheetName val="BLOCK LEVELS"/>
      <sheetName val="NALA PROFILE"/>
      <sheetName val="Below_Earth"/>
      <sheetName val="routing (2)"/>
      <sheetName val="Fixation_Principal_Level"/>
      <sheetName val="Spill-Hydro design"/>
      <sheetName val="HFL Calculation (routed)"/>
    </sheetNames>
    <sheetDataSet>
      <sheetData sheetId="0"/>
      <sheetData sheetId="1">
        <row r="8">
          <cell r="G8" t="str">
            <v>Super-passage  @ Ch:12+067 Km-Design</v>
          </cell>
        </row>
      </sheetData>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etail"/>
      <sheetName val="Index"/>
      <sheetName val="Introduction"/>
      <sheetName val="1) Volume - Calculation"/>
      <sheetName val="2)Top Dome-design"/>
      <sheetName val="3)Cylindrical Wall-Forces"/>
      <sheetName val="4) CYL Wall DESIGN-Design"/>
      <sheetName val="5)Middle Ring Beam Design"/>
      <sheetName val="6)Conical Dome Forces"/>
      <sheetName val="7)Conical Dome Design"/>
      <sheetName val="8)Bottom Dome "/>
      <sheetName val="9) Bottom RB"/>
      <sheetName val="10)Analysis of Staging"/>
      <sheetName val="11)Columns"/>
      <sheetName val="12) Brace typical"/>
      <sheetName val="13)Spiral S C"/>
      <sheetName val="14) Pile Forces-Nos"/>
      <sheetName val="14)PILE CAP"/>
      <sheetName val="15)piledesign"/>
      <sheetName val="9)Bottom Ring  Beam "/>
      <sheetName val="12)Column Design"/>
      <sheetName val="TemplateInformation"/>
      <sheetName val="DATA"/>
      <sheetName val="routing (2)"/>
      <sheetName val="Fixation_Principal_Level"/>
      <sheetName val="Spill-Hydro design"/>
      <sheetName val="HFL Calculation (routed)"/>
      <sheetName val="Below_Earth"/>
    </sheetNames>
    <sheetDataSet>
      <sheetData sheetId="0"/>
      <sheetData sheetId="1">
        <row r="29">
          <cell r="B29">
            <v>40287</v>
          </cell>
        </row>
      </sheetData>
      <sheetData sheetId="2">
        <row r="5">
          <cell r="E5" t="str">
            <v>0-24-10-CV-700-CMR-DOC1-R(1)</v>
          </cell>
        </row>
      </sheetData>
      <sheetData sheetId="3"/>
      <sheetData sheetId="4">
        <row r="6">
          <cell r="E6" t="str">
            <v>0-24-10-CV-700-CMR-DOC1-R(1)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_General_Reports"/>
      <sheetName val="S_2_Comp_sur_ong_sch"/>
      <sheetName val="S_2_Comp_Proposed_Schemes"/>
      <sheetName val="S_2_Interpretations_Soils"/>
      <sheetName val="Constituent_Statetement"/>
      <sheetName val="Table_1"/>
      <sheetName val="Table_2"/>
      <sheetName val="Drinking &amp; Industrial Water use"/>
      <sheetName val="Table_3"/>
      <sheetName val="CWR"/>
      <sheetName val="CWR(below)"/>
      <sheetName val="Abst.CWR"/>
      <sheetName val="17__Abst.CWR"/>
      <sheetName val="Crop Pattern and Area"/>
      <sheetName val="18_CWR"/>
      <sheetName val="Crop Pattern and Area (2)"/>
      <sheetName val="IWR_Rabi_CP1_Barwani_CWR"/>
      <sheetName val="IWR_Rabi_CP1_Khandwa_CWR"/>
      <sheetName val="CCA_cal (2)"/>
      <sheetName val="Penmen ETO"/>
      <sheetName val="KC Values"/>
      <sheetName val="Annual Rainfall "/>
      <sheetName val="AGR_Stati"/>
      <sheetName val="Table_5_Water_Planning"/>
      <sheetName val="Table_7,Hyd_Jum_WA"/>
      <sheetName val="Table_6,Waste_Weir New"/>
      <sheetName val="Table_9_Ogee Spillway "/>
      <sheetName val="Table_10_Sluices_beni_LBC "/>
      <sheetName val="Table_11_Sluices_beni_RBC"/>
      <sheetName val="Table_8_Design_Wast_weir_spilch"/>
      <sheetName val="Table_8_Design_Wast_weir_chanel"/>
      <sheetName val="Working Table"/>
      <sheetName val="Table_8_Design_Wast_weir_flumin"/>
      <sheetName val="Unit_II"/>
      <sheetName val="Motlapura_Canal_Outlet"/>
      <sheetName val="Lulc_Submergence"/>
      <sheetName val="Canal_Details"/>
      <sheetName val="Table_6,Waste_Weir New Dhawaliy"/>
      <sheetName val="Rainfall_Khandwa"/>
      <sheetName val="Area_Capacity "/>
      <sheetName val="Area_Capacity Dhawaliya"/>
      <sheetName val="Rainfall cal"/>
      <sheetName val="Binnies"/>
      <sheetName val="Rainfall"/>
      <sheetName val="Fixation_Principal_Level "/>
      <sheetName val="Water Use US"/>
      <sheetName val="Water_Planning"/>
      <sheetName val="Fixation_Principal_Level Dhawal"/>
      <sheetName val="Water_Planning dhwaliya"/>
      <sheetName val="Design of Sluice LBC"/>
      <sheetName val="S_1 (2)"/>
      <sheetName val="P.E"/>
      <sheetName val="Sheet1"/>
      <sheetName val="Sheet3"/>
      <sheetName val="Sheet2"/>
      <sheetName val="Sheet4"/>
      <sheetName val="Sheet5"/>
      <sheetName val="HFL Calculation"/>
      <sheetName val="L_section"/>
      <sheetName val="Bed Slope"/>
      <sheetName val="Hydr_Irr_Sluice"/>
      <sheetName val="Water_Planiing"/>
      <sheetName val="Table_6"/>
      <sheetName val="S_2"/>
      <sheetName val="S_3"/>
      <sheetName val="Design of Canal"/>
      <sheetName val="S_2 (2)"/>
      <sheetName val="S_3 (2)"/>
      <sheetName val="Fixations_Principal_level"/>
      <sheetName val="Water_Planning_conti.."/>
      <sheetName val="Waste_Weir"/>
      <sheetName val="Sheet6"/>
      <sheetName val="1) Volume - Calcu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7">
          <cell r="P57">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row r="16">
          <cell r="O16">
            <v>0.9</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row r="93">
          <cell r="E93">
            <v>851.83400000000006</v>
          </cell>
        </row>
      </sheetData>
      <sheetData sheetId="40">
        <row r="7">
          <cell r="B7">
            <v>317.5</v>
          </cell>
        </row>
      </sheetData>
      <sheetData sheetId="41">
        <row r="6">
          <cell r="B6">
            <v>412</v>
          </cell>
        </row>
      </sheetData>
      <sheetData sheetId="42"/>
      <sheetData sheetId="43"/>
      <sheetData sheetId="44"/>
      <sheetData sheetId="45">
        <row r="3">
          <cell r="P3">
            <v>0.86260000000000014</v>
          </cell>
        </row>
      </sheetData>
      <sheetData sheetId="46"/>
      <sheetData sheetId="47">
        <row r="32">
          <cell r="I32">
            <v>0.16976293762461539</v>
          </cell>
        </row>
      </sheetData>
      <sheetData sheetId="48">
        <row r="17">
          <cell r="H17" t="e">
            <v>#DIV/0!</v>
          </cell>
        </row>
      </sheetData>
      <sheetData sheetId="49">
        <row r="33">
          <cell r="E33">
            <v>0.1565</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AL4">
            <v>1</v>
          </cell>
        </row>
      </sheetData>
      <sheetData sheetId="72"/>
      <sheetData sheetId="7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t HR "/>
      <sheetName val="Abt HR  (2)"/>
      <sheetName val="consumption of material (2)"/>
      <sheetName val="Detailed Estimate"/>
      <sheetName val="Entry Sheet"/>
      <sheetName val="consumption of material"/>
      <sheetName val="ASHA"/>
      <sheetName val="Sheet3"/>
      <sheetName val="Sheet4"/>
      <sheetName val="Sheet1"/>
      <sheetName val="Fixation_Principal_Level "/>
      <sheetName val="1) Volume - Calculation"/>
      <sheetName val="De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in Fall"/>
      <sheetName val="Yield"/>
      <sheetName val="Effective Rainfall"/>
      <sheetName val="Capacity Table"/>
      <sheetName val="Evp Los"/>
      <sheetName val="Principal Lavel"/>
      <sheetName val="Crop Pattern"/>
      <sheetName val="Crop Pattern_RBC"/>
      <sheetName val="Crop Pattern_LBC"/>
      <sheetName val="Capacity_Utilization"/>
      <sheetName val="Working Table"/>
      <sheetName val="Design of Sluice"/>
      <sheetName val="Ogee Shape WW"/>
      <sheetName val="Flood&amp;F_Lift"/>
      <sheetName val="Design of Spill Channel"/>
      <sheetName val="WW"/>
      <sheetName val="CALC_MC_Flows"/>
      <sheetName val="Chak Detail"/>
      <sheetName val="BASIC DATA"/>
      <sheetName val="Bottam width of Dam"/>
      <sheetName val="jungle Clearence"/>
      <sheetName val="Benching"/>
      <sheetName val="Puddle Trench"/>
      <sheetName val="Boulder Toe"/>
      <sheetName val="Filter"/>
      <sheetName val="Pitching"/>
      <sheetName val="Moorum Spr_Bund"/>
      <sheetName val="WW_S Ch_E W"/>
      <sheetName val="Lo_Tr_Drain"/>
      <sheetName val="Tank E-W"/>
      <sheetName val="Seepage Drain"/>
      <sheetName val="Table"/>
      <sheetName val="Canal Design Data"/>
      <sheetName val="Canal_Design"/>
      <sheetName val="Cal. of Balancing Depth_RBC"/>
      <sheetName val="Table of BD Contour_RBC"/>
      <sheetName val="Canal Design_RBC"/>
      <sheetName val="Canal _C&amp;F_RBC"/>
      <sheetName val="Canal Design_LBC"/>
      <sheetName val="Cal. of Balancing Depth_LBC"/>
      <sheetName val="Table of BD Contour_LBC"/>
      <sheetName val="Canal _C&amp;F_LBC"/>
      <sheetName val="Pre &amp; Post Development"/>
      <sheetName val="B.C.Ratio"/>
      <sheetName val="E.R.R. "/>
      <sheetName val="Emp_Gen"/>
      <sheetName val="Lead of Material"/>
      <sheetName val="G.A."/>
      <sheetName val="G.A.Unit I"/>
      <sheetName val="&quot;A&quot;_I"/>
      <sheetName val="&quot;B&quot; Land_I"/>
      <sheetName val="Abstract &quot;C&quot;_I"/>
      <sheetName val="Sluice(Abs)_C_I"/>
      <sheetName val="WW(Abs)_C_I"/>
      <sheetName val="Abstract &quot;L&quot;_I "/>
      <sheetName val="&quot;L&quot; E-work_I_(Abs)"/>
      <sheetName val="Spill chanal(Abs)_L_I"/>
      <sheetName val="&quot;P&quot; Maintenance_I"/>
      <sheetName val="G.A.Unit II"/>
      <sheetName val="&quot;A&quot;_II"/>
      <sheetName val="&quot;B&quot; Land_II"/>
      <sheetName val="Abstract &quot;C&quot;_II"/>
      <sheetName val="V.R.B._II"/>
      <sheetName val="C.D._II"/>
      <sheetName val="Fall_1.20_II"/>
      <sheetName val="Fall_0.60_II"/>
      <sheetName val="&quot;L&quot; E_W_II"/>
      <sheetName val="&quot;O&quot; Misc_II"/>
      <sheetName val="&quot;P&quot; Maintenance_II"/>
      <sheetName val="ww(Est)"/>
      <sheetName val="Sluice(Est)"/>
      <sheetName val="21_Waste_Weir New"/>
      <sheetName val="Fixation_Principal_Level"/>
      <sheetName val="Rainfall_Khandw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1">
          <cell r="B21" t="str">
            <v>Deduct Qty of Boulder Toe</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
          <cell r="C3" t="str">
            <v>GENERAL ABSTRACT</v>
          </cell>
        </row>
        <row r="4">
          <cell r="C4" t="str">
            <v>S.No.</v>
          </cell>
          <cell r="D4" t="str">
            <v>Sub Head</v>
          </cell>
          <cell r="E4" t="str">
            <v>Amount in Lakh</v>
          </cell>
          <cell r="F4" t="str">
            <v>Remark</v>
          </cell>
        </row>
        <row r="5">
          <cell r="C5">
            <v>1</v>
          </cell>
          <cell r="D5" t="str">
            <v>Unit-I Head Work</v>
          </cell>
          <cell r="E5">
            <v>679.52520792810878</v>
          </cell>
        </row>
        <row r="6">
          <cell r="C6">
            <v>2</v>
          </cell>
          <cell r="D6" t="str">
            <v>Unit II Canal</v>
          </cell>
          <cell r="E6">
            <v>1167.4245468343156</v>
          </cell>
        </row>
        <row r="7">
          <cell r="D7" t="str">
            <v>Total</v>
          </cell>
          <cell r="E7">
            <v>1846.9497547624244</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HYDRAULICS"/>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Detailed Estimate"/>
      <sheetName val="Des"/>
    </sheetNames>
    <sheetDataSet>
      <sheetData sheetId="0"/>
      <sheetData sheetId="1"/>
      <sheetData sheetId="2"/>
      <sheetData sheetId="3"/>
      <sheetData sheetId="4"/>
      <sheetData sheetId="5"/>
      <sheetData sheetId="6"/>
      <sheetData sheetId="7"/>
      <sheetData sheetId="8"/>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Design"/>
      <sheetName val="tables"/>
      <sheetName val="Wing Wall Design "/>
      <sheetName val="Drawing Data "/>
      <sheetName val="raft"/>
      <sheetName val="SLAB APPROCH"/>
      <sheetName val="SLAB REIN"/>
      <sheetName val="Schedule of Reinforcement"/>
      <sheetName val="Detail of  Quantities "/>
      <sheetName val="Abstract of Cost"/>
      <sheetName val="Consumption and lead statement "/>
      <sheetName val="diversion road"/>
      <sheetName val="abs of diversion"/>
      <sheetName val="consum of diversion"/>
      <sheetName val="Sheet1"/>
      <sheetName val="Sheet4"/>
      <sheetName val="ABSTRACT"/>
      <sheetName val="CODE BOOK REFERENCE"/>
      <sheetName val="Eg-2"/>
      <sheetName val="Eg-1"/>
      <sheetName val="Eg-3"/>
      <sheetName val="Eg-4"/>
      <sheetName val="FIRS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
      <sheetName val="Design"/>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Pier Design(with offset)"/>
      <sheetName val="Desig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CAL"/>
      <sheetName val="PIPE LOAD DESIGN"/>
      <sheetName val="Ene"/>
      <sheetName val="GATE OPER. SLAB"/>
      <sheetName val="Gate Qty"/>
      <sheetName val="GATE HEADWALL"/>
      <sheetName val="GUIDEWALL"/>
      <sheetName val="Design Drawing"/>
      <sheetName val="CODE BOOK REFERENCE"/>
      <sheetName val="CHECK LIST"/>
      <sheetName val="Notes"/>
      <sheetName val="Sheet1"/>
      <sheetName val="Design_OLD"/>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port"/>
      <sheetName val="genral abstract"/>
      <sheetName val="Design"/>
      <sheetName val="DRawing "/>
      <sheetName val="Abstract"/>
      <sheetName val="Estmate"/>
      <sheetName val="Consumption and lead statement "/>
      <sheetName val="WING WALL SECTIONS"/>
      <sheetName val="KM WISE LEAD"/>
      <sheetName val="US WW"/>
      <sheetName val="WW Near Crest"/>
      <sheetName val="DS WW"/>
      <sheetName val="reinforcement"/>
      <sheetName val="hyd"/>
      <sheetName val="DETAILED"/>
      <sheetName val="Pier Design(with offset)"/>
      <sheetName val="A"/>
    </sheetNames>
    <sheetDataSet>
      <sheetData sheetId="0"/>
      <sheetData sheetId="1"/>
      <sheetData sheetId="2"/>
      <sheetData sheetId="3">
        <row r="3">
          <cell r="G3">
            <v>4.0389999999999997</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_ABDULLAPURA"/>
      <sheetName val="Sheet2"/>
      <sheetName val="Working_table (2)"/>
      <sheetName val="Working_table"/>
      <sheetName val="water"/>
      <sheetName val="fixation"/>
      <sheetName val="Cropping_pattern"/>
      <sheetName val="Unit I"/>
      <sheetName val="Unit I_P"/>
      <sheetName val="consum_Sluice"/>
      <sheetName val="Est_sluice"/>
      <sheetName val="Unit I_B"/>
      <sheetName val="Unit I_O"/>
      <sheetName val="Sheet1"/>
      <sheetName val="approach_to_sluice"/>
      <sheetName val="Slope_cutting_nall_clea"/>
      <sheetName val="Spill_area"/>
      <sheetName val="Approach_Abst"/>
      <sheetName val="Approach_area"/>
      <sheetName val="Earth_work_abst"/>
      <sheetName val="Earth_work"/>
      <sheetName val="A"/>
      <sheetName val="Cut_off_PITCHING"/>
      <sheetName val="Spill_Abst_27p"/>
      <sheetName val="SEEPAGE"/>
      <sheetName val="BT_EX"/>
      <sheetName val="Unit I_A"/>
      <sheetName val="Current"/>
      <sheetName val="Chart1"/>
      <sheetName val="Before_this"/>
      <sheetName val="Nalla_Clear"/>
      <sheetName val="Boulder_toe"/>
      <sheetName val="Gravel_layer"/>
      <sheetName val="Sand_layer"/>
      <sheetName val="Exca_B_Toe"/>
      <sheetName val="open_drain"/>
      <sheetName val="CUT_OFF"/>
      <sheetName val="Tot_puddle"/>
      <sheetName val="puddle_cover"/>
      <sheetName val="puddle"/>
      <sheetName val="Bench"/>
      <sheetName val="JC"/>
      <sheetName val="Fall_4"/>
      <sheetName val="Abst_flushbar"/>
      <sheetName val="Utilization"/>
      <sheetName val="Est_flushbar"/>
      <sheetName val="consum_Flush"/>
      <sheetName val="Fall_4 (2)"/>
      <sheetName val="consum_fall_4"/>
      <sheetName val="consum_chute"/>
      <sheetName val="AB_sluice (2)"/>
      <sheetName val="consum_slui"/>
      <sheetName val="Qt_pitching"/>
      <sheetName val="Qt_boulder_edging"/>
      <sheetName val="Qt_turfing"/>
      <sheetName val="Qt_Approach"/>
      <sheetName val="Qt_Spill"/>
      <sheetName val="Unit I_L_WORK (2)"/>
      <sheetName val="Before"/>
      <sheetName val="Ogee_detail"/>
      <sheetName val="consum_Ogee"/>
      <sheetName val="consum_chute (2)"/>
      <sheetName val="Chute_detail"/>
      <sheetName val="Chute_fall"/>
      <sheetName val="Ogee_Fall"/>
      <sheetName val="AB_sluice"/>
      <sheetName val="EARTH_WK"/>
      <sheetName val="Spill"/>
      <sheetName val="Qt_Spill (2)"/>
      <sheetName val="Uti_Eart_work"/>
      <sheetName val="Unit I_L_WORK"/>
      <sheetName val="UNIT_IST_C_MAS"/>
      <sheetName val="UNIT_IST_C_MAS (2)"/>
      <sheetName val="Design"/>
      <sheetName val="DETAILED"/>
      <sheetName val="Pier Design(with offs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ver"/>
      <sheetName val="CP"/>
      <sheetName val="MDS"/>
      <sheetName val="NMH"/>
      <sheetName val="Contents"/>
      <sheetName val="abs"/>
      <sheetName val="Summary"/>
      <sheetName val="CheckList"/>
      <sheetName val=" F-1"/>
      <sheetName val="F-2A"/>
      <sheetName val=" F-2B"/>
      <sheetName val="F-4"/>
      <sheetName val="Ex CD"/>
      <sheetName val="Test"/>
      <sheetName val="Traffic"/>
      <sheetName val="PD"/>
      <sheetName val="Crust Details"/>
      <sheetName val=" F-6"/>
      <sheetName val="Curve Desigen"/>
      <sheetName val="Ew_Qty"/>
      <sheetName val="TBM list"/>
      <sheetName val="cd list"/>
      <sheetName val="Hydrolic"/>
      <sheetName val="cd_1-row"/>
      <sheetName val="cd_2-row"/>
      <sheetName val="fcw_20_30m"/>
      <sheetName val="VCW_2"/>
      <sheetName val="VCW_4"/>
      <sheetName val="VCW_6"/>
      <sheetName val="VCW_10"/>
      <sheetName val="VCW_20"/>
      <sheetName val="protection"/>
      <sheetName val="3X3X8 BOX"/>
      <sheetName val="slab 3 mX1"/>
      <sheetName val="SC_2.0"/>
      <sheetName val="SC_1.5"/>
      <sheetName val="SC_xX2m"/>
      <sheetName val="SC_xX3m"/>
      <sheetName val="SC_xX3mA"/>
      <sheetName val="BQ"/>
      <sheetName val="P-4"/>
      <sheetName val="A"/>
      <sheetName val="B"/>
      <sheetName val="Format-B"/>
      <sheetName val="Curve"/>
      <sheetName val="Design"/>
    </sheetNames>
    <sheetDataSet>
      <sheetData sheetId="0"/>
      <sheetData sheetId="1"/>
      <sheetData sheetId="2"/>
      <sheetData sheetId="3"/>
      <sheetData sheetId="4" refreshError="1"/>
      <sheetData sheetId="5" refreshError="1"/>
      <sheetData sheetId="6" refreshError="1"/>
      <sheetData sheetId="7"/>
      <sheetData sheetId="8" refreshError="1"/>
      <sheetData sheetId="9"/>
      <sheetData sheetId="10" refreshError="1"/>
      <sheetData sheetId="11" refreshError="1"/>
      <sheetData sheetId="12"/>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ATA"/>
      <sheetName val="HYDRAULIC"/>
      <sheetName val="US HFL"/>
      <sheetName val="DS HFL "/>
      <sheetName val="VENT DESIGN "/>
      <sheetName val="Side walls-Slab"/>
      <sheetName val="TRANSITIONS"/>
      <sheetName val="TRAINED NALA"/>
      <sheetName val="Side walls (earth)"/>
      <sheetName val="AFFLUX CALC"/>
      <sheetName val="PROTECTION"/>
      <sheetName val="AFF DRAW"/>
      <sheetName val="TEL CALC"/>
      <sheetName val="NALA-LS"/>
      <sheetName val="X-BOX HYD"/>
      <sheetName val="X-TRAIL PIT DETAILS"/>
      <sheetName val="X-BLOCK LEVELS"/>
      <sheetName val="MACRO-BACK UP"/>
      <sheetName val="Side walls_Slab"/>
      <sheetName val="Side walls _earth_"/>
      <sheetName val="NALA_LS"/>
      <sheetName val="X_BOX HYD"/>
      <sheetName val="X_TRAIL PIT DETAILS"/>
      <sheetName val="X_BLOCK LEVELS"/>
      <sheetName val="MACRO_BACK UP"/>
      <sheetName val="BQ"/>
      <sheetName val="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1">
          <cell r="H1" t="str">
            <v>*</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BQ"/>
      <sheetName val="I.P"/>
      <sheetName val="Sheet7"/>
      <sheetName val="Water_Planning"/>
      <sheetName val="Spill channel"/>
      <sheetName val="Area_Capacity"/>
      <sheetName val="Ele-Capacity"/>
      <sheetName val="Waste_Weir"/>
      <sheetName val="Effective_Rainfa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2)"/>
      <sheetName val="Power  Cal"/>
      <sheetName val="sample calculation"/>
      <sheetName val="30 HA CHAK "/>
      <sheetName val="NODE LEVEL"/>
      <sheetName val="PIPE LENGTH"/>
      <sheetName val="5822THICKNESS TABLE"/>
      <sheetName val="4984HDPE THICKNESS TABLE"/>
      <sheetName val="AREA STATEMENT "/>
      <sheetName val="TOTAL AREA"/>
      <sheetName val="AREA CALCULATION"/>
      <sheetName val="Sheet1"/>
      <sheetName val="VERFICATION SHEET"/>
      <sheetName val="Ameerganj"/>
      <sheetName val="Palaspani"/>
      <sheetName val="Pattalai"/>
      <sheetName val="Sheet1 (2)"/>
      <sheetName val="VILLAGE AREA"/>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 sheetId="12"/>
      <sheetData sheetId="13" refreshError="1"/>
      <sheetData sheetId="14"/>
      <sheetData sheetId="15"/>
      <sheetData sheetId="16"/>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7-Indore &amp; Khandwa"/>
      <sheetName val="Letter"/>
      <sheetName val="BQ"/>
      <sheetName val="Material"/>
      <sheetName val="Labour"/>
      <sheetName val="Chapter-8"/>
      <sheetName val="Chapter-11"/>
      <sheetName val="Chapter-15"/>
      <sheetName val="Chapter-5"/>
      <sheetName val="Chapter-4"/>
      <sheetName val="Chapter-14"/>
      <sheetName val="Chapter-9"/>
      <sheetName val="kachC"/>
      <sheetName val="2"/>
      <sheetName val="Plant &amp;  Machinery"/>
      <sheetName val="Chapter-7"/>
      <sheetName val="Chapter-6"/>
      <sheetName val="Chapter-10"/>
      <sheetName val="Chapter-13"/>
      <sheetName val="Chapter-3"/>
      <sheetName val="Chapter-12"/>
      <sheetName val="Chapter-2"/>
      <sheetName val="4"/>
      <sheetName val="FRL-OGL"/>
      <sheetName val="8"/>
      <sheetName val="PROCTOR"/>
      <sheetName val="DETAILED"/>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 val="PLAN_FEB97"/>
      <sheetName val="D.E."/>
      <sheetName val="Abs_Road"/>
      <sheetName val="Unconnected"/>
      <sheetName val="Abstract."/>
      <sheetName val="Estimate_Slab"/>
      <sheetName val="F8"/>
      <sheetName val="RA-1"/>
      <sheetName val=" Master list AM "/>
      <sheetName val="R.A."/>
      <sheetName val="Rabi old"/>
      <sheetName val="ewst"/>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s."/>
      <sheetName val="Table_1"/>
      <sheetName val="Table_2"/>
      <sheetName val="Table_3"/>
      <sheetName val="Table_4"/>
      <sheetName val="Table_5"/>
      <sheetName val="Table_6"/>
      <sheetName val="Table_7"/>
      <sheetName val="estimated value"/>
      <sheetName val="Estimation"/>
      <sheetName val="WR"/>
      <sheetName val="Rainfall_Bhikangaon"/>
      <sheetName val="Binnies"/>
      <sheetName val="Water_Planning"/>
      <sheetName val="Sheet1"/>
      <sheetName val="Area_Capacity"/>
      <sheetName val="Fixation_Principal_Level"/>
      <sheetName val="CP_IWR"/>
      <sheetName val="Waste_Weir"/>
      <sheetName val="Canal_Design"/>
      <sheetName val="Kc_Values"/>
      <sheetName val="wtr pln minor-2"/>
      <sheetName val="Fixation of levels"/>
      <sheetName val="Khargoan-RF"/>
      <sheetName val="Sheet11"/>
      <sheetName val="WP-DPR1 (2)"/>
      <sheetName val="WP-DPR1"/>
      <sheetName val="Resvr Storage"/>
      <sheetName val="Crop proposed"/>
      <sheetName val="wtr pln-minor-1"/>
      <sheetName val="cwr-rice 1HYVTP"/>
      <sheetName val="cwr- rice local 2bi"/>
      <sheetName val="cwr- ground nut"/>
      <sheetName val="cwr- wheat 1mv"/>
      <sheetName val="cwr- wheat 0 lv"/>
      <sheetName val="Sheet2"/>
      <sheetName val="Letter"/>
      <sheetName val="DETAILED"/>
    </sheetNames>
    <sheetDataSet>
      <sheetData sheetId="0"/>
      <sheetData sheetId="1"/>
      <sheetData sheetId="2">
        <row r="6">
          <cell r="F6" t="str">
            <v>Sangwi Tank No 1</v>
          </cell>
        </row>
      </sheetData>
      <sheetData sheetId="3"/>
      <sheetData sheetId="4"/>
      <sheetData sheetId="5"/>
      <sheetData sheetId="6"/>
      <sheetData sheetId="7"/>
      <sheetData sheetId="8"/>
      <sheetData sheetId="9"/>
      <sheetData sheetId="10">
        <row r="39">
          <cell r="C39">
            <v>629.64345672494187</v>
          </cell>
        </row>
      </sheetData>
      <sheetData sheetId="11"/>
      <sheetData sheetId="12"/>
      <sheetData sheetId="13"/>
      <sheetData sheetId="14">
        <row r="72">
          <cell r="E72">
            <v>694.45</v>
          </cell>
        </row>
      </sheetData>
      <sheetData sheetId="15">
        <row r="2">
          <cell r="E2">
            <v>9.17</v>
          </cell>
        </row>
      </sheetData>
      <sheetData sheetId="16"/>
      <sheetData sheetId="17"/>
      <sheetData sheetId="18"/>
      <sheetData sheetId="19">
        <row r="2">
          <cell r="P2">
            <v>1.396613925</v>
          </cell>
        </row>
      </sheetData>
      <sheetData sheetId="20">
        <row r="33">
          <cell r="D33">
            <v>0</v>
          </cell>
        </row>
      </sheetData>
      <sheetData sheetId="21">
        <row r="22">
          <cell r="X22">
            <v>365253.36203098606</v>
          </cell>
        </row>
      </sheetData>
      <sheetData sheetId="22"/>
      <sheetData sheetId="23">
        <row r="4">
          <cell r="D4" t="str">
            <v>Cotton (Improved)</v>
          </cell>
        </row>
      </sheetData>
      <sheetData sheetId="24"/>
      <sheetData sheetId="25"/>
      <sheetData sheetId="26"/>
      <sheetData sheetId="27">
        <row r="1">
          <cell r="B1" t="str">
            <v>Khargoan</v>
          </cell>
        </row>
      </sheetData>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sheetName val="Table_8"/>
      <sheetName val="Estimation_fINAL"/>
      <sheetName val="WR (Barwani Block)"/>
      <sheetName val="Table_9"/>
      <sheetName val="WR_Final"/>
      <sheetName val="WR (3)"/>
      <sheetName val="Sheet5"/>
      <sheetName val="Estimation_Final (R)"/>
      <sheetName val="Area &amp; Stats"/>
      <sheetName val="Binnies"/>
      <sheetName val="Malveli tank_Rainfall"/>
      <sheetName val="Rainfall_Jobat_Rainfall_Runoff"/>
      <sheetName val="Area_Capacity"/>
      <sheetName val="Rainfall"/>
      <sheetName val="Fixation_Principal_Level"/>
      <sheetName val="WR (2)"/>
      <sheetName val="Water_Planning"/>
      <sheetName val="Waste_Weir"/>
      <sheetName val="P.E"/>
      <sheetName val="Sheet1"/>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23">
          <cell r="D23">
            <v>1781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3">
          <cell r="J23">
            <v>2202.7999999999997</v>
          </cell>
        </row>
      </sheetData>
      <sheetData sheetId="16" refreshError="1"/>
      <sheetData sheetId="17" refreshError="1"/>
      <sheetData sheetId="18" refreshError="1"/>
      <sheetData sheetId="19" refreshError="1"/>
      <sheetData sheetId="20" refreshError="1"/>
      <sheetData sheetId="21">
        <row r="87">
          <cell r="FF87">
            <v>0.1365124779249999</v>
          </cell>
        </row>
      </sheetData>
      <sheetData sheetId="22" refreshError="1"/>
      <sheetData sheetId="23" refreshError="1"/>
      <sheetData sheetId="24" refreshError="1"/>
      <sheetData sheetId="25">
        <row r="23">
          <cell r="J23">
            <v>12.4</v>
          </cell>
        </row>
      </sheetData>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_1"/>
      <sheetName val="S_2"/>
      <sheetName val="S_3"/>
      <sheetName val="Table_1"/>
      <sheetName val="Table_2"/>
      <sheetName val="Table_3"/>
      <sheetName val="Table_4"/>
      <sheetName val="Table_5"/>
      <sheetName val="Table_6"/>
      <sheetName val="Table_7 (2)"/>
      <sheetName val="Table_7"/>
      <sheetName val="estimated value"/>
      <sheetName val="Estimation_Final"/>
      <sheetName val="Contour _Area"/>
      <sheetName val="Area_Capacity"/>
      <sheetName val="Rainfall_Mhow"/>
      <sheetName val="Binnies"/>
      <sheetName val="Fixation_Principal_Level"/>
      <sheetName val="WR"/>
      <sheetName val="Water_Planning"/>
      <sheetName val="Waste_Weir"/>
      <sheetName val="Sheet1"/>
      <sheetName val="Sheet3"/>
      <sheetName val="count"/>
      <sheetName val="Kc_Values"/>
      <sheetName val="ABS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A5">
            <v>1</v>
          </cell>
        </row>
      </sheetData>
      <sheetData sheetId="15"/>
      <sheetData sheetId="16">
        <row r="7">
          <cell r="E7">
            <v>1.8665750769999998</v>
          </cell>
        </row>
      </sheetData>
      <sheetData sheetId="17">
        <row r="2">
          <cell r="P2">
            <v>0.3874236146363953</v>
          </cell>
        </row>
      </sheetData>
      <sheetData sheetId="18">
        <row r="23">
          <cell r="J23">
            <v>52.6</v>
          </cell>
        </row>
      </sheetData>
      <sheetData sheetId="19"/>
      <sheetData sheetId="20">
        <row r="3">
          <cell r="U3" t="str">
            <v>Flush Bar</v>
          </cell>
        </row>
      </sheetData>
      <sheetData sheetId="21"/>
      <sheetData sheetId="22"/>
      <sheetData sheetId="23"/>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image" Target="../media/image3.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7"/>
  <sheetViews>
    <sheetView view="pageBreakPreview" zoomScale="60" zoomScaleNormal="100" workbookViewId="0">
      <selection sqref="A1:I2"/>
    </sheetView>
  </sheetViews>
  <sheetFormatPr defaultColWidth="9.109375" defaultRowHeight="13.8" x14ac:dyDescent="0.25"/>
  <cols>
    <col min="1" max="5" width="9.6640625" style="1" customWidth="1"/>
    <col min="6" max="6" width="11.5546875" style="1" customWidth="1"/>
    <col min="7" max="7" width="9.6640625" style="1" customWidth="1"/>
    <col min="8" max="8" width="6.5546875" style="1" customWidth="1"/>
    <col min="9" max="9" width="4.88671875" style="1" customWidth="1"/>
    <col min="10" max="10" width="10.6640625" style="1" customWidth="1"/>
    <col min="11" max="16384" width="9.109375" style="1"/>
  </cols>
  <sheetData>
    <row r="1" spans="1:12" ht="20.25" customHeight="1" x14ac:dyDescent="0.25">
      <c r="A1" s="1050" t="s">
        <v>0</v>
      </c>
      <c r="B1" s="1051"/>
      <c r="C1" s="1051"/>
      <c r="D1" s="1051"/>
      <c r="E1" s="1051"/>
      <c r="F1" s="1051"/>
      <c r="G1" s="1051"/>
      <c r="H1" s="1051"/>
      <c r="I1" s="1052"/>
    </row>
    <row r="2" spans="1:12" ht="9" customHeight="1" x14ac:dyDescent="0.25">
      <c r="A2" s="1053"/>
      <c r="B2" s="1054"/>
      <c r="C2" s="1054"/>
      <c r="D2" s="1054"/>
      <c r="E2" s="1054"/>
      <c r="F2" s="1054"/>
      <c r="G2" s="1054"/>
      <c r="H2" s="1054"/>
      <c r="I2" s="1055"/>
    </row>
    <row r="3" spans="1:12" ht="15" customHeight="1" x14ac:dyDescent="0.25">
      <c r="A3" s="1056" t="str">
        <f>L9</f>
        <v>WATER RESOURCES DEPARTMENT</v>
      </c>
      <c r="B3" s="1057"/>
      <c r="C3" s="1057"/>
      <c r="D3" s="1057"/>
      <c r="E3" s="1057"/>
      <c r="F3" s="1057"/>
      <c r="G3" s="1057"/>
      <c r="H3" s="1057"/>
      <c r="I3" s="1058"/>
    </row>
    <row r="4" spans="1:12" ht="18" customHeight="1" x14ac:dyDescent="0.25">
      <c r="A4" s="1056"/>
      <c r="B4" s="1057"/>
      <c r="C4" s="1057"/>
      <c r="D4" s="1057"/>
      <c r="E4" s="1057"/>
      <c r="F4" s="1057"/>
      <c r="G4" s="1057"/>
      <c r="H4" s="1057"/>
      <c r="I4" s="1058"/>
    </row>
    <row r="5" spans="1:12" ht="17.399999999999999" x14ac:dyDescent="0.3">
      <c r="A5" s="2"/>
      <c r="C5" s="3"/>
      <c r="D5" s="3"/>
      <c r="E5" s="3"/>
      <c r="F5" s="3"/>
      <c r="G5" s="3"/>
      <c r="H5" s="3"/>
      <c r="I5" s="4"/>
    </row>
    <row r="6" spans="1:12" x14ac:dyDescent="0.25">
      <c r="A6" s="2"/>
      <c r="I6" s="5"/>
    </row>
    <row r="7" spans="1:12" x14ac:dyDescent="0.25">
      <c r="A7" s="2"/>
      <c r="I7" s="5"/>
    </row>
    <row r="8" spans="1:12" x14ac:dyDescent="0.25">
      <c r="A8" s="2"/>
      <c r="I8" s="5"/>
    </row>
    <row r="9" spans="1:12" ht="26.25" customHeight="1" x14ac:dyDescent="0.3">
      <c r="A9" s="2"/>
      <c r="I9" s="5"/>
      <c r="L9" t="s">
        <v>1</v>
      </c>
    </row>
    <row r="10" spans="1:12" x14ac:dyDescent="0.25">
      <c r="A10" s="2"/>
      <c r="I10" s="5"/>
    </row>
    <row r="11" spans="1:12" ht="43.5" hidden="1" customHeight="1" x14ac:dyDescent="0.35">
      <c r="A11" s="1059" t="s">
        <v>2</v>
      </c>
      <c r="B11" s="1060"/>
      <c r="C11" s="1060"/>
      <c r="D11" s="1060"/>
      <c r="E11" s="1060"/>
      <c r="F11" s="1060"/>
      <c r="G11" s="1060"/>
      <c r="H11" s="1060"/>
      <c r="I11" s="1061"/>
    </row>
    <row r="12" spans="1:12" ht="43.5" customHeight="1" x14ac:dyDescent="0.35">
      <c r="A12" s="6"/>
      <c r="B12" s="7"/>
      <c r="C12" s="7"/>
      <c r="D12" s="7"/>
      <c r="E12" s="7"/>
      <c r="F12" s="7"/>
      <c r="G12" s="7"/>
      <c r="H12" s="7"/>
      <c r="I12" s="8"/>
    </row>
    <row r="13" spans="1:12" ht="14.25" customHeight="1" x14ac:dyDescent="0.25">
      <c r="A13" s="9"/>
      <c r="B13" s="10"/>
      <c r="C13" s="10"/>
      <c r="D13" s="10"/>
      <c r="E13" s="10"/>
      <c r="F13" s="10"/>
      <c r="G13" s="10"/>
      <c r="H13" s="10"/>
      <c r="I13" s="11"/>
    </row>
    <row r="14" spans="1:12" ht="40.5" customHeight="1" x14ac:dyDescent="0.25">
      <c r="A14" s="2"/>
      <c r="I14" s="5"/>
    </row>
    <row r="15" spans="1:12" ht="30" customHeight="1" x14ac:dyDescent="0.3">
      <c r="A15" s="12"/>
      <c r="B15" s="1046" t="s">
        <v>1</v>
      </c>
      <c r="C15" s="1046"/>
      <c r="D15" s="1046"/>
      <c r="E15" s="1046"/>
      <c r="F15" s="1046"/>
      <c r="G15" s="1046"/>
      <c r="H15" s="1046"/>
      <c r="I15" s="13"/>
    </row>
    <row r="16" spans="1:12" ht="30.75" customHeight="1" x14ac:dyDescent="0.3">
      <c r="A16" s="12"/>
      <c r="B16" s="1046" t="s">
        <v>673</v>
      </c>
      <c r="C16" s="1046"/>
      <c r="D16" s="1046"/>
      <c r="E16" s="1046"/>
      <c r="F16" s="1046"/>
      <c r="G16" s="1046"/>
      <c r="H16" s="1046"/>
      <c r="I16" s="4"/>
    </row>
    <row r="17" spans="1:9" ht="30.75" customHeight="1" x14ac:dyDescent="0.25">
      <c r="A17" s="2"/>
      <c r="B17" s="14"/>
      <c r="C17" s="14"/>
      <c r="D17" s="14"/>
      <c r="E17" s="14"/>
      <c r="F17" s="14"/>
      <c r="G17" s="14"/>
      <c r="H17" s="14"/>
      <c r="I17" s="15"/>
    </row>
    <row r="18" spans="1:9" ht="20.399999999999999" x14ac:dyDescent="0.25">
      <c r="A18" s="1047" t="s">
        <v>677</v>
      </c>
      <c r="B18" s="1048"/>
      <c r="C18" s="1048"/>
      <c r="D18" s="1048"/>
      <c r="E18" s="1048"/>
      <c r="F18" s="1048"/>
      <c r="G18" s="1048"/>
      <c r="H18" s="1048"/>
      <c r="I18" s="1049"/>
    </row>
    <row r="19" spans="1:9" ht="23.25" customHeight="1" x14ac:dyDescent="0.25">
      <c r="A19" s="16"/>
      <c r="B19" s="17"/>
      <c r="C19" s="17"/>
      <c r="D19" s="17"/>
      <c r="E19" s="17"/>
      <c r="F19" s="17"/>
      <c r="G19" s="17"/>
      <c r="H19" s="17"/>
      <c r="I19" s="18"/>
    </row>
    <row r="20" spans="1:9" ht="20.25" customHeight="1" x14ac:dyDescent="0.25">
      <c r="A20" s="1047" t="s">
        <v>674</v>
      </c>
      <c r="B20" s="1048"/>
      <c r="C20" s="1048"/>
      <c r="D20" s="1048"/>
      <c r="E20" s="1048"/>
      <c r="F20" s="1048"/>
      <c r="G20" s="1048"/>
      <c r="H20" s="1048"/>
      <c r="I20" s="1049"/>
    </row>
    <row r="21" spans="1:9" ht="20.25" customHeight="1" x14ac:dyDescent="0.25">
      <c r="A21" s="1037"/>
      <c r="B21" s="1038"/>
      <c r="C21" s="1038"/>
      <c r="D21" s="1038"/>
      <c r="E21" s="1038"/>
      <c r="F21" s="1038"/>
      <c r="G21" s="1038"/>
      <c r="H21" s="1038"/>
      <c r="I21" s="1039"/>
    </row>
    <row r="22" spans="1:9" ht="20.25" customHeight="1" x14ac:dyDescent="0.25">
      <c r="A22" s="1037"/>
      <c r="B22" s="1038"/>
      <c r="C22" s="1038"/>
      <c r="D22" s="1038"/>
      <c r="E22" s="1038"/>
      <c r="F22" s="1038"/>
      <c r="G22" s="1038"/>
      <c r="H22" s="1038"/>
      <c r="I22" s="1039"/>
    </row>
    <row r="23" spans="1:9" ht="23.25" customHeight="1" x14ac:dyDescent="0.3">
      <c r="A23" s="12"/>
      <c r="I23" s="4"/>
    </row>
    <row r="24" spans="1:9" ht="23.25" customHeight="1" x14ac:dyDescent="0.3">
      <c r="A24" s="12"/>
      <c r="I24" s="4"/>
    </row>
    <row r="25" spans="1:9" ht="18" customHeight="1" x14ac:dyDescent="0.25">
      <c r="A25" s="2"/>
      <c r="B25" s="14"/>
      <c r="C25" s="14"/>
      <c r="D25" s="14"/>
      <c r="E25" s="14"/>
      <c r="F25" s="14"/>
      <c r="G25" s="14"/>
      <c r="H25" s="14"/>
      <c r="I25" s="15"/>
    </row>
    <row r="26" spans="1:9" ht="18.75" customHeight="1" x14ac:dyDescent="0.25">
      <c r="A26" s="19"/>
      <c r="B26" s="20"/>
      <c r="C26" s="20"/>
      <c r="D26" s="20"/>
      <c r="E26" s="20"/>
      <c r="F26" s="20"/>
      <c r="G26" s="20"/>
      <c r="H26" s="20"/>
      <c r="I26" s="21"/>
    </row>
    <row r="27" spans="1:9" ht="18" customHeight="1" thickBot="1" x14ac:dyDescent="0.3">
      <c r="A27" s="22"/>
      <c r="B27" s="23"/>
      <c r="C27" s="23"/>
      <c r="D27" s="23"/>
      <c r="E27" s="23"/>
      <c r="F27" s="23"/>
      <c r="G27" s="23"/>
      <c r="H27" s="23"/>
      <c r="I27" s="24"/>
    </row>
  </sheetData>
  <customSheetViews>
    <customSheetView guid="{5161B42F-120B-436B-80F4-9BB578173AD5}" hiddenRows="1" topLeftCell="A7">
      <selection sqref="A1:I2"/>
      <pageMargins left="0.70866141732283505" right="0.70866141732283505" top="0.74803149606299202" bottom="0.74803149606299202" header="0.31496062992126" footer="0.31496062992126"/>
      <printOptions horizontalCentered="1"/>
      <pageSetup orientation="portrait" r:id="rId1"/>
      <headerFooter>
        <oddFooter>&amp;R&amp;P</oddFooter>
      </headerFooter>
    </customSheetView>
  </customSheetViews>
  <mergeCells count="7">
    <mergeCell ref="B15:H15"/>
    <mergeCell ref="B16:H16"/>
    <mergeCell ref="A18:I18"/>
    <mergeCell ref="A20:I20"/>
    <mergeCell ref="A1:I2"/>
    <mergeCell ref="A3:I4"/>
    <mergeCell ref="A11:I11"/>
  </mergeCells>
  <printOptions horizontalCentered="1"/>
  <pageMargins left="0.70866141732283505" right="0.70866141732283505" top="0.74803149606299202" bottom="0.74803149606299202" header="0.31496062992126" footer="0.31496062992126"/>
  <pageSetup orientation="portrait" r:id="rId2"/>
  <headerFooter>
    <oddFooter>&amp;R&amp;P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Q89"/>
  <sheetViews>
    <sheetView view="pageBreakPreview" topLeftCell="A33" zoomScale="70" zoomScaleNormal="70" zoomScaleSheetLayoutView="70" workbookViewId="0">
      <selection activeCell="G4" sqref="G4"/>
    </sheetView>
  </sheetViews>
  <sheetFormatPr defaultRowHeight="15.6" x14ac:dyDescent="0.3"/>
  <cols>
    <col min="1" max="1" width="6.88671875" style="615" customWidth="1"/>
    <col min="2" max="2" width="10.33203125" style="615" customWidth="1"/>
    <col min="3" max="3" width="9" style="615" customWidth="1"/>
    <col min="4" max="4" width="8.33203125" style="615" customWidth="1"/>
    <col min="5" max="7" width="8.6640625" style="615" customWidth="1"/>
    <col min="8" max="8" width="11.109375" style="615" customWidth="1"/>
    <col min="9" max="9" width="11.5546875" style="615" customWidth="1"/>
    <col min="10" max="21" width="8.6640625" style="615" customWidth="1"/>
    <col min="22" max="22" width="9.6640625" style="615" customWidth="1"/>
    <col min="23" max="23" width="10.6640625" style="615" customWidth="1"/>
    <col min="24" max="24" width="8.6640625" style="615" customWidth="1"/>
    <col min="25" max="25" width="11.5546875" style="615" customWidth="1"/>
    <col min="26" max="26" width="8.88671875" style="615"/>
    <col min="27" max="27" width="10" style="615" bestFit="1" customWidth="1"/>
    <col min="28" max="258" width="8.88671875" style="615"/>
    <col min="259" max="259" width="6.88671875" style="615" customWidth="1"/>
    <col min="260" max="262" width="7.5546875" style="615" customWidth="1"/>
    <col min="263" max="280" width="8.6640625" style="615" customWidth="1"/>
    <col min="281" max="281" width="10.44140625" style="615" customWidth="1"/>
    <col min="282" max="514" width="8.88671875" style="615"/>
    <col min="515" max="515" width="6.88671875" style="615" customWidth="1"/>
    <col min="516" max="518" width="7.5546875" style="615" customWidth="1"/>
    <col min="519" max="536" width="8.6640625" style="615" customWidth="1"/>
    <col min="537" max="537" width="10.44140625" style="615" customWidth="1"/>
    <col min="538" max="770" width="8.88671875" style="615"/>
    <col min="771" max="771" width="6.88671875" style="615" customWidth="1"/>
    <col min="772" max="774" width="7.5546875" style="615" customWidth="1"/>
    <col min="775" max="792" width="8.6640625" style="615" customWidth="1"/>
    <col min="793" max="793" width="10.44140625" style="615" customWidth="1"/>
    <col min="794" max="1026" width="8.88671875" style="615"/>
    <col min="1027" max="1027" width="6.88671875" style="615" customWidth="1"/>
    <col min="1028" max="1030" width="7.5546875" style="615" customWidth="1"/>
    <col min="1031" max="1048" width="8.6640625" style="615" customWidth="1"/>
    <col min="1049" max="1049" width="10.44140625" style="615" customWidth="1"/>
    <col min="1050" max="1282" width="8.88671875" style="615"/>
    <col min="1283" max="1283" width="6.88671875" style="615" customWidth="1"/>
    <col min="1284" max="1286" width="7.5546875" style="615" customWidth="1"/>
    <col min="1287" max="1304" width="8.6640625" style="615" customWidth="1"/>
    <col min="1305" max="1305" width="10.44140625" style="615" customWidth="1"/>
    <col min="1306" max="1538" width="8.88671875" style="615"/>
    <col min="1539" max="1539" width="6.88671875" style="615" customWidth="1"/>
    <col min="1540" max="1542" width="7.5546875" style="615" customWidth="1"/>
    <col min="1543" max="1560" width="8.6640625" style="615" customWidth="1"/>
    <col min="1561" max="1561" width="10.44140625" style="615" customWidth="1"/>
    <col min="1562" max="1794" width="8.88671875" style="615"/>
    <col min="1795" max="1795" width="6.88671875" style="615" customWidth="1"/>
    <col min="1796" max="1798" width="7.5546875" style="615" customWidth="1"/>
    <col min="1799" max="1816" width="8.6640625" style="615" customWidth="1"/>
    <col min="1817" max="1817" width="10.44140625" style="615" customWidth="1"/>
    <col min="1818" max="2050" width="8.88671875" style="615"/>
    <col min="2051" max="2051" width="6.88671875" style="615" customWidth="1"/>
    <col min="2052" max="2054" width="7.5546875" style="615" customWidth="1"/>
    <col min="2055" max="2072" width="8.6640625" style="615" customWidth="1"/>
    <col min="2073" max="2073" width="10.44140625" style="615" customWidth="1"/>
    <col min="2074" max="2306" width="8.88671875" style="615"/>
    <col min="2307" max="2307" width="6.88671875" style="615" customWidth="1"/>
    <col min="2308" max="2310" width="7.5546875" style="615" customWidth="1"/>
    <col min="2311" max="2328" width="8.6640625" style="615" customWidth="1"/>
    <col min="2329" max="2329" width="10.44140625" style="615" customWidth="1"/>
    <col min="2330" max="2562" width="8.88671875" style="615"/>
    <col min="2563" max="2563" width="6.88671875" style="615" customWidth="1"/>
    <col min="2564" max="2566" width="7.5546875" style="615" customWidth="1"/>
    <col min="2567" max="2584" width="8.6640625" style="615" customWidth="1"/>
    <col min="2585" max="2585" width="10.44140625" style="615" customWidth="1"/>
    <col min="2586" max="2818" width="8.88671875" style="615"/>
    <col min="2819" max="2819" width="6.88671875" style="615" customWidth="1"/>
    <col min="2820" max="2822" width="7.5546875" style="615" customWidth="1"/>
    <col min="2823" max="2840" width="8.6640625" style="615" customWidth="1"/>
    <col min="2841" max="2841" width="10.44140625" style="615" customWidth="1"/>
    <col min="2842" max="3074" width="8.88671875" style="615"/>
    <col min="3075" max="3075" width="6.88671875" style="615" customWidth="1"/>
    <col min="3076" max="3078" width="7.5546875" style="615" customWidth="1"/>
    <col min="3079" max="3096" width="8.6640625" style="615" customWidth="1"/>
    <col min="3097" max="3097" width="10.44140625" style="615" customWidth="1"/>
    <col min="3098" max="3330" width="8.88671875" style="615"/>
    <col min="3331" max="3331" width="6.88671875" style="615" customWidth="1"/>
    <col min="3332" max="3334" width="7.5546875" style="615" customWidth="1"/>
    <col min="3335" max="3352" width="8.6640625" style="615" customWidth="1"/>
    <col min="3353" max="3353" width="10.44140625" style="615" customWidth="1"/>
    <col min="3354" max="3586" width="8.88671875" style="615"/>
    <col min="3587" max="3587" width="6.88671875" style="615" customWidth="1"/>
    <col min="3588" max="3590" width="7.5546875" style="615" customWidth="1"/>
    <col min="3591" max="3608" width="8.6640625" style="615" customWidth="1"/>
    <col min="3609" max="3609" width="10.44140625" style="615" customWidth="1"/>
    <col min="3610" max="3842" width="8.88671875" style="615"/>
    <col min="3843" max="3843" width="6.88671875" style="615" customWidth="1"/>
    <col min="3844" max="3846" width="7.5546875" style="615" customWidth="1"/>
    <col min="3847" max="3864" width="8.6640625" style="615" customWidth="1"/>
    <col min="3865" max="3865" width="10.44140625" style="615" customWidth="1"/>
    <col min="3866" max="4098" width="8.88671875" style="615"/>
    <col min="4099" max="4099" width="6.88671875" style="615" customWidth="1"/>
    <col min="4100" max="4102" width="7.5546875" style="615" customWidth="1"/>
    <col min="4103" max="4120" width="8.6640625" style="615" customWidth="1"/>
    <col min="4121" max="4121" width="10.44140625" style="615" customWidth="1"/>
    <col min="4122" max="4354" width="8.88671875" style="615"/>
    <col min="4355" max="4355" width="6.88671875" style="615" customWidth="1"/>
    <col min="4356" max="4358" width="7.5546875" style="615" customWidth="1"/>
    <col min="4359" max="4376" width="8.6640625" style="615" customWidth="1"/>
    <col min="4377" max="4377" width="10.44140625" style="615" customWidth="1"/>
    <col min="4378" max="4610" width="8.88671875" style="615"/>
    <col min="4611" max="4611" width="6.88671875" style="615" customWidth="1"/>
    <col min="4612" max="4614" width="7.5546875" style="615" customWidth="1"/>
    <col min="4615" max="4632" width="8.6640625" style="615" customWidth="1"/>
    <col min="4633" max="4633" width="10.44140625" style="615" customWidth="1"/>
    <col min="4634" max="4866" width="8.88671875" style="615"/>
    <col min="4867" max="4867" width="6.88671875" style="615" customWidth="1"/>
    <col min="4868" max="4870" width="7.5546875" style="615" customWidth="1"/>
    <col min="4871" max="4888" width="8.6640625" style="615" customWidth="1"/>
    <col min="4889" max="4889" width="10.44140625" style="615" customWidth="1"/>
    <col min="4890" max="5122" width="8.88671875" style="615"/>
    <col min="5123" max="5123" width="6.88671875" style="615" customWidth="1"/>
    <col min="5124" max="5126" width="7.5546875" style="615" customWidth="1"/>
    <col min="5127" max="5144" width="8.6640625" style="615" customWidth="1"/>
    <col min="5145" max="5145" width="10.44140625" style="615" customWidth="1"/>
    <col min="5146" max="5378" width="8.88671875" style="615"/>
    <col min="5379" max="5379" width="6.88671875" style="615" customWidth="1"/>
    <col min="5380" max="5382" width="7.5546875" style="615" customWidth="1"/>
    <col min="5383" max="5400" width="8.6640625" style="615" customWidth="1"/>
    <col min="5401" max="5401" width="10.44140625" style="615" customWidth="1"/>
    <col min="5402" max="5634" width="8.88671875" style="615"/>
    <col min="5635" max="5635" width="6.88671875" style="615" customWidth="1"/>
    <col min="5636" max="5638" width="7.5546875" style="615" customWidth="1"/>
    <col min="5639" max="5656" width="8.6640625" style="615" customWidth="1"/>
    <col min="5657" max="5657" width="10.44140625" style="615" customWidth="1"/>
    <col min="5658" max="5890" width="8.88671875" style="615"/>
    <col min="5891" max="5891" width="6.88671875" style="615" customWidth="1"/>
    <col min="5892" max="5894" width="7.5546875" style="615" customWidth="1"/>
    <col min="5895" max="5912" width="8.6640625" style="615" customWidth="1"/>
    <col min="5913" max="5913" width="10.44140625" style="615" customWidth="1"/>
    <col min="5914" max="6146" width="8.88671875" style="615"/>
    <col min="6147" max="6147" width="6.88671875" style="615" customWidth="1"/>
    <col min="6148" max="6150" width="7.5546875" style="615" customWidth="1"/>
    <col min="6151" max="6168" width="8.6640625" style="615" customWidth="1"/>
    <col min="6169" max="6169" width="10.44140625" style="615" customWidth="1"/>
    <col min="6170" max="6402" width="8.88671875" style="615"/>
    <col min="6403" max="6403" width="6.88671875" style="615" customWidth="1"/>
    <col min="6404" max="6406" width="7.5546875" style="615" customWidth="1"/>
    <col min="6407" max="6424" width="8.6640625" style="615" customWidth="1"/>
    <col min="6425" max="6425" width="10.44140625" style="615" customWidth="1"/>
    <col min="6426" max="6658" width="8.88671875" style="615"/>
    <col min="6659" max="6659" width="6.88671875" style="615" customWidth="1"/>
    <col min="6660" max="6662" width="7.5546875" style="615" customWidth="1"/>
    <col min="6663" max="6680" width="8.6640625" style="615" customWidth="1"/>
    <col min="6681" max="6681" width="10.44140625" style="615" customWidth="1"/>
    <col min="6682" max="6914" width="8.88671875" style="615"/>
    <col min="6915" max="6915" width="6.88671875" style="615" customWidth="1"/>
    <col min="6916" max="6918" width="7.5546875" style="615" customWidth="1"/>
    <col min="6919" max="6936" width="8.6640625" style="615" customWidth="1"/>
    <col min="6937" max="6937" width="10.44140625" style="615" customWidth="1"/>
    <col min="6938" max="7170" width="8.88671875" style="615"/>
    <col min="7171" max="7171" width="6.88671875" style="615" customWidth="1"/>
    <col min="7172" max="7174" width="7.5546875" style="615" customWidth="1"/>
    <col min="7175" max="7192" width="8.6640625" style="615" customWidth="1"/>
    <col min="7193" max="7193" width="10.44140625" style="615" customWidth="1"/>
    <col min="7194" max="7426" width="8.88671875" style="615"/>
    <col min="7427" max="7427" width="6.88671875" style="615" customWidth="1"/>
    <col min="7428" max="7430" width="7.5546875" style="615" customWidth="1"/>
    <col min="7431" max="7448" width="8.6640625" style="615" customWidth="1"/>
    <col min="7449" max="7449" width="10.44140625" style="615" customWidth="1"/>
    <col min="7450" max="7682" width="8.88671875" style="615"/>
    <col min="7683" max="7683" width="6.88671875" style="615" customWidth="1"/>
    <col min="7684" max="7686" width="7.5546875" style="615" customWidth="1"/>
    <col min="7687" max="7704" width="8.6640625" style="615" customWidth="1"/>
    <col min="7705" max="7705" width="10.44140625" style="615" customWidth="1"/>
    <col min="7706" max="7938" width="8.88671875" style="615"/>
    <col min="7939" max="7939" width="6.88671875" style="615" customWidth="1"/>
    <col min="7940" max="7942" width="7.5546875" style="615" customWidth="1"/>
    <col min="7943" max="7960" width="8.6640625" style="615" customWidth="1"/>
    <col min="7961" max="7961" width="10.44140625" style="615" customWidth="1"/>
    <col min="7962" max="8194" width="8.88671875" style="615"/>
    <col min="8195" max="8195" width="6.88671875" style="615" customWidth="1"/>
    <col min="8196" max="8198" width="7.5546875" style="615" customWidth="1"/>
    <col min="8199" max="8216" width="8.6640625" style="615" customWidth="1"/>
    <col min="8217" max="8217" width="10.44140625" style="615" customWidth="1"/>
    <col min="8218" max="8450" width="8.88671875" style="615"/>
    <col min="8451" max="8451" width="6.88671875" style="615" customWidth="1"/>
    <col min="8452" max="8454" width="7.5546875" style="615" customWidth="1"/>
    <col min="8455" max="8472" width="8.6640625" style="615" customWidth="1"/>
    <col min="8473" max="8473" width="10.44140625" style="615" customWidth="1"/>
    <col min="8474" max="8706" width="8.88671875" style="615"/>
    <col min="8707" max="8707" width="6.88671875" style="615" customWidth="1"/>
    <col min="8708" max="8710" width="7.5546875" style="615" customWidth="1"/>
    <col min="8711" max="8728" width="8.6640625" style="615" customWidth="1"/>
    <col min="8729" max="8729" width="10.44140625" style="615" customWidth="1"/>
    <col min="8730" max="8962" width="8.88671875" style="615"/>
    <col min="8963" max="8963" width="6.88671875" style="615" customWidth="1"/>
    <col min="8964" max="8966" width="7.5546875" style="615" customWidth="1"/>
    <col min="8967" max="8984" width="8.6640625" style="615" customWidth="1"/>
    <col min="8985" max="8985" width="10.44140625" style="615" customWidth="1"/>
    <col min="8986" max="9218" width="8.88671875" style="615"/>
    <col min="9219" max="9219" width="6.88671875" style="615" customWidth="1"/>
    <col min="9220" max="9222" width="7.5546875" style="615" customWidth="1"/>
    <col min="9223" max="9240" width="8.6640625" style="615" customWidth="1"/>
    <col min="9241" max="9241" width="10.44140625" style="615" customWidth="1"/>
    <col min="9242" max="9474" width="8.88671875" style="615"/>
    <col min="9475" max="9475" width="6.88671875" style="615" customWidth="1"/>
    <col min="9476" max="9478" width="7.5546875" style="615" customWidth="1"/>
    <col min="9479" max="9496" width="8.6640625" style="615" customWidth="1"/>
    <col min="9497" max="9497" width="10.44140625" style="615" customWidth="1"/>
    <col min="9498" max="9730" width="8.88671875" style="615"/>
    <col min="9731" max="9731" width="6.88671875" style="615" customWidth="1"/>
    <col min="9732" max="9734" width="7.5546875" style="615" customWidth="1"/>
    <col min="9735" max="9752" width="8.6640625" style="615" customWidth="1"/>
    <col min="9753" max="9753" width="10.44140625" style="615" customWidth="1"/>
    <col min="9754" max="9986" width="8.88671875" style="615"/>
    <col min="9987" max="9987" width="6.88671875" style="615" customWidth="1"/>
    <col min="9988" max="9990" width="7.5546875" style="615" customWidth="1"/>
    <col min="9991" max="10008" width="8.6640625" style="615" customWidth="1"/>
    <col min="10009" max="10009" width="10.44140625" style="615" customWidth="1"/>
    <col min="10010" max="10242" width="8.88671875" style="615"/>
    <col min="10243" max="10243" width="6.88671875" style="615" customWidth="1"/>
    <col min="10244" max="10246" width="7.5546875" style="615" customWidth="1"/>
    <col min="10247" max="10264" width="8.6640625" style="615" customWidth="1"/>
    <col min="10265" max="10265" width="10.44140625" style="615" customWidth="1"/>
    <col min="10266" max="10498" width="8.88671875" style="615"/>
    <col min="10499" max="10499" width="6.88671875" style="615" customWidth="1"/>
    <col min="10500" max="10502" width="7.5546875" style="615" customWidth="1"/>
    <col min="10503" max="10520" width="8.6640625" style="615" customWidth="1"/>
    <col min="10521" max="10521" width="10.44140625" style="615" customWidth="1"/>
    <col min="10522" max="10754" width="8.88671875" style="615"/>
    <col min="10755" max="10755" width="6.88671875" style="615" customWidth="1"/>
    <col min="10756" max="10758" width="7.5546875" style="615" customWidth="1"/>
    <col min="10759" max="10776" width="8.6640625" style="615" customWidth="1"/>
    <col min="10777" max="10777" width="10.44140625" style="615" customWidth="1"/>
    <col min="10778" max="11010" width="8.88671875" style="615"/>
    <col min="11011" max="11011" width="6.88671875" style="615" customWidth="1"/>
    <col min="11012" max="11014" width="7.5546875" style="615" customWidth="1"/>
    <col min="11015" max="11032" width="8.6640625" style="615" customWidth="1"/>
    <col min="11033" max="11033" width="10.44140625" style="615" customWidth="1"/>
    <col min="11034" max="11266" width="8.88671875" style="615"/>
    <col min="11267" max="11267" width="6.88671875" style="615" customWidth="1"/>
    <col min="11268" max="11270" width="7.5546875" style="615" customWidth="1"/>
    <col min="11271" max="11288" width="8.6640625" style="615" customWidth="1"/>
    <col min="11289" max="11289" width="10.44140625" style="615" customWidth="1"/>
    <col min="11290" max="11522" width="8.88671875" style="615"/>
    <col min="11523" max="11523" width="6.88671875" style="615" customWidth="1"/>
    <col min="11524" max="11526" width="7.5546875" style="615" customWidth="1"/>
    <col min="11527" max="11544" width="8.6640625" style="615" customWidth="1"/>
    <col min="11545" max="11545" width="10.44140625" style="615" customWidth="1"/>
    <col min="11546" max="11778" width="8.88671875" style="615"/>
    <col min="11779" max="11779" width="6.88671875" style="615" customWidth="1"/>
    <col min="11780" max="11782" width="7.5546875" style="615" customWidth="1"/>
    <col min="11783" max="11800" width="8.6640625" style="615" customWidth="1"/>
    <col min="11801" max="11801" width="10.44140625" style="615" customWidth="1"/>
    <col min="11802" max="12034" width="8.88671875" style="615"/>
    <col min="12035" max="12035" width="6.88671875" style="615" customWidth="1"/>
    <col min="12036" max="12038" width="7.5546875" style="615" customWidth="1"/>
    <col min="12039" max="12056" width="8.6640625" style="615" customWidth="1"/>
    <col min="12057" max="12057" width="10.44140625" style="615" customWidth="1"/>
    <col min="12058" max="12290" width="8.88671875" style="615"/>
    <col min="12291" max="12291" width="6.88671875" style="615" customWidth="1"/>
    <col min="12292" max="12294" width="7.5546875" style="615" customWidth="1"/>
    <col min="12295" max="12312" width="8.6640625" style="615" customWidth="1"/>
    <col min="12313" max="12313" width="10.44140625" style="615" customWidth="1"/>
    <col min="12314" max="12546" width="8.88671875" style="615"/>
    <col min="12547" max="12547" width="6.88671875" style="615" customWidth="1"/>
    <col min="12548" max="12550" width="7.5546875" style="615" customWidth="1"/>
    <col min="12551" max="12568" width="8.6640625" style="615" customWidth="1"/>
    <col min="12569" max="12569" width="10.44140625" style="615" customWidth="1"/>
    <col min="12570" max="12802" width="8.88671875" style="615"/>
    <col min="12803" max="12803" width="6.88671875" style="615" customWidth="1"/>
    <col min="12804" max="12806" width="7.5546875" style="615" customWidth="1"/>
    <col min="12807" max="12824" width="8.6640625" style="615" customWidth="1"/>
    <col min="12825" max="12825" width="10.44140625" style="615" customWidth="1"/>
    <col min="12826" max="13058" width="8.88671875" style="615"/>
    <col min="13059" max="13059" width="6.88671875" style="615" customWidth="1"/>
    <col min="13060" max="13062" width="7.5546875" style="615" customWidth="1"/>
    <col min="13063" max="13080" width="8.6640625" style="615" customWidth="1"/>
    <col min="13081" max="13081" width="10.44140625" style="615" customWidth="1"/>
    <col min="13082" max="13314" width="8.88671875" style="615"/>
    <col min="13315" max="13315" width="6.88671875" style="615" customWidth="1"/>
    <col min="13316" max="13318" width="7.5546875" style="615" customWidth="1"/>
    <col min="13319" max="13336" width="8.6640625" style="615" customWidth="1"/>
    <col min="13337" max="13337" width="10.44140625" style="615" customWidth="1"/>
    <col min="13338" max="13570" width="8.88671875" style="615"/>
    <col min="13571" max="13571" width="6.88671875" style="615" customWidth="1"/>
    <col min="13572" max="13574" width="7.5546875" style="615" customWidth="1"/>
    <col min="13575" max="13592" width="8.6640625" style="615" customWidth="1"/>
    <col min="13593" max="13593" width="10.44140625" style="615" customWidth="1"/>
    <col min="13594" max="13826" width="8.88671875" style="615"/>
    <col min="13827" max="13827" width="6.88671875" style="615" customWidth="1"/>
    <col min="13828" max="13830" width="7.5546875" style="615" customWidth="1"/>
    <col min="13831" max="13848" width="8.6640625" style="615" customWidth="1"/>
    <col min="13849" max="13849" width="10.44140625" style="615" customWidth="1"/>
    <col min="13850" max="14082" width="8.88671875" style="615"/>
    <col min="14083" max="14083" width="6.88671875" style="615" customWidth="1"/>
    <col min="14084" max="14086" width="7.5546875" style="615" customWidth="1"/>
    <col min="14087" max="14104" width="8.6640625" style="615" customWidth="1"/>
    <col min="14105" max="14105" width="10.44140625" style="615" customWidth="1"/>
    <col min="14106" max="14338" width="8.88671875" style="615"/>
    <col min="14339" max="14339" width="6.88671875" style="615" customWidth="1"/>
    <col min="14340" max="14342" width="7.5546875" style="615" customWidth="1"/>
    <col min="14343" max="14360" width="8.6640625" style="615" customWidth="1"/>
    <col min="14361" max="14361" width="10.44140625" style="615" customWidth="1"/>
    <col min="14362" max="14594" width="8.88671875" style="615"/>
    <col min="14595" max="14595" width="6.88671875" style="615" customWidth="1"/>
    <col min="14596" max="14598" width="7.5546875" style="615" customWidth="1"/>
    <col min="14599" max="14616" width="8.6640625" style="615" customWidth="1"/>
    <col min="14617" max="14617" width="10.44140625" style="615" customWidth="1"/>
    <col min="14618" max="14850" width="8.88671875" style="615"/>
    <col min="14851" max="14851" width="6.88671875" style="615" customWidth="1"/>
    <col min="14852" max="14854" width="7.5546875" style="615" customWidth="1"/>
    <col min="14855" max="14872" width="8.6640625" style="615" customWidth="1"/>
    <col min="14873" max="14873" width="10.44140625" style="615" customWidth="1"/>
    <col min="14874" max="15106" width="8.88671875" style="615"/>
    <col min="15107" max="15107" width="6.88671875" style="615" customWidth="1"/>
    <col min="15108" max="15110" width="7.5546875" style="615" customWidth="1"/>
    <col min="15111" max="15128" width="8.6640625" style="615" customWidth="1"/>
    <col min="15129" max="15129" width="10.44140625" style="615" customWidth="1"/>
    <col min="15130" max="15362" width="8.88671875" style="615"/>
    <col min="15363" max="15363" width="6.88671875" style="615" customWidth="1"/>
    <col min="15364" max="15366" width="7.5546875" style="615" customWidth="1"/>
    <col min="15367" max="15384" width="8.6640625" style="615" customWidth="1"/>
    <col min="15385" max="15385" width="10.44140625" style="615" customWidth="1"/>
    <col min="15386" max="15618" width="8.88671875" style="615"/>
    <col min="15619" max="15619" width="6.88671875" style="615" customWidth="1"/>
    <col min="15620" max="15622" width="7.5546875" style="615" customWidth="1"/>
    <col min="15623" max="15640" width="8.6640625" style="615" customWidth="1"/>
    <col min="15641" max="15641" width="10.44140625" style="615" customWidth="1"/>
    <col min="15642" max="15874" width="8.88671875" style="615"/>
    <col min="15875" max="15875" width="6.88671875" style="615" customWidth="1"/>
    <col min="15876" max="15878" width="7.5546875" style="615" customWidth="1"/>
    <col min="15879" max="15896" width="8.6640625" style="615" customWidth="1"/>
    <col min="15897" max="15897" width="10.44140625" style="615" customWidth="1"/>
    <col min="15898" max="16130" width="8.88671875" style="615"/>
    <col min="16131" max="16131" width="6.88671875" style="615" customWidth="1"/>
    <col min="16132" max="16134" width="7.5546875" style="615" customWidth="1"/>
    <col min="16135" max="16152" width="8.6640625" style="615" customWidth="1"/>
    <col min="16153" max="16153" width="10.44140625" style="615" customWidth="1"/>
    <col min="16154" max="16384" width="8.88671875" style="615"/>
  </cols>
  <sheetData>
    <row r="1" spans="1:25" ht="18.75" customHeight="1" x14ac:dyDescent="0.3">
      <c r="A1" s="1285" t="str">
        <f>Util!A1</f>
        <v>ROSHNABAD BARRAGE</v>
      </c>
      <c r="B1" s="1285"/>
      <c r="C1" s="1285"/>
      <c r="D1" s="1285"/>
      <c r="E1" s="1285"/>
      <c r="F1" s="1285"/>
      <c r="G1" s="1285"/>
      <c r="H1" s="1285"/>
      <c r="I1" s="1285"/>
      <c r="J1" s="1285"/>
      <c r="K1" s="1285"/>
      <c r="L1" s="1285"/>
      <c r="M1" s="1285"/>
      <c r="N1" s="1285"/>
      <c r="O1" s="1285"/>
      <c r="P1" s="1285"/>
      <c r="Q1" s="1285"/>
      <c r="R1" s="1285"/>
      <c r="S1" s="1285"/>
      <c r="T1" s="1285"/>
      <c r="U1" s="1285"/>
      <c r="V1" s="1285"/>
      <c r="W1" s="1285"/>
      <c r="X1" s="1285"/>
    </row>
    <row r="2" spans="1:25" x14ac:dyDescent="0.3">
      <c r="A2" s="1286" t="str">
        <f>Util!A2</f>
        <v>TEHSIL :-SIDHI</v>
      </c>
      <c r="B2" s="1287"/>
      <c r="C2" s="1287"/>
      <c r="D2" s="1287"/>
      <c r="E2" s="1287"/>
      <c r="F2" s="1287"/>
      <c r="G2" s="1287"/>
      <c r="H2" s="1287"/>
      <c r="I2" s="1287"/>
      <c r="J2" s="1287"/>
      <c r="K2" s="1287"/>
      <c r="L2" s="1287"/>
      <c r="M2" s="1287"/>
      <c r="V2" s="1288" t="str">
        <f>Util!G2</f>
        <v>DISTRICT :SINGRAULI</v>
      </c>
      <c r="W2" s="1288"/>
      <c r="X2" s="1288"/>
      <c r="Y2" s="1288"/>
    </row>
    <row r="3" spans="1:25" ht="15.75" customHeight="1" x14ac:dyDescent="0.3">
      <c r="A3" s="1285" t="s">
        <v>413</v>
      </c>
      <c r="B3" s="1285"/>
      <c r="C3" s="1285"/>
      <c r="D3" s="1285"/>
      <c r="E3" s="1285"/>
      <c r="F3" s="1285"/>
      <c r="G3" s="1285"/>
      <c r="H3" s="1285"/>
      <c r="I3" s="1285"/>
      <c r="J3" s="1285"/>
      <c r="K3" s="1285"/>
      <c r="L3" s="1285"/>
      <c r="M3" s="1285"/>
      <c r="N3" s="1285"/>
      <c r="O3" s="1285"/>
      <c r="P3" s="1285"/>
      <c r="Q3" s="1285"/>
      <c r="R3" s="1285"/>
      <c r="S3" s="1285"/>
      <c r="T3" s="1285"/>
      <c r="U3" s="1285"/>
      <c r="V3" s="1285"/>
      <c r="W3" s="1285"/>
      <c r="X3" s="1285"/>
    </row>
    <row r="4" spans="1:25" ht="15.75" customHeight="1" x14ac:dyDescent="0.3">
      <c r="A4" s="614"/>
      <c r="B4" s="617" t="s">
        <v>100</v>
      </c>
      <c r="C4" s="1289">
        <v>597</v>
      </c>
      <c r="D4" s="1290"/>
      <c r="F4" s="618" t="s">
        <v>414</v>
      </c>
      <c r="G4" s="619">
        <f>MAX(D32:D68)</f>
        <v>136.77499999999998</v>
      </c>
      <c r="H4" s="614"/>
      <c r="I4" s="614"/>
      <c r="J4" s="614"/>
      <c r="K4" s="614"/>
      <c r="L4" s="614"/>
      <c r="M4" s="614"/>
      <c r="N4" s="614"/>
      <c r="O4" s="614"/>
      <c r="P4" s="614"/>
      <c r="Q4" s="614"/>
      <c r="R4" s="614"/>
      <c r="S4" s="614"/>
      <c r="T4" s="614"/>
      <c r="U4" s="614"/>
      <c r="V4" s="614"/>
      <c r="W4" s="614"/>
      <c r="X4" s="620"/>
    </row>
    <row r="5" spans="1:25" ht="15.75" hidden="1" customHeight="1" x14ac:dyDescent="0.3">
      <c r="A5" s="614"/>
      <c r="B5" s="617" t="s">
        <v>415</v>
      </c>
      <c r="C5" s="1291" t="e">
        <f>#REF!</f>
        <v>#REF!</v>
      </c>
      <c r="D5" s="1292"/>
      <c r="E5" s="614"/>
      <c r="F5" s="614"/>
      <c r="G5" s="614"/>
      <c r="H5" s="614"/>
      <c r="I5" s="614"/>
      <c r="J5" s="614"/>
      <c r="K5" s="614"/>
      <c r="L5" s="614"/>
      <c r="M5" s="614"/>
      <c r="N5" s="614"/>
      <c r="O5" s="614"/>
      <c r="P5" s="614"/>
      <c r="Q5" s="614"/>
      <c r="R5" s="614"/>
      <c r="S5" s="614"/>
      <c r="T5" s="614"/>
      <c r="U5" s="614"/>
      <c r="V5" s="614"/>
      <c r="W5" s="614"/>
      <c r="X5" s="614"/>
    </row>
    <row r="6" spans="1:25" ht="15.75" hidden="1" customHeight="1" x14ac:dyDescent="0.3">
      <c r="A6" s="614"/>
      <c r="B6" s="617" t="s">
        <v>416</v>
      </c>
      <c r="C6" s="1291" t="e">
        <f>#REF!</f>
        <v>#REF!</v>
      </c>
      <c r="D6" s="1292"/>
      <c r="E6" s="614"/>
      <c r="F6" s="614"/>
      <c r="G6" s="614"/>
      <c r="H6" s="614"/>
      <c r="I6" s="614"/>
      <c r="J6" s="614"/>
      <c r="K6" s="614"/>
      <c r="L6" s="614"/>
      <c r="M6" s="614"/>
      <c r="N6" s="614"/>
      <c r="O6" s="614"/>
      <c r="P6" s="614"/>
      <c r="Q6" s="614"/>
      <c r="R6" s="614"/>
      <c r="S6" s="614"/>
      <c r="T6" s="614"/>
      <c r="U6" s="614"/>
      <c r="V6" s="614"/>
      <c r="W6" s="614"/>
      <c r="X6" s="614"/>
    </row>
    <row r="7" spans="1:25" ht="15.75" hidden="1" customHeight="1" x14ac:dyDescent="0.3">
      <c r="A7" s="614"/>
      <c r="B7" s="617" t="s">
        <v>417</v>
      </c>
      <c r="C7" s="1293"/>
      <c r="D7" s="1294"/>
      <c r="E7" s="614"/>
      <c r="F7" s="614"/>
      <c r="G7" s="614"/>
      <c r="H7" s="614"/>
      <c r="I7" s="614"/>
      <c r="J7" s="614"/>
      <c r="K7" s="614"/>
      <c r="L7" s="614"/>
      <c r="M7" s="614"/>
      <c r="N7" s="614"/>
      <c r="O7" s="614"/>
      <c r="P7" s="614"/>
      <c r="Q7" s="614"/>
      <c r="R7" s="614"/>
      <c r="S7" s="614"/>
      <c r="T7" s="614"/>
      <c r="U7" s="614"/>
      <c r="V7" s="614"/>
      <c r="W7" s="614"/>
      <c r="X7" s="614"/>
    </row>
    <row r="8" spans="1:25" ht="15.75" hidden="1" customHeight="1" x14ac:dyDescent="0.3">
      <c r="A8" s="614"/>
      <c r="B8" s="614"/>
      <c r="C8" s="614"/>
      <c r="D8" s="614"/>
      <c r="E8" s="614"/>
      <c r="F8" s="614"/>
      <c r="G8" s="614"/>
      <c r="H8" s="614"/>
      <c r="I8" s="614"/>
      <c r="J8" s="614"/>
      <c r="K8" s="614"/>
      <c r="L8" s="614"/>
      <c r="M8" s="614"/>
      <c r="N8" s="614"/>
      <c r="O8" s="614"/>
      <c r="P8" s="614"/>
      <c r="Q8" s="614"/>
      <c r="R8" s="614"/>
      <c r="S8" s="614"/>
      <c r="T8" s="614"/>
      <c r="U8" s="614"/>
      <c r="V8" s="614"/>
      <c r="W8" s="614"/>
      <c r="X8" s="614"/>
    </row>
    <row r="9" spans="1:25" ht="15.75" hidden="1" customHeight="1" x14ac:dyDescent="0.3">
      <c r="A9" s="614"/>
      <c r="B9" s="614"/>
      <c r="C9" s="614"/>
      <c r="D9" s="614"/>
      <c r="E9" s="614"/>
      <c r="F9" s="614"/>
      <c r="G9" s="614"/>
      <c r="H9" s="614"/>
      <c r="I9" s="614"/>
      <c r="J9" s="614"/>
      <c r="K9" s="614"/>
      <c r="L9" s="614"/>
      <c r="M9" s="614"/>
      <c r="N9" s="614"/>
      <c r="O9" s="614"/>
      <c r="P9" s="614"/>
      <c r="Q9" s="614"/>
      <c r="R9" s="614"/>
      <c r="S9" s="614"/>
      <c r="T9" s="614"/>
      <c r="U9" s="614"/>
      <c r="V9" s="614"/>
      <c r="W9" s="614"/>
      <c r="X9" s="614"/>
    </row>
    <row r="10" spans="1:25" hidden="1" x14ac:dyDescent="0.3">
      <c r="A10" s="616"/>
      <c r="B10" s="616"/>
      <c r="C10" s="616"/>
      <c r="D10" s="616"/>
      <c r="E10" s="616"/>
      <c r="F10" s="616"/>
      <c r="G10" s="616"/>
      <c r="H10" s="616"/>
      <c r="I10" s="616"/>
      <c r="J10" s="616"/>
      <c r="K10" s="616"/>
      <c r="L10" s="616"/>
      <c r="M10" s="616"/>
      <c r="N10" s="621"/>
      <c r="O10" s="621"/>
      <c r="P10" s="621"/>
      <c r="Q10" s="621"/>
      <c r="R10" s="622"/>
      <c r="S10" s="621"/>
      <c r="T10" s="621"/>
      <c r="V10" s="622"/>
      <c r="W10" s="620"/>
    </row>
    <row r="11" spans="1:25" hidden="1" x14ac:dyDescent="0.3">
      <c r="A11" s="616"/>
      <c r="B11" s="616"/>
      <c r="C11" s="616"/>
      <c r="D11" s="616"/>
      <c r="E11" s="616"/>
      <c r="F11" s="616"/>
      <c r="G11" s="616"/>
      <c r="H11" s="616"/>
      <c r="I11" s="616"/>
      <c r="J11" s="616"/>
      <c r="K11" s="616"/>
      <c r="L11" s="616"/>
      <c r="M11" s="616"/>
      <c r="N11" s="621"/>
      <c r="O11" s="621"/>
      <c r="P11" s="621"/>
      <c r="Q11" s="621"/>
      <c r="R11" s="622"/>
      <c r="S11" s="621"/>
      <c r="T11" s="621"/>
      <c r="V11" s="622"/>
      <c r="W11" s="620"/>
      <c r="X11" s="620"/>
    </row>
    <row r="12" spans="1:25" ht="16.5" customHeight="1" x14ac:dyDescent="0.3">
      <c r="A12" s="1295" t="s">
        <v>418</v>
      </c>
      <c r="B12" s="1296"/>
      <c r="C12" s="1296"/>
      <c r="D12" s="1296" t="s">
        <v>419</v>
      </c>
      <c r="E12" s="1299" t="s">
        <v>420</v>
      </c>
      <c r="I12" s="623"/>
      <c r="N12" s="624"/>
      <c r="P12" s="625"/>
      <c r="Q12" s="626"/>
      <c r="R12" s="622"/>
      <c r="S12" s="622"/>
      <c r="T12" s="622"/>
      <c r="U12" s="622"/>
      <c r="V12" s="622"/>
      <c r="W12" s="622"/>
      <c r="X12" s="622"/>
    </row>
    <row r="13" spans="1:25" ht="52.2" customHeight="1" thickBot="1" x14ac:dyDescent="0.35">
      <c r="A13" s="1297"/>
      <c r="B13" s="1298"/>
      <c r="C13" s="1298"/>
      <c r="D13" s="1298"/>
      <c r="E13" s="1300"/>
      <c r="I13" s="623"/>
      <c r="N13" s="624"/>
      <c r="P13" s="625"/>
      <c r="Q13" s="626"/>
      <c r="R13" s="622"/>
      <c r="S13" s="622"/>
      <c r="T13" s="622"/>
      <c r="U13" s="622"/>
      <c r="V13" s="622"/>
      <c r="W13" s="622"/>
      <c r="X13" s="622"/>
    </row>
    <row r="14" spans="1:25" ht="18.75" customHeight="1" thickBot="1" x14ac:dyDescent="0.35">
      <c r="A14" s="1282" t="s">
        <v>421</v>
      </c>
      <c r="B14" s="1283"/>
      <c r="C14" s="1283"/>
      <c r="D14" s="1283"/>
      <c r="E14" s="1284"/>
      <c r="F14" s="1014" t="s">
        <v>422</v>
      </c>
      <c r="G14" s="627"/>
      <c r="H14" s="622" t="s">
        <v>423</v>
      </c>
      <c r="I14" s="622"/>
      <c r="J14" s="1015">
        <v>6</v>
      </c>
      <c r="K14" s="649"/>
      <c r="L14" s="649" t="s">
        <v>424</v>
      </c>
      <c r="N14" s="627"/>
      <c r="O14" s="627"/>
      <c r="P14" s="627"/>
      <c r="R14" s="622"/>
      <c r="S14" s="622"/>
      <c r="T14" s="622"/>
      <c r="U14" s="622"/>
      <c r="V14" s="622"/>
      <c r="W14" s="622"/>
    </row>
    <row r="15" spans="1:25" x14ac:dyDescent="0.3">
      <c r="A15" s="628">
        <v>0</v>
      </c>
      <c r="B15" s="629" t="s">
        <v>425</v>
      </c>
      <c r="C15" s="630">
        <v>10</v>
      </c>
      <c r="D15" s="631">
        <v>2</v>
      </c>
      <c r="E15" s="630">
        <f>D15*C15</f>
        <v>20</v>
      </c>
      <c r="F15" s="632">
        <f>C15*C15*D15*0.5</f>
        <v>100</v>
      </c>
      <c r="H15" s="622"/>
      <c r="J15" s="1015"/>
      <c r="K15" s="622"/>
      <c r="L15" s="1015" t="s">
        <v>426</v>
      </c>
      <c r="N15" s="633"/>
      <c r="R15" s="622"/>
      <c r="S15" s="622"/>
      <c r="T15" s="622"/>
    </row>
    <row r="16" spans="1:25" x14ac:dyDescent="0.3">
      <c r="A16" s="634">
        <f>C15</f>
        <v>10</v>
      </c>
      <c r="B16" s="635" t="s">
        <v>425</v>
      </c>
      <c r="C16" s="636">
        <v>20</v>
      </c>
      <c r="D16" s="631">
        <v>2.5</v>
      </c>
      <c r="E16" s="636">
        <f>(C16-C15)*D16</f>
        <v>25</v>
      </c>
      <c r="F16" s="632">
        <f>((C16-A16)*D16*(C16-A16)*0.5)+((C16-A16)*(C15*D15))</f>
        <v>325</v>
      </c>
      <c r="H16" s="1272" t="s">
        <v>427</v>
      </c>
      <c r="I16" s="1272"/>
      <c r="J16" s="1015">
        <v>5</v>
      </c>
      <c r="K16" s="1016"/>
      <c r="L16" s="649">
        <v>5</v>
      </c>
      <c r="N16" s="633"/>
      <c r="R16" s="622"/>
      <c r="S16" s="622"/>
      <c r="T16" s="622"/>
    </row>
    <row r="17" spans="1:27" ht="22.5" customHeight="1" x14ac:dyDescent="0.3">
      <c r="A17" s="634">
        <f>C16</f>
        <v>20</v>
      </c>
      <c r="B17" s="635" t="s">
        <v>425</v>
      </c>
      <c r="C17" s="636">
        <v>30</v>
      </c>
      <c r="D17" s="631">
        <v>3</v>
      </c>
      <c r="E17" s="636">
        <v>0</v>
      </c>
      <c r="F17" s="623">
        <f>(((C17-A17)*D17)*(C17-A17)*0.5)+((C16-A16)*D16)*(C17-A17)+((C15*D15*(C17-A17)))</f>
        <v>600</v>
      </c>
      <c r="H17" s="1272"/>
      <c r="I17" s="1272"/>
      <c r="J17" s="1015">
        <v>5</v>
      </c>
      <c r="K17" s="1016"/>
      <c r="L17" s="649">
        <v>5</v>
      </c>
      <c r="N17" s="633"/>
      <c r="R17" s="622"/>
      <c r="S17" s="622"/>
      <c r="T17" s="622"/>
      <c r="Y17" s="619"/>
      <c r="Z17" s="622"/>
      <c r="AA17" s="622"/>
    </row>
    <row r="18" spans="1:27" ht="0.75" customHeight="1" x14ac:dyDescent="0.3">
      <c r="A18" s="637">
        <f>C17</f>
        <v>30</v>
      </c>
      <c r="B18" s="638" t="s">
        <v>425</v>
      </c>
      <c r="C18" s="639">
        <v>0</v>
      </c>
      <c r="D18" s="640">
        <v>4</v>
      </c>
      <c r="E18" s="639">
        <v>0</v>
      </c>
      <c r="F18" s="623">
        <f>(((C18-A18)*D18)*(C18-A18)*0.5)+((C17-A17)*D17*(C18-A18))+(((C16-A16)*D16)*(C18-A18))+(C15*D15*(C18-A18))</f>
        <v>-450</v>
      </c>
      <c r="H18" s="1272"/>
      <c r="I18" s="1272"/>
      <c r="J18" s="695">
        <v>5</v>
      </c>
      <c r="L18" s="896">
        <v>5</v>
      </c>
      <c r="N18" s="633"/>
      <c r="R18" s="622"/>
      <c r="S18" s="622"/>
      <c r="T18" s="622"/>
      <c r="Y18" s="619"/>
      <c r="Z18" s="622"/>
      <c r="AA18" s="622"/>
    </row>
    <row r="19" spans="1:27" x14ac:dyDescent="0.3">
      <c r="A19" s="1273" t="s">
        <v>428</v>
      </c>
      <c r="B19" s="1273"/>
      <c r="C19" s="1273"/>
      <c r="D19" s="1273"/>
      <c r="E19" s="1273"/>
      <c r="F19" s="627"/>
      <c r="G19" s="627"/>
      <c r="H19" s="1017" t="s">
        <v>429</v>
      </c>
      <c r="J19" s="1015">
        <v>5</v>
      </c>
      <c r="K19" s="1016"/>
      <c r="L19" s="649">
        <v>5</v>
      </c>
      <c r="N19" s="627"/>
      <c r="O19" s="627"/>
      <c r="P19" s="627"/>
      <c r="Q19" s="622"/>
      <c r="S19" s="622"/>
      <c r="T19" s="622"/>
      <c r="Y19" s="619"/>
      <c r="Z19" s="622"/>
      <c r="AA19" s="622"/>
    </row>
    <row r="20" spans="1:27" x14ac:dyDescent="0.3">
      <c r="A20" s="628">
        <v>0</v>
      </c>
      <c r="B20" s="629" t="s">
        <v>425</v>
      </c>
      <c r="C20" s="630">
        <v>10</v>
      </c>
      <c r="D20" s="641">
        <v>2</v>
      </c>
      <c r="E20" s="630">
        <f>D20*C20</f>
        <v>20</v>
      </c>
      <c r="F20" s="642"/>
      <c r="H20" s="1017" t="s">
        <v>430</v>
      </c>
      <c r="J20" s="695">
        <v>5</v>
      </c>
      <c r="K20" s="695"/>
      <c r="L20" s="1018">
        <v>5</v>
      </c>
      <c r="Q20" s="622"/>
      <c r="R20" s="622"/>
      <c r="S20" s="622"/>
      <c r="T20" s="622"/>
    </row>
    <row r="21" spans="1:27" ht="15.6" customHeight="1" x14ac:dyDescent="0.3">
      <c r="A21" s="634">
        <f>C20</f>
        <v>10</v>
      </c>
      <c r="B21" s="635" t="s">
        <v>425</v>
      </c>
      <c r="C21" s="636">
        <f>C16</f>
        <v>20</v>
      </c>
      <c r="D21" s="641">
        <v>2.5</v>
      </c>
      <c r="E21" s="636">
        <f>(C21-C20)*D21</f>
        <v>25</v>
      </c>
      <c r="I21" s="643"/>
      <c r="J21" s="695">
        <v>5</v>
      </c>
      <c r="L21" s="896">
        <v>5</v>
      </c>
      <c r="Q21" s="622"/>
      <c r="R21" s="622"/>
      <c r="U21" s="622"/>
      <c r="V21" s="622"/>
      <c r="W21" s="622"/>
      <c r="X21" s="622"/>
      <c r="Y21" s="619"/>
      <c r="Z21" s="622"/>
      <c r="AA21" s="622"/>
    </row>
    <row r="22" spans="1:27" ht="13.8" customHeight="1" x14ac:dyDescent="0.3">
      <c r="A22" s="634">
        <f>C21</f>
        <v>20</v>
      </c>
      <c r="B22" s="635" t="s">
        <v>425</v>
      </c>
      <c r="C22" s="636">
        <f>C17</f>
        <v>30</v>
      </c>
      <c r="D22" s="641">
        <v>3</v>
      </c>
      <c r="E22" s="636">
        <v>0</v>
      </c>
      <c r="I22" s="643"/>
      <c r="Q22" s="622"/>
      <c r="R22" s="622"/>
      <c r="S22" s="622"/>
      <c r="T22" s="622"/>
      <c r="U22" s="644"/>
      <c r="V22" s="622"/>
      <c r="W22" s="622"/>
      <c r="X22" s="622"/>
      <c r="Y22" s="619"/>
      <c r="Z22" s="622"/>
      <c r="AA22" s="622"/>
    </row>
    <row r="23" spans="1:27" ht="5.4" customHeight="1" thickBot="1" x14ac:dyDescent="0.35">
      <c r="A23" s="645">
        <f>C22</f>
        <v>30</v>
      </c>
      <c r="B23" s="646" t="s">
        <v>425</v>
      </c>
      <c r="C23" s="647">
        <v>0</v>
      </c>
      <c r="D23" s="641">
        <v>4</v>
      </c>
      <c r="E23" s="648">
        <f>C23*D23</f>
        <v>0</v>
      </c>
      <c r="I23" s="643"/>
      <c r="Q23" s="622"/>
      <c r="R23" s="622"/>
      <c r="S23" s="622"/>
      <c r="T23" s="622"/>
      <c r="U23" s="622"/>
      <c r="V23" s="622"/>
      <c r="W23" s="622"/>
      <c r="X23" s="622"/>
    </row>
    <row r="24" spans="1:27" ht="16.2" thickBot="1" x14ac:dyDescent="0.35">
      <c r="C24" s="618"/>
      <c r="D24" s="619"/>
      <c r="E24" s="649"/>
      <c r="F24" s="650"/>
      <c r="G24" s="643"/>
      <c r="H24" s="643"/>
      <c r="I24" s="643"/>
      <c r="J24" s="643"/>
      <c r="K24" s="643"/>
      <c r="L24" s="643"/>
      <c r="M24" s="643"/>
      <c r="N24" s="643"/>
      <c r="O24" s="633"/>
      <c r="P24" s="633"/>
      <c r="Q24" s="622"/>
      <c r="R24" s="619"/>
      <c r="S24" s="622"/>
      <c r="T24" s="622"/>
      <c r="U24" s="622"/>
      <c r="V24" s="622"/>
      <c r="W24" s="622"/>
      <c r="X24" s="622"/>
    </row>
    <row r="25" spans="1:27" ht="36" customHeight="1" x14ac:dyDescent="0.3">
      <c r="A25" s="1274" t="s">
        <v>162</v>
      </c>
      <c r="B25" s="1274" t="s">
        <v>431</v>
      </c>
      <c r="C25" s="1274" t="s">
        <v>432</v>
      </c>
      <c r="D25" s="1277" t="s">
        <v>433</v>
      </c>
      <c r="E25" s="1263" t="s">
        <v>434</v>
      </c>
      <c r="F25" s="1264"/>
      <c r="G25" s="1264"/>
      <c r="H25" s="1264"/>
      <c r="I25" s="1264"/>
      <c r="J25" s="1264"/>
      <c r="K25" s="1264"/>
      <c r="L25" s="1265"/>
      <c r="M25" s="1260" t="s">
        <v>435</v>
      </c>
      <c r="N25" s="1263" t="s">
        <v>436</v>
      </c>
      <c r="O25" s="1264"/>
      <c r="P25" s="1264"/>
      <c r="Q25" s="1264"/>
      <c r="R25" s="1264"/>
      <c r="S25" s="1264"/>
      <c r="T25" s="1264"/>
      <c r="U25" s="1265"/>
      <c r="V25" s="1266" t="s">
        <v>437</v>
      </c>
      <c r="W25" s="1266" t="s">
        <v>276</v>
      </c>
      <c r="X25" s="1266" t="s">
        <v>438</v>
      </c>
      <c r="Y25" s="1266" t="s">
        <v>439</v>
      </c>
    </row>
    <row r="26" spans="1:27" ht="19.5" customHeight="1" x14ac:dyDescent="0.3">
      <c r="A26" s="1275"/>
      <c r="B26" s="1275"/>
      <c r="C26" s="1275"/>
      <c r="D26" s="1278"/>
      <c r="E26" s="651" t="s">
        <v>440</v>
      </c>
      <c r="F26" s="652" t="s">
        <v>440</v>
      </c>
      <c r="G26" s="652" t="s">
        <v>440</v>
      </c>
      <c r="H26" s="652" t="s">
        <v>440</v>
      </c>
      <c r="I26" s="652" t="s">
        <v>441</v>
      </c>
      <c r="J26" s="652" t="s">
        <v>441</v>
      </c>
      <c r="K26" s="652" t="s">
        <v>441</v>
      </c>
      <c r="L26" s="1280" t="s">
        <v>15</v>
      </c>
      <c r="M26" s="1261"/>
      <c r="N26" s="651" t="s">
        <v>440</v>
      </c>
      <c r="O26" s="652" t="s">
        <v>440</v>
      </c>
      <c r="P26" s="652" t="s">
        <v>440</v>
      </c>
      <c r="Q26" s="652" t="s">
        <v>440</v>
      </c>
      <c r="R26" s="652" t="s">
        <v>441</v>
      </c>
      <c r="S26" s="652" t="s">
        <v>441</v>
      </c>
      <c r="T26" s="652" t="s">
        <v>441</v>
      </c>
      <c r="U26" s="1269" t="s">
        <v>15</v>
      </c>
      <c r="V26" s="1267"/>
      <c r="W26" s="1267"/>
      <c r="X26" s="1267"/>
      <c r="Y26" s="1267"/>
    </row>
    <row r="27" spans="1:27" ht="20.25" customHeight="1" x14ac:dyDescent="0.3">
      <c r="A27" s="1275"/>
      <c r="B27" s="1275"/>
      <c r="C27" s="1275"/>
      <c r="D27" s="1278"/>
      <c r="E27" s="653">
        <f>A15</f>
        <v>0</v>
      </c>
      <c r="F27" s="654">
        <f>E29</f>
        <v>10</v>
      </c>
      <c r="G27" s="654">
        <f>F29</f>
        <v>20</v>
      </c>
      <c r="H27" s="654">
        <f>G29</f>
        <v>30</v>
      </c>
      <c r="I27" s="654">
        <f>L16</f>
        <v>5</v>
      </c>
      <c r="J27" s="654">
        <f>L17</f>
        <v>5</v>
      </c>
      <c r="K27" s="654">
        <f>L18</f>
        <v>5</v>
      </c>
      <c r="L27" s="1280"/>
      <c r="M27" s="1261"/>
      <c r="N27" s="653">
        <f>A20</f>
        <v>0</v>
      </c>
      <c r="O27" s="654">
        <f>C20</f>
        <v>10</v>
      </c>
      <c r="P27" s="654">
        <f>O29</f>
        <v>20</v>
      </c>
      <c r="Q27" s="654">
        <f>P29</f>
        <v>30</v>
      </c>
      <c r="R27" s="654">
        <f>L19</f>
        <v>5</v>
      </c>
      <c r="S27" s="654">
        <f>L20</f>
        <v>5</v>
      </c>
      <c r="T27" s="654">
        <f>L21</f>
        <v>5</v>
      </c>
      <c r="U27" s="1270"/>
      <c r="V27" s="1267"/>
      <c r="W27" s="1267"/>
      <c r="X27" s="1267"/>
      <c r="Y27" s="1267"/>
    </row>
    <row r="28" spans="1:27" ht="18" customHeight="1" x14ac:dyDescent="0.3">
      <c r="A28" s="1275"/>
      <c r="B28" s="1275"/>
      <c r="C28" s="1275"/>
      <c r="D28" s="1278"/>
      <c r="E28" s="651" t="s">
        <v>442</v>
      </c>
      <c r="F28" s="652" t="s">
        <v>442</v>
      </c>
      <c r="G28" s="652" t="s">
        <v>442</v>
      </c>
      <c r="H28" s="652" t="s">
        <v>442</v>
      </c>
      <c r="I28" s="652" t="s">
        <v>443</v>
      </c>
      <c r="J28" s="652" t="s">
        <v>443</v>
      </c>
      <c r="K28" s="652" t="s">
        <v>443</v>
      </c>
      <c r="L28" s="1280"/>
      <c r="M28" s="1261"/>
      <c r="N28" s="651" t="s">
        <v>442</v>
      </c>
      <c r="O28" s="652" t="s">
        <v>442</v>
      </c>
      <c r="P28" s="652" t="s">
        <v>442</v>
      </c>
      <c r="Q28" s="652" t="s">
        <v>442</v>
      </c>
      <c r="R28" s="652" t="s">
        <v>443</v>
      </c>
      <c r="S28" s="652" t="s">
        <v>443</v>
      </c>
      <c r="T28" s="652" t="s">
        <v>443</v>
      </c>
      <c r="U28" s="1270"/>
      <c r="V28" s="1267"/>
      <c r="W28" s="1267"/>
      <c r="X28" s="1267"/>
      <c r="Y28" s="1267"/>
    </row>
    <row r="29" spans="1:27" ht="18" customHeight="1" x14ac:dyDescent="0.3">
      <c r="A29" s="1275"/>
      <c r="B29" s="1275"/>
      <c r="C29" s="1275"/>
      <c r="D29" s="1278"/>
      <c r="E29" s="653">
        <f>C15</f>
        <v>10</v>
      </c>
      <c r="F29" s="654">
        <f>C16</f>
        <v>20</v>
      </c>
      <c r="G29" s="654">
        <f>C17</f>
        <v>30</v>
      </c>
      <c r="H29" s="654">
        <f>C18</f>
        <v>0</v>
      </c>
      <c r="I29" s="654">
        <f>J16</f>
        <v>5</v>
      </c>
      <c r="J29" s="654">
        <f>J17</f>
        <v>5</v>
      </c>
      <c r="K29" s="654">
        <f>J18</f>
        <v>5</v>
      </c>
      <c r="L29" s="1280"/>
      <c r="M29" s="1261"/>
      <c r="N29" s="653">
        <f>O27</f>
        <v>10</v>
      </c>
      <c r="O29" s="654">
        <f>C21</f>
        <v>20</v>
      </c>
      <c r="P29" s="654">
        <f>C22</f>
        <v>30</v>
      </c>
      <c r="Q29" s="654">
        <f>C17</f>
        <v>30</v>
      </c>
      <c r="R29" s="654">
        <f>J19</f>
        <v>5</v>
      </c>
      <c r="S29" s="654">
        <f>J20</f>
        <v>5</v>
      </c>
      <c r="T29" s="654">
        <f>J21</f>
        <v>5</v>
      </c>
      <c r="U29" s="1270"/>
      <c r="V29" s="1267"/>
      <c r="W29" s="1267"/>
      <c r="X29" s="1267"/>
      <c r="Y29" s="1267"/>
    </row>
    <row r="30" spans="1:27" ht="18" customHeight="1" thickBot="1" x14ac:dyDescent="0.35">
      <c r="A30" s="1276"/>
      <c r="B30" s="1276"/>
      <c r="C30" s="1276"/>
      <c r="D30" s="1279"/>
      <c r="E30" s="1013">
        <v>2</v>
      </c>
      <c r="F30" s="1013">
        <v>2.5</v>
      </c>
      <c r="G30" s="1013">
        <v>3</v>
      </c>
      <c r="H30" s="1013">
        <v>4</v>
      </c>
      <c r="I30" s="655" t="s">
        <v>424</v>
      </c>
      <c r="J30" s="655" t="s">
        <v>424</v>
      </c>
      <c r="K30" s="656"/>
      <c r="L30" s="1281"/>
      <c r="M30" s="1262"/>
      <c r="N30" s="1013">
        <v>2</v>
      </c>
      <c r="O30" s="1013">
        <v>2.5</v>
      </c>
      <c r="P30" s="1013">
        <v>3</v>
      </c>
      <c r="Q30" s="1013">
        <v>4</v>
      </c>
      <c r="R30" s="655" t="s">
        <v>424</v>
      </c>
      <c r="S30" s="655" t="s">
        <v>424</v>
      </c>
      <c r="T30" s="657"/>
      <c r="U30" s="1271"/>
      <c r="V30" s="1268"/>
      <c r="W30" s="1268"/>
      <c r="X30" s="1268"/>
      <c r="Y30" s="1268"/>
    </row>
    <row r="31" spans="1:27" x14ac:dyDescent="0.3">
      <c r="A31" s="658">
        <v>1</v>
      </c>
      <c r="B31" s="659">
        <v>0</v>
      </c>
      <c r="C31">
        <v>477.834</v>
      </c>
      <c r="D31" s="659">
        <v>0</v>
      </c>
      <c r="E31" s="659">
        <v>0</v>
      </c>
      <c r="F31" s="659"/>
      <c r="G31" s="659"/>
      <c r="H31" s="659"/>
      <c r="I31" s="659"/>
      <c r="J31" s="660"/>
      <c r="K31" s="660"/>
      <c r="L31" s="659"/>
      <c r="M31" s="660"/>
      <c r="N31" s="659"/>
      <c r="O31" s="659"/>
      <c r="P31" s="659"/>
      <c r="Q31" s="659"/>
      <c r="R31" s="659"/>
      <c r="S31" s="659"/>
      <c r="T31" s="659"/>
      <c r="U31" s="659"/>
      <c r="V31" s="660">
        <v>0</v>
      </c>
      <c r="W31" s="660"/>
      <c r="X31" s="660"/>
      <c r="Y31" s="660">
        <f t="shared" ref="Y31:Y32" si="0">X31*W31</f>
        <v>0</v>
      </c>
      <c r="Z31" s="661"/>
      <c r="AA31" s="661"/>
    </row>
    <row r="32" spans="1:27" x14ac:dyDescent="0.3">
      <c r="A32" s="1019">
        <v>2</v>
      </c>
      <c r="B32" s="659">
        <f>B31+20</f>
        <v>20</v>
      </c>
      <c r="C32">
        <v>477.37495931758531</v>
      </c>
      <c r="D32" s="659">
        <f>$C$4-C32</f>
        <v>119.62504068241469</v>
      </c>
      <c r="E32" s="659">
        <f t="shared" ref="E32" si="1">IF(D32&lt;$E$29,D32*D32,IF(D32&gt;$E$29,$E$29*$E$29,0))</f>
        <v>100</v>
      </c>
      <c r="F32" s="659">
        <f t="shared" ref="F32" si="2">IF(D32&gt;$E$29,(IF(D32&lt;$F$29,(($E$29*$D$15)*(D32-$E$29))+(0.5*(D32-$E$29)*((D32-$E$29)*$D$16)),(($E$29*$D$15)*($F$29-$E$29))+(0.5*($F$29-$E$29)*(($F$29-$E$29)*$D$16)))),0)</f>
        <v>325</v>
      </c>
      <c r="G32" s="659">
        <f t="shared" ref="G32" si="3">IF(D32&gt;$A$17,IF(D32&lt;$C$17,(((D32-$A$17)*$D$17)*(D32-$A$17)*0.5)+(($C$16-$A$16)*$D$16)*(D32-$A$17)+(($C$15*$D$15*(D32-$A$17))),$F$17),0)</f>
        <v>600</v>
      </c>
      <c r="H32" s="659">
        <f t="shared" ref="H32" si="4">IF(D32&gt;$G$29,(((D32-$A$18)*$D$18)*(D32-$A$18)*0.5)+((($C$17-$A$17)*$D$17)*(D32-$A$18))+(($C$16-$A$16)*$D$16)*(D32-$A$18)+($C$15*$D$15*(D32-$A$18)),0)</f>
        <v>22787.173885830078</v>
      </c>
      <c r="I32" s="659">
        <f t="shared" ref="I32" si="5">IF(D32&gt;$E$29,((D32-$E$29)*$I$29),0)</f>
        <v>548.12520341207346</v>
      </c>
      <c r="J32" s="660">
        <f t="shared" ref="J32" si="6">IF(D32&gt;$F$29,((D32-$F$29)*$J$29),0)</f>
        <v>498.12520341207346</v>
      </c>
      <c r="K32" s="660">
        <f t="shared" ref="K32" si="7">IF(D32&gt;$G$29,((D32-$G$29)*$K$29),0)</f>
        <v>448.12520341207346</v>
      </c>
      <c r="L32" s="659">
        <f t="shared" ref="L32" si="8">SUM(E32:K32)</f>
        <v>25306.549496066298</v>
      </c>
      <c r="M32" s="660">
        <f t="shared" ref="M32" si="9">$J$14*D32</f>
        <v>717.75024409448815</v>
      </c>
      <c r="N32" s="659">
        <f t="shared" ref="N32" si="10">IF(D32&lt;$N$29,D32*D32,IF(D32&gt;$N$29,$N$29*$N$29,0))</f>
        <v>100</v>
      </c>
      <c r="O32" s="659">
        <f>F32</f>
        <v>325</v>
      </c>
      <c r="P32" s="659">
        <v>0</v>
      </c>
      <c r="Q32" s="659">
        <v>0</v>
      </c>
      <c r="R32" s="659">
        <v>0</v>
      </c>
      <c r="S32" s="659">
        <v>0</v>
      </c>
      <c r="T32" s="659">
        <v>0</v>
      </c>
      <c r="U32" s="659">
        <f t="shared" ref="U32" si="11">SUM(N32:T32)</f>
        <v>425</v>
      </c>
      <c r="V32" s="660">
        <f t="shared" ref="V32" si="12">U32+M32+L32</f>
        <v>26449.299740160786</v>
      </c>
      <c r="W32" s="660">
        <f t="shared" ref="W32" si="13">AVERAGE(V31:V32)</f>
        <v>13224.649870080393</v>
      </c>
      <c r="X32" s="660">
        <f t="shared" ref="X32" si="14">B32-B31</f>
        <v>20</v>
      </c>
      <c r="Y32" s="660">
        <f t="shared" si="0"/>
        <v>264492.99740160786</v>
      </c>
      <c r="Z32" s="661"/>
      <c r="AA32" s="661"/>
    </row>
    <row r="33" spans="1:27" x14ac:dyDescent="0.3">
      <c r="A33" s="1035">
        <v>3</v>
      </c>
      <c r="B33" s="659">
        <f t="shared" ref="B33:B68" si="15">B32+20</f>
        <v>40</v>
      </c>
      <c r="C33">
        <v>476.60178899082564</v>
      </c>
      <c r="D33" s="659">
        <f t="shared" ref="D33:D68" si="16">$C$4-C33</f>
        <v>120.39821100917436</v>
      </c>
      <c r="E33" s="659">
        <f t="shared" ref="E33:E68" si="17">IF(D33&lt;$E$29,D33*D33,IF(D33&gt;$E$29,$E$29*$E$29,0))</f>
        <v>100</v>
      </c>
      <c r="F33" s="659">
        <f t="shared" ref="F33:F68" si="18">IF(D33&gt;$E$29,(IF(D33&lt;$F$29,(($E$29*$D$15)*(D33-$E$29))+(0.5*(D33-$E$29)*((D33-$E$29)*$D$16)),(($E$29*$D$15)*($F$29-$E$29))+(0.5*($F$29-$E$29)*(($F$29-$E$29)*$D$16)))),0)</f>
        <v>325</v>
      </c>
      <c r="G33" s="659">
        <f t="shared" ref="G33:G68" si="19">IF(D33&gt;$A$17,IF(D33&lt;$C$17,(((D33-$A$17)*$D$17)*(D33-$A$17)*0.5)+(($C$16-$A$16)*$D$16)*(D33-$A$17)+(($C$15*$D$15*(D33-$A$17))),$F$17),0)</f>
        <v>600</v>
      </c>
      <c r="H33" s="659">
        <f t="shared" ref="H33:H68" si="20">IF(D33&gt;$G$29,(((D33-$A$18)*$D$18)*(D33-$A$18)*0.5)+((($C$17-$A$17)*$D$17)*(D33-$A$18))+(($C$16-$A$16)*$D$16)*(D33-$A$18)+($C$15*$D$15*(D33-$A$18)),0)</f>
        <v>23123.538933006505</v>
      </c>
      <c r="I33" s="659">
        <f t="shared" ref="I33:I68" si="21">IF(D33&gt;$E$29,((D33-$E$29)*$I$29),0)</f>
        <v>551.9910550458718</v>
      </c>
      <c r="J33" s="660">
        <f t="shared" ref="J33:J68" si="22">IF(D33&gt;$F$29,((D33-$F$29)*$J$29),0)</f>
        <v>501.9910550458718</v>
      </c>
      <c r="K33" s="660">
        <f t="shared" ref="K33:K68" si="23">IF(D33&gt;$G$29,((D33-$G$29)*$K$29),0)</f>
        <v>451.9910550458718</v>
      </c>
      <c r="L33" s="659">
        <f t="shared" ref="L33:L68" si="24">SUM(E33:K33)</f>
        <v>25654.512098144125</v>
      </c>
      <c r="M33" s="660">
        <f t="shared" ref="M33:M68" si="25">$J$14*D33</f>
        <v>722.38926605504616</v>
      </c>
      <c r="N33" s="659">
        <f t="shared" ref="N33:N68" si="26">IF(D33&lt;$N$29,D33*D33,IF(D33&gt;$N$29,$N$29*$N$29,0))</f>
        <v>100</v>
      </c>
      <c r="O33" s="659">
        <f t="shared" ref="O33:O68" si="27">F33</f>
        <v>325</v>
      </c>
      <c r="P33" s="659">
        <v>0</v>
      </c>
      <c r="Q33" s="659">
        <v>0</v>
      </c>
      <c r="R33" s="659">
        <v>0</v>
      </c>
      <c r="S33" s="659">
        <v>0</v>
      </c>
      <c r="T33" s="659">
        <v>0</v>
      </c>
      <c r="U33" s="659">
        <f t="shared" ref="U33:U68" si="28">SUM(N33:T33)</f>
        <v>425</v>
      </c>
      <c r="V33" s="660">
        <f t="shared" ref="V33:V68" si="29">U33+M33+L33</f>
        <v>26801.90136419917</v>
      </c>
      <c r="W33" s="660">
        <f t="shared" ref="W33:W68" si="30">AVERAGE(V32:V33)</f>
        <v>26625.600552179978</v>
      </c>
      <c r="X33" s="660">
        <f t="shared" ref="X33:X68" si="31">B33-B32</f>
        <v>20</v>
      </c>
      <c r="Y33" s="660">
        <f t="shared" ref="Y33:Y68" si="32">X33*W33</f>
        <v>532512.01104359957</v>
      </c>
      <c r="Z33" s="661"/>
      <c r="AA33" s="661"/>
    </row>
    <row r="34" spans="1:27" x14ac:dyDescent="0.3">
      <c r="A34" s="1035">
        <v>4</v>
      </c>
      <c r="B34" s="659">
        <f t="shared" si="15"/>
        <v>60</v>
      </c>
      <c r="C34">
        <v>476.11086614173229</v>
      </c>
      <c r="D34" s="659">
        <f t="shared" si="16"/>
        <v>120.88913385826771</v>
      </c>
      <c r="E34" s="659">
        <f t="shared" si="17"/>
        <v>100</v>
      </c>
      <c r="F34" s="659">
        <f t="shared" si="18"/>
        <v>325</v>
      </c>
      <c r="G34" s="659">
        <f t="shared" si="19"/>
        <v>600</v>
      </c>
      <c r="H34" s="659">
        <f t="shared" si="20"/>
        <v>23338.35434638229</v>
      </c>
      <c r="I34" s="659">
        <f t="shared" si="21"/>
        <v>554.44566929133862</v>
      </c>
      <c r="J34" s="660">
        <f t="shared" si="22"/>
        <v>504.44566929133856</v>
      </c>
      <c r="K34" s="660">
        <f t="shared" si="23"/>
        <v>454.44566929133856</v>
      </c>
      <c r="L34" s="659">
        <f t="shared" si="24"/>
        <v>25876.691354256302</v>
      </c>
      <c r="M34" s="660">
        <f t="shared" si="25"/>
        <v>725.33480314960627</v>
      </c>
      <c r="N34" s="659">
        <f t="shared" si="26"/>
        <v>100</v>
      </c>
      <c r="O34" s="659">
        <f t="shared" si="27"/>
        <v>325</v>
      </c>
      <c r="P34" s="659">
        <v>0</v>
      </c>
      <c r="Q34" s="659">
        <v>0</v>
      </c>
      <c r="R34" s="659">
        <v>0</v>
      </c>
      <c r="S34" s="659">
        <v>0</v>
      </c>
      <c r="T34" s="659">
        <v>0</v>
      </c>
      <c r="U34" s="659">
        <f t="shared" si="28"/>
        <v>425</v>
      </c>
      <c r="V34" s="660">
        <f t="shared" si="29"/>
        <v>27027.026157405908</v>
      </c>
      <c r="W34" s="660">
        <f t="shared" si="30"/>
        <v>26914.463760802537</v>
      </c>
      <c r="X34" s="660">
        <f t="shared" si="31"/>
        <v>20</v>
      </c>
      <c r="Y34" s="660">
        <f t="shared" si="32"/>
        <v>538289.27521605068</v>
      </c>
      <c r="Z34" s="661"/>
      <c r="AA34" s="661"/>
    </row>
    <row r="35" spans="1:27" x14ac:dyDescent="0.3">
      <c r="A35" s="1035">
        <v>5</v>
      </c>
      <c r="B35" s="659">
        <f t="shared" si="15"/>
        <v>80</v>
      </c>
      <c r="C35">
        <v>475.51279921259845</v>
      </c>
      <c r="D35" s="659">
        <f t="shared" si="16"/>
        <v>121.48720078740155</v>
      </c>
      <c r="E35" s="659">
        <f t="shared" si="17"/>
        <v>100</v>
      </c>
      <c r="F35" s="659">
        <f t="shared" si="18"/>
        <v>325</v>
      </c>
      <c r="G35" s="659">
        <f t="shared" si="19"/>
        <v>600</v>
      </c>
      <c r="H35" s="659">
        <f t="shared" si="20"/>
        <v>23601.355874883768</v>
      </c>
      <c r="I35" s="659">
        <f t="shared" si="21"/>
        <v>557.43600393700774</v>
      </c>
      <c r="J35" s="660">
        <f t="shared" si="22"/>
        <v>507.43600393700774</v>
      </c>
      <c r="K35" s="660">
        <f t="shared" si="23"/>
        <v>457.43600393700774</v>
      </c>
      <c r="L35" s="659">
        <f t="shared" si="24"/>
        <v>26148.663886694791</v>
      </c>
      <c r="M35" s="660">
        <f t="shared" si="25"/>
        <v>728.92320472440929</v>
      </c>
      <c r="N35" s="659">
        <f t="shared" si="26"/>
        <v>100</v>
      </c>
      <c r="O35" s="659">
        <f t="shared" si="27"/>
        <v>325</v>
      </c>
      <c r="P35" s="659">
        <v>0</v>
      </c>
      <c r="Q35" s="659">
        <v>0</v>
      </c>
      <c r="R35" s="659">
        <v>0</v>
      </c>
      <c r="S35" s="659">
        <v>0</v>
      </c>
      <c r="T35" s="659">
        <v>0</v>
      </c>
      <c r="U35" s="659">
        <f t="shared" si="28"/>
        <v>425</v>
      </c>
      <c r="V35" s="660">
        <f t="shared" si="29"/>
        <v>27302.587091419198</v>
      </c>
      <c r="W35" s="660">
        <f t="shared" si="30"/>
        <v>27164.806624412551</v>
      </c>
      <c r="X35" s="660">
        <f t="shared" si="31"/>
        <v>20</v>
      </c>
      <c r="Y35" s="660">
        <f t="shared" si="32"/>
        <v>543296.13248825097</v>
      </c>
      <c r="Z35" s="661"/>
      <c r="AA35" s="661"/>
    </row>
    <row r="36" spans="1:27" x14ac:dyDescent="0.3">
      <c r="A36" s="1035">
        <v>6</v>
      </c>
      <c r="B36" s="659">
        <f t="shared" si="15"/>
        <v>100</v>
      </c>
      <c r="C36">
        <v>474.85713612565439</v>
      </c>
      <c r="D36" s="659">
        <f t="shared" si="16"/>
        <v>122.14286387434561</v>
      </c>
      <c r="E36" s="659">
        <f t="shared" si="17"/>
        <v>100</v>
      </c>
      <c r="F36" s="659">
        <f t="shared" si="18"/>
        <v>325</v>
      </c>
      <c r="G36" s="659">
        <f t="shared" si="19"/>
        <v>600</v>
      </c>
      <c r="H36" s="659">
        <f t="shared" si="20"/>
        <v>23891.329516508293</v>
      </c>
      <c r="I36" s="659">
        <f t="shared" si="21"/>
        <v>560.71431937172804</v>
      </c>
      <c r="J36" s="660">
        <f t="shared" si="22"/>
        <v>510.71431937172804</v>
      </c>
      <c r="K36" s="660">
        <f t="shared" si="23"/>
        <v>460.71431937172804</v>
      </c>
      <c r="L36" s="659">
        <f t="shared" si="24"/>
        <v>26448.472474623475</v>
      </c>
      <c r="M36" s="660">
        <f t="shared" si="25"/>
        <v>732.85718324607365</v>
      </c>
      <c r="N36" s="659">
        <f t="shared" si="26"/>
        <v>100</v>
      </c>
      <c r="O36" s="659">
        <f t="shared" si="27"/>
        <v>325</v>
      </c>
      <c r="P36" s="659">
        <v>0</v>
      </c>
      <c r="Q36" s="659">
        <v>0</v>
      </c>
      <c r="R36" s="659">
        <v>0</v>
      </c>
      <c r="S36" s="659">
        <v>0</v>
      </c>
      <c r="T36" s="659">
        <v>0</v>
      </c>
      <c r="U36" s="659">
        <f t="shared" si="28"/>
        <v>425</v>
      </c>
      <c r="V36" s="660">
        <f t="shared" si="29"/>
        <v>27606.329657869548</v>
      </c>
      <c r="W36" s="660">
        <f t="shared" si="30"/>
        <v>27454.458374644375</v>
      </c>
      <c r="X36" s="660">
        <f t="shared" si="31"/>
        <v>20</v>
      </c>
      <c r="Y36" s="660">
        <f t="shared" si="32"/>
        <v>549089.16749288747</v>
      </c>
      <c r="Z36" s="661"/>
      <c r="AA36" s="661"/>
    </row>
    <row r="37" spans="1:27" x14ac:dyDescent="0.3">
      <c r="A37" s="1035">
        <v>7</v>
      </c>
      <c r="B37" s="659">
        <f t="shared" si="15"/>
        <v>120</v>
      </c>
      <c r="C37">
        <v>474.7220789473684</v>
      </c>
      <c r="D37" s="659">
        <f t="shared" si="16"/>
        <v>122.2779210526316</v>
      </c>
      <c r="E37" s="659">
        <f t="shared" si="17"/>
        <v>100</v>
      </c>
      <c r="F37" s="659">
        <f t="shared" si="18"/>
        <v>325</v>
      </c>
      <c r="G37" s="659">
        <f t="shared" si="19"/>
        <v>600</v>
      </c>
      <c r="H37" s="659">
        <f t="shared" si="20"/>
        <v>23951.273506538786</v>
      </c>
      <c r="I37" s="659">
        <f t="shared" si="21"/>
        <v>561.38960526315805</v>
      </c>
      <c r="J37" s="660">
        <f t="shared" si="22"/>
        <v>511.38960526315799</v>
      </c>
      <c r="K37" s="660">
        <f t="shared" si="23"/>
        <v>461.38960526315799</v>
      </c>
      <c r="L37" s="659">
        <f t="shared" si="24"/>
        <v>26510.442322328257</v>
      </c>
      <c r="M37" s="660">
        <f t="shared" si="25"/>
        <v>733.66752631578959</v>
      </c>
      <c r="N37" s="659">
        <f t="shared" si="26"/>
        <v>100</v>
      </c>
      <c r="O37" s="659">
        <f t="shared" si="27"/>
        <v>325</v>
      </c>
      <c r="P37" s="659">
        <v>0</v>
      </c>
      <c r="Q37" s="659">
        <v>0</v>
      </c>
      <c r="R37" s="659">
        <v>0</v>
      </c>
      <c r="S37" s="659">
        <v>0</v>
      </c>
      <c r="T37" s="659">
        <v>0</v>
      </c>
      <c r="U37" s="659">
        <f t="shared" si="28"/>
        <v>425</v>
      </c>
      <c r="V37" s="660">
        <f t="shared" si="29"/>
        <v>27669.109848644046</v>
      </c>
      <c r="W37" s="660">
        <f t="shared" si="30"/>
        <v>27637.719753256795</v>
      </c>
      <c r="X37" s="660">
        <f t="shared" si="31"/>
        <v>20</v>
      </c>
      <c r="Y37" s="660">
        <f t="shared" si="32"/>
        <v>552754.3950651359</v>
      </c>
      <c r="Z37" s="661"/>
      <c r="AA37" s="661"/>
    </row>
    <row r="38" spans="1:27" x14ac:dyDescent="0.3">
      <c r="A38" s="1035">
        <v>8</v>
      </c>
      <c r="B38" s="659">
        <f t="shared" si="15"/>
        <v>140</v>
      </c>
      <c r="C38">
        <v>474.76499999999999</v>
      </c>
      <c r="D38" s="659">
        <f t="shared" si="16"/>
        <v>122.23500000000001</v>
      </c>
      <c r="E38" s="659">
        <f t="shared" si="17"/>
        <v>100</v>
      </c>
      <c r="F38" s="659">
        <f t="shared" si="18"/>
        <v>325</v>
      </c>
      <c r="G38" s="659">
        <f t="shared" si="19"/>
        <v>600</v>
      </c>
      <c r="H38" s="659">
        <f t="shared" si="20"/>
        <v>23932.215450000003</v>
      </c>
      <c r="I38" s="659">
        <f t="shared" si="21"/>
        <v>561.17500000000007</v>
      </c>
      <c r="J38" s="660">
        <f t="shared" si="22"/>
        <v>511.17500000000007</v>
      </c>
      <c r="K38" s="660">
        <f t="shared" si="23"/>
        <v>461.17500000000007</v>
      </c>
      <c r="L38" s="659">
        <f t="shared" si="24"/>
        <v>26490.740450000001</v>
      </c>
      <c r="M38" s="660">
        <f t="shared" si="25"/>
        <v>733.41000000000008</v>
      </c>
      <c r="N38" s="659">
        <f t="shared" si="26"/>
        <v>100</v>
      </c>
      <c r="O38" s="659">
        <f t="shared" si="27"/>
        <v>325</v>
      </c>
      <c r="P38" s="659">
        <v>0</v>
      </c>
      <c r="Q38" s="659">
        <v>0</v>
      </c>
      <c r="R38" s="659">
        <v>0</v>
      </c>
      <c r="S38" s="659">
        <v>0</v>
      </c>
      <c r="T38" s="659">
        <v>0</v>
      </c>
      <c r="U38" s="659">
        <f t="shared" si="28"/>
        <v>425</v>
      </c>
      <c r="V38" s="660">
        <f t="shared" si="29"/>
        <v>27649.150450000001</v>
      </c>
      <c r="W38" s="660">
        <f t="shared" si="30"/>
        <v>27659.130149322023</v>
      </c>
      <c r="X38" s="660">
        <f t="shared" si="31"/>
        <v>20</v>
      </c>
      <c r="Y38" s="660">
        <f t="shared" si="32"/>
        <v>553182.60298644053</v>
      </c>
      <c r="Z38" s="661"/>
      <c r="AA38" s="661"/>
    </row>
    <row r="39" spans="1:27" x14ac:dyDescent="0.3">
      <c r="A39" s="1035">
        <v>9</v>
      </c>
      <c r="B39" s="659">
        <f t="shared" si="15"/>
        <v>160</v>
      </c>
      <c r="C39">
        <v>474.62121052631579</v>
      </c>
      <c r="D39" s="659">
        <f t="shared" si="16"/>
        <v>122.37878947368421</v>
      </c>
      <c r="E39" s="659">
        <f t="shared" si="17"/>
        <v>100</v>
      </c>
      <c r="F39" s="659">
        <f t="shared" si="18"/>
        <v>325</v>
      </c>
      <c r="G39" s="659">
        <f t="shared" si="19"/>
        <v>600</v>
      </c>
      <c r="H39" s="659">
        <f t="shared" si="20"/>
        <v>23996.090699772853</v>
      </c>
      <c r="I39" s="659">
        <f t="shared" si="21"/>
        <v>561.8939473684211</v>
      </c>
      <c r="J39" s="660">
        <f t="shared" si="22"/>
        <v>511.89394736842104</v>
      </c>
      <c r="K39" s="660">
        <f t="shared" si="23"/>
        <v>461.89394736842104</v>
      </c>
      <c r="L39" s="659">
        <f t="shared" si="24"/>
        <v>26556.772541878119</v>
      </c>
      <c r="M39" s="660">
        <f t="shared" si="25"/>
        <v>734.27273684210525</v>
      </c>
      <c r="N39" s="659">
        <f t="shared" si="26"/>
        <v>100</v>
      </c>
      <c r="O39" s="659">
        <f t="shared" si="27"/>
        <v>325</v>
      </c>
      <c r="P39" s="659">
        <v>0</v>
      </c>
      <c r="Q39" s="659">
        <v>0</v>
      </c>
      <c r="R39" s="659">
        <v>0</v>
      </c>
      <c r="S39" s="659">
        <v>0</v>
      </c>
      <c r="T39" s="659">
        <v>0</v>
      </c>
      <c r="U39" s="659">
        <f t="shared" si="28"/>
        <v>425</v>
      </c>
      <c r="V39" s="660">
        <f t="shared" si="29"/>
        <v>27716.045278720223</v>
      </c>
      <c r="W39" s="660">
        <f t="shared" si="30"/>
        <v>27682.597864360112</v>
      </c>
      <c r="X39" s="660">
        <f t="shared" si="31"/>
        <v>20</v>
      </c>
      <c r="Y39" s="660">
        <f t="shared" si="32"/>
        <v>553651.95728720224</v>
      </c>
      <c r="Z39" s="661"/>
      <c r="AA39" s="661"/>
    </row>
    <row r="40" spans="1:27" x14ac:dyDescent="0.3">
      <c r="A40" s="1035">
        <v>10</v>
      </c>
      <c r="B40" s="659">
        <f t="shared" si="15"/>
        <v>180</v>
      </c>
      <c r="C40">
        <v>474.47307894736844</v>
      </c>
      <c r="D40" s="659">
        <f t="shared" si="16"/>
        <v>122.52692105263156</v>
      </c>
      <c r="E40" s="659">
        <f t="shared" si="17"/>
        <v>100</v>
      </c>
      <c r="F40" s="659">
        <f t="shared" si="18"/>
        <v>325</v>
      </c>
      <c r="G40" s="659">
        <f t="shared" si="19"/>
        <v>600</v>
      </c>
      <c r="H40" s="659">
        <f t="shared" si="20"/>
        <v>24061.981317907197</v>
      </c>
      <c r="I40" s="659">
        <f t="shared" si="21"/>
        <v>562.63460526315782</v>
      </c>
      <c r="J40" s="660">
        <f t="shared" si="22"/>
        <v>512.63460526315782</v>
      </c>
      <c r="K40" s="660">
        <f t="shared" si="23"/>
        <v>462.63460526315782</v>
      </c>
      <c r="L40" s="659">
        <f t="shared" si="24"/>
        <v>26624.885133696665</v>
      </c>
      <c r="M40" s="660">
        <f t="shared" si="25"/>
        <v>735.16152631578939</v>
      </c>
      <c r="N40" s="659">
        <f t="shared" si="26"/>
        <v>100</v>
      </c>
      <c r="O40" s="659">
        <f t="shared" si="27"/>
        <v>325</v>
      </c>
      <c r="P40" s="659">
        <v>0</v>
      </c>
      <c r="Q40" s="659">
        <v>0</v>
      </c>
      <c r="R40" s="659">
        <v>0</v>
      </c>
      <c r="S40" s="659">
        <v>0</v>
      </c>
      <c r="T40" s="659">
        <v>0</v>
      </c>
      <c r="U40" s="659">
        <f t="shared" si="28"/>
        <v>425</v>
      </c>
      <c r="V40" s="660">
        <f t="shared" si="29"/>
        <v>27785.046660012456</v>
      </c>
      <c r="W40" s="660">
        <f t="shared" si="30"/>
        <v>27750.54596936634</v>
      </c>
      <c r="X40" s="660">
        <f t="shared" si="31"/>
        <v>20</v>
      </c>
      <c r="Y40" s="660">
        <f t="shared" si="32"/>
        <v>555010.91938732681</v>
      </c>
      <c r="Z40" s="661"/>
      <c r="AA40" s="661"/>
    </row>
    <row r="41" spans="1:27" x14ac:dyDescent="0.3">
      <c r="A41" s="1035">
        <v>11</v>
      </c>
      <c r="B41" s="659">
        <f t="shared" si="15"/>
        <v>200</v>
      </c>
      <c r="C41">
        <v>474.26559210526312</v>
      </c>
      <c r="D41" s="659">
        <f t="shared" si="16"/>
        <v>122.73440789473688</v>
      </c>
      <c r="E41" s="659">
        <f t="shared" si="17"/>
        <v>100</v>
      </c>
      <c r="F41" s="659">
        <f t="shared" si="18"/>
        <v>325</v>
      </c>
      <c r="G41" s="659">
        <f t="shared" si="19"/>
        <v>600</v>
      </c>
      <c r="H41" s="659">
        <f t="shared" si="20"/>
        <v>24154.421407280141</v>
      </c>
      <c r="I41" s="659">
        <f t="shared" si="21"/>
        <v>563.67203947368444</v>
      </c>
      <c r="J41" s="660">
        <f t="shared" si="22"/>
        <v>513.67203947368444</v>
      </c>
      <c r="K41" s="660">
        <f t="shared" si="23"/>
        <v>463.67203947368438</v>
      </c>
      <c r="L41" s="659">
        <f t="shared" si="24"/>
        <v>26720.437525701192</v>
      </c>
      <c r="M41" s="660">
        <f t="shared" si="25"/>
        <v>736.40644736842125</v>
      </c>
      <c r="N41" s="659">
        <f t="shared" si="26"/>
        <v>100</v>
      </c>
      <c r="O41" s="659">
        <f t="shared" si="27"/>
        <v>325</v>
      </c>
      <c r="P41" s="659">
        <v>0</v>
      </c>
      <c r="Q41" s="659">
        <v>0</v>
      </c>
      <c r="R41" s="659">
        <v>0</v>
      </c>
      <c r="S41" s="659">
        <v>0</v>
      </c>
      <c r="T41" s="659">
        <v>0</v>
      </c>
      <c r="U41" s="659">
        <f t="shared" si="28"/>
        <v>425</v>
      </c>
      <c r="V41" s="660">
        <f t="shared" si="29"/>
        <v>27881.843973069612</v>
      </c>
      <c r="W41" s="660">
        <f t="shared" si="30"/>
        <v>27833.445316541034</v>
      </c>
      <c r="X41" s="660">
        <f t="shared" si="31"/>
        <v>20</v>
      </c>
      <c r="Y41" s="660">
        <f t="shared" si="32"/>
        <v>556668.90633082064</v>
      </c>
      <c r="Z41" s="661"/>
      <c r="AA41" s="661"/>
    </row>
    <row r="42" spans="1:27" x14ac:dyDescent="0.3">
      <c r="A42" s="1035">
        <v>12</v>
      </c>
      <c r="B42" s="659">
        <f t="shared" si="15"/>
        <v>220</v>
      </c>
      <c r="C42">
        <v>470.31336842105264</v>
      </c>
      <c r="D42" s="659">
        <f t="shared" si="16"/>
        <v>126.68663157894736</v>
      </c>
      <c r="E42" s="659">
        <f t="shared" si="17"/>
        <v>100</v>
      </c>
      <c r="F42" s="659">
        <f t="shared" si="18"/>
        <v>325</v>
      </c>
      <c r="G42" s="659">
        <f t="shared" si="19"/>
        <v>600</v>
      </c>
      <c r="H42" s="659">
        <f t="shared" si="20"/>
        <v>25948.106820587254</v>
      </c>
      <c r="I42" s="659">
        <f t="shared" si="21"/>
        <v>583.43315789473672</v>
      </c>
      <c r="J42" s="660">
        <f t="shared" si="22"/>
        <v>533.43315789473672</v>
      </c>
      <c r="K42" s="660">
        <f t="shared" si="23"/>
        <v>483.43315789473678</v>
      </c>
      <c r="L42" s="659">
        <f t="shared" si="24"/>
        <v>28573.406294271466</v>
      </c>
      <c r="M42" s="660">
        <f t="shared" si="25"/>
        <v>760.11978947368414</v>
      </c>
      <c r="N42" s="659">
        <f t="shared" si="26"/>
        <v>100</v>
      </c>
      <c r="O42" s="659">
        <f t="shared" si="27"/>
        <v>325</v>
      </c>
      <c r="P42" s="659">
        <v>0</v>
      </c>
      <c r="Q42" s="659">
        <v>0</v>
      </c>
      <c r="R42" s="659">
        <v>0</v>
      </c>
      <c r="S42" s="659">
        <v>0</v>
      </c>
      <c r="T42" s="659">
        <v>0</v>
      </c>
      <c r="U42" s="659">
        <f t="shared" si="28"/>
        <v>425</v>
      </c>
      <c r="V42" s="660">
        <f t="shared" si="29"/>
        <v>29758.52608374515</v>
      </c>
      <c r="W42" s="660">
        <f t="shared" si="30"/>
        <v>28820.185028407381</v>
      </c>
      <c r="X42" s="660">
        <f t="shared" si="31"/>
        <v>20</v>
      </c>
      <c r="Y42" s="660">
        <f t="shared" si="32"/>
        <v>576403.70056814759</v>
      </c>
      <c r="Z42" s="661"/>
      <c r="AA42" s="661"/>
    </row>
    <row r="43" spans="1:27" x14ac:dyDescent="0.3">
      <c r="A43" s="1035">
        <v>13</v>
      </c>
      <c r="B43" s="659">
        <f t="shared" si="15"/>
        <v>240</v>
      </c>
      <c r="C43">
        <v>469.86581578947369</v>
      </c>
      <c r="D43" s="659">
        <f t="shared" si="16"/>
        <v>127.13418421052631</v>
      </c>
      <c r="E43" s="659">
        <f t="shared" si="17"/>
        <v>100</v>
      </c>
      <c r="F43" s="659">
        <f t="shared" si="18"/>
        <v>325</v>
      </c>
      <c r="G43" s="659">
        <f t="shared" si="19"/>
        <v>600</v>
      </c>
      <c r="H43" s="659">
        <f t="shared" si="20"/>
        <v>26155.163300278389</v>
      </c>
      <c r="I43" s="659">
        <f t="shared" si="21"/>
        <v>585.67092105263157</v>
      </c>
      <c r="J43" s="660">
        <f t="shared" si="22"/>
        <v>535.67092105263157</v>
      </c>
      <c r="K43" s="660">
        <f t="shared" si="23"/>
        <v>485.67092105263157</v>
      </c>
      <c r="L43" s="659">
        <f t="shared" si="24"/>
        <v>28787.176063436284</v>
      </c>
      <c r="M43" s="660">
        <f t="shared" si="25"/>
        <v>762.80510526315788</v>
      </c>
      <c r="N43" s="659">
        <f t="shared" si="26"/>
        <v>100</v>
      </c>
      <c r="O43" s="659">
        <f t="shared" si="27"/>
        <v>325</v>
      </c>
      <c r="P43" s="659">
        <v>0</v>
      </c>
      <c r="Q43" s="659">
        <v>0</v>
      </c>
      <c r="R43" s="659">
        <v>0</v>
      </c>
      <c r="S43" s="659">
        <v>0</v>
      </c>
      <c r="T43" s="659">
        <v>0</v>
      </c>
      <c r="U43" s="659">
        <f t="shared" si="28"/>
        <v>425</v>
      </c>
      <c r="V43" s="660">
        <f t="shared" si="29"/>
        <v>29974.98116869944</v>
      </c>
      <c r="W43" s="660">
        <f t="shared" si="30"/>
        <v>29866.753626222293</v>
      </c>
      <c r="X43" s="660">
        <f t="shared" si="31"/>
        <v>20</v>
      </c>
      <c r="Y43" s="660">
        <f t="shared" si="32"/>
        <v>597335.07252444583</v>
      </c>
      <c r="Z43" s="661"/>
      <c r="AA43" s="661"/>
    </row>
    <row r="44" spans="1:27" x14ac:dyDescent="0.3">
      <c r="A44" s="1035">
        <v>14</v>
      </c>
      <c r="B44" s="659">
        <f t="shared" si="15"/>
        <v>260</v>
      </c>
      <c r="C44">
        <v>469.42184210526324</v>
      </c>
      <c r="D44" s="659">
        <f t="shared" si="16"/>
        <v>127.57815789473676</v>
      </c>
      <c r="E44" s="659">
        <f t="shared" si="17"/>
        <v>100</v>
      </c>
      <c r="F44" s="659">
        <f t="shared" si="18"/>
        <v>325</v>
      </c>
      <c r="G44" s="659">
        <f t="shared" si="19"/>
        <v>600</v>
      </c>
      <c r="H44" s="659">
        <f t="shared" si="20"/>
        <v>26361.355638365618</v>
      </c>
      <c r="I44" s="659">
        <f t="shared" si="21"/>
        <v>587.89078947368375</v>
      </c>
      <c r="J44" s="660">
        <f t="shared" si="22"/>
        <v>537.89078947368375</v>
      </c>
      <c r="K44" s="660">
        <f t="shared" si="23"/>
        <v>487.89078947368381</v>
      </c>
      <c r="L44" s="659">
        <f t="shared" si="24"/>
        <v>29000.02800678667</v>
      </c>
      <c r="M44" s="660">
        <f t="shared" si="25"/>
        <v>765.46894736842057</v>
      </c>
      <c r="N44" s="659">
        <f t="shared" si="26"/>
        <v>100</v>
      </c>
      <c r="O44" s="659">
        <f t="shared" si="27"/>
        <v>325</v>
      </c>
      <c r="P44" s="659">
        <v>0</v>
      </c>
      <c r="Q44" s="659">
        <v>0</v>
      </c>
      <c r="R44" s="659">
        <v>0</v>
      </c>
      <c r="S44" s="659">
        <v>0</v>
      </c>
      <c r="T44" s="659">
        <v>0</v>
      </c>
      <c r="U44" s="659">
        <f t="shared" si="28"/>
        <v>425</v>
      </c>
      <c r="V44" s="660">
        <f t="shared" si="29"/>
        <v>30190.496954155089</v>
      </c>
      <c r="W44" s="660">
        <f t="shared" si="30"/>
        <v>30082.739061427266</v>
      </c>
      <c r="X44" s="660">
        <f t="shared" si="31"/>
        <v>20</v>
      </c>
      <c r="Y44" s="660">
        <f t="shared" si="32"/>
        <v>601654.78122854535</v>
      </c>
      <c r="Z44" s="661"/>
      <c r="AA44" s="661"/>
    </row>
    <row r="45" spans="1:27" x14ac:dyDescent="0.3">
      <c r="A45" s="1035">
        <v>15</v>
      </c>
      <c r="B45" s="659">
        <f t="shared" si="15"/>
        <v>280</v>
      </c>
      <c r="C45">
        <v>469.52473684210526</v>
      </c>
      <c r="D45" s="659">
        <f t="shared" si="16"/>
        <v>127.47526315789474</v>
      </c>
      <c r="E45" s="659">
        <f t="shared" si="17"/>
        <v>100</v>
      </c>
      <c r="F45" s="659">
        <f t="shared" si="18"/>
        <v>325</v>
      </c>
      <c r="G45" s="659">
        <f t="shared" si="19"/>
        <v>600</v>
      </c>
      <c r="H45" s="659">
        <f t="shared" si="20"/>
        <v>26313.498592243774</v>
      </c>
      <c r="I45" s="659">
        <f t="shared" si="21"/>
        <v>587.37631578947367</v>
      </c>
      <c r="J45" s="660">
        <f t="shared" si="22"/>
        <v>537.37631578947367</v>
      </c>
      <c r="K45" s="660">
        <f t="shared" si="23"/>
        <v>487.37631578947372</v>
      </c>
      <c r="L45" s="659">
        <f t="shared" si="24"/>
        <v>28950.627539612196</v>
      </c>
      <c r="M45" s="660">
        <f t="shared" si="25"/>
        <v>764.85157894736847</v>
      </c>
      <c r="N45" s="659">
        <f t="shared" si="26"/>
        <v>100</v>
      </c>
      <c r="O45" s="659">
        <f t="shared" si="27"/>
        <v>325</v>
      </c>
      <c r="P45" s="659">
        <v>0</v>
      </c>
      <c r="Q45" s="659">
        <v>0</v>
      </c>
      <c r="R45" s="659">
        <v>0</v>
      </c>
      <c r="S45" s="659">
        <v>0</v>
      </c>
      <c r="T45" s="659">
        <v>0</v>
      </c>
      <c r="U45" s="659">
        <f t="shared" si="28"/>
        <v>425</v>
      </c>
      <c r="V45" s="660">
        <f t="shared" si="29"/>
        <v>30140.479118559564</v>
      </c>
      <c r="W45" s="660">
        <f t="shared" si="30"/>
        <v>30165.488036357325</v>
      </c>
      <c r="X45" s="660">
        <f t="shared" si="31"/>
        <v>20</v>
      </c>
      <c r="Y45" s="660">
        <f t="shared" si="32"/>
        <v>603309.76072714652</v>
      </c>
      <c r="Z45" s="661"/>
      <c r="AA45" s="661"/>
    </row>
    <row r="46" spans="1:27" x14ac:dyDescent="0.3">
      <c r="A46" s="1035">
        <v>16</v>
      </c>
      <c r="B46" s="659">
        <f t="shared" si="15"/>
        <v>300</v>
      </c>
      <c r="C46">
        <v>468.85885526315792</v>
      </c>
      <c r="D46" s="659">
        <f t="shared" si="16"/>
        <v>128.14114473684208</v>
      </c>
      <c r="E46" s="659">
        <f t="shared" si="17"/>
        <v>100</v>
      </c>
      <c r="F46" s="659">
        <f t="shared" si="18"/>
        <v>325</v>
      </c>
      <c r="G46" s="659">
        <f t="shared" si="19"/>
        <v>600</v>
      </c>
      <c r="H46" s="659">
        <f t="shared" si="20"/>
        <v>26623.954435778727</v>
      </c>
      <c r="I46" s="659">
        <f t="shared" si="21"/>
        <v>590.7057236842104</v>
      </c>
      <c r="J46" s="660">
        <f t="shared" si="22"/>
        <v>540.7057236842104</v>
      </c>
      <c r="K46" s="660">
        <f t="shared" si="23"/>
        <v>490.7057236842104</v>
      </c>
      <c r="L46" s="659">
        <f t="shared" si="24"/>
        <v>29271.071606831363</v>
      </c>
      <c r="M46" s="660">
        <f t="shared" si="25"/>
        <v>768.84686842105248</v>
      </c>
      <c r="N46" s="659">
        <f t="shared" si="26"/>
        <v>100</v>
      </c>
      <c r="O46" s="659">
        <f t="shared" si="27"/>
        <v>325</v>
      </c>
      <c r="P46" s="659">
        <v>0</v>
      </c>
      <c r="Q46" s="659">
        <v>0</v>
      </c>
      <c r="R46" s="659">
        <v>0</v>
      </c>
      <c r="S46" s="659">
        <v>0</v>
      </c>
      <c r="T46" s="659">
        <v>0</v>
      </c>
      <c r="U46" s="659">
        <f t="shared" si="28"/>
        <v>425</v>
      </c>
      <c r="V46" s="660">
        <f t="shared" si="29"/>
        <v>30464.918475252416</v>
      </c>
      <c r="W46" s="660">
        <f t="shared" si="30"/>
        <v>30302.698796905992</v>
      </c>
      <c r="X46" s="660">
        <f t="shared" si="31"/>
        <v>20</v>
      </c>
      <c r="Y46" s="660">
        <f t="shared" si="32"/>
        <v>606053.97593811981</v>
      </c>
      <c r="Z46" s="661"/>
      <c r="AA46" s="661"/>
    </row>
    <row r="47" spans="1:27" x14ac:dyDescent="0.3">
      <c r="A47" s="1035">
        <v>17</v>
      </c>
      <c r="B47" s="659">
        <f t="shared" si="15"/>
        <v>320</v>
      </c>
      <c r="C47">
        <v>468.42110526315793</v>
      </c>
      <c r="D47" s="659">
        <f t="shared" si="16"/>
        <v>128.57889473684207</v>
      </c>
      <c r="E47" s="659">
        <f t="shared" si="17"/>
        <v>100</v>
      </c>
      <c r="F47" s="659">
        <f t="shared" si="18"/>
        <v>325</v>
      </c>
      <c r="G47" s="659">
        <f t="shared" si="19"/>
        <v>600</v>
      </c>
      <c r="H47" s="659">
        <f t="shared" si="20"/>
        <v>26829.014080337933</v>
      </c>
      <c r="I47" s="659">
        <f t="shared" si="21"/>
        <v>592.89447368421042</v>
      </c>
      <c r="J47" s="660">
        <f t="shared" si="22"/>
        <v>542.89447368421042</v>
      </c>
      <c r="K47" s="660">
        <f t="shared" si="23"/>
        <v>492.89447368421037</v>
      </c>
      <c r="L47" s="659">
        <f t="shared" si="24"/>
        <v>29482.697501390561</v>
      </c>
      <c r="M47" s="660">
        <f t="shared" si="25"/>
        <v>771.47336842105244</v>
      </c>
      <c r="N47" s="659">
        <f t="shared" si="26"/>
        <v>100</v>
      </c>
      <c r="O47" s="659">
        <f t="shared" si="27"/>
        <v>325</v>
      </c>
      <c r="P47" s="659">
        <v>0</v>
      </c>
      <c r="Q47" s="659">
        <v>0</v>
      </c>
      <c r="R47" s="659">
        <v>0</v>
      </c>
      <c r="S47" s="659">
        <v>0</v>
      </c>
      <c r="T47" s="659">
        <v>0</v>
      </c>
      <c r="U47" s="659">
        <f t="shared" si="28"/>
        <v>425</v>
      </c>
      <c r="V47" s="660">
        <f t="shared" si="29"/>
        <v>30679.170869811613</v>
      </c>
      <c r="W47" s="660">
        <f t="shared" si="30"/>
        <v>30572.044672532014</v>
      </c>
      <c r="X47" s="660">
        <f t="shared" si="31"/>
        <v>20</v>
      </c>
      <c r="Y47" s="660">
        <f t="shared" si="32"/>
        <v>611440.89345064026</v>
      </c>
      <c r="Z47" s="661"/>
      <c r="AA47" s="661"/>
    </row>
    <row r="48" spans="1:27" x14ac:dyDescent="0.3">
      <c r="A48" s="1035">
        <v>18</v>
      </c>
      <c r="B48" s="659">
        <f t="shared" si="15"/>
        <v>340</v>
      </c>
      <c r="C48">
        <v>468.19992105263151</v>
      </c>
      <c r="D48" s="659">
        <f t="shared" si="16"/>
        <v>128.80007894736849</v>
      </c>
      <c r="E48" s="659">
        <f t="shared" si="17"/>
        <v>100</v>
      </c>
      <c r="F48" s="659">
        <f t="shared" si="18"/>
        <v>325</v>
      </c>
      <c r="G48" s="659">
        <f t="shared" si="19"/>
        <v>600</v>
      </c>
      <c r="H48" s="659">
        <f t="shared" si="20"/>
        <v>26932.917121065126</v>
      </c>
      <c r="I48" s="659">
        <f t="shared" si="21"/>
        <v>594.00039473684251</v>
      </c>
      <c r="J48" s="660">
        <f t="shared" si="22"/>
        <v>544.00039473684251</v>
      </c>
      <c r="K48" s="660">
        <f t="shared" si="23"/>
        <v>494.00039473684245</v>
      </c>
      <c r="L48" s="659">
        <f t="shared" si="24"/>
        <v>29589.918305275653</v>
      </c>
      <c r="M48" s="660">
        <f t="shared" si="25"/>
        <v>772.80047368421094</v>
      </c>
      <c r="N48" s="659">
        <f t="shared" si="26"/>
        <v>100</v>
      </c>
      <c r="O48" s="659">
        <f t="shared" si="27"/>
        <v>325</v>
      </c>
      <c r="P48" s="659">
        <v>0</v>
      </c>
      <c r="Q48" s="659">
        <v>0</v>
      </c>
      <c r="R48" s="659">
        <v>0</v>
      </c>
      <c r="S48" s="659">
        <v>0</v>
      </c>
      <c r="T48" s="659">
        <v>0</v>
      </c>
      <c r="U48" s="659">
        <f t="shared" si="28"/>
        <v>425</v>
      </c>
      <c r="V48" s="660">
        <f t="shared" si="29"/>
        <v>30787.718778959865</v>
      </c>
      <c r="W48" s="660">
        <f t="shared" si="30"/>
        <v>30733.444824385741</v>
      </c>
      <c r="X48" s="660">
        <f t="shared" si="31"/>
        <v>20</v>
      </c>
      <c r="Y48" s="660">
        <f t="shared" si="32"/>
        <v>614668.89648771484</v>
      </c>
      <c r="Z48" s="661"/>
      <c r="AA48" s="661"/>
    </row>
    <row r="49" spans="1:27" x14ac:dyDescent="0.3">
      <c r="A49" s="1035">
        <v>19</v>
      </c>
      <c r="B49" s="659">
        <f t="shared" si="15"/>
        <v>360</v>
      </c>
      <c r="C49">
        <v>462.14211688311696</v>
      </c>
      <c r="D49" s="659">
        <f t="shared" si="16"/>
        <v>134.85788311688304</v>
      </c>
      <c r="E49" s="659">
        <f t="shared" si="17"/>
        <v>100</v>
      </c>
      <c r="F49" s="659">
        <f t="shared" si="18"/>
        <v>325</v>
      </c>
      <c r="G49" s="659">
        <f t="shared" si="19"/>
        <v>600</v>
      </c>
      <c r="H49" s="659">
        <f t="shared" si="20"/>
        <v>29854.692537274041</v>
      </c>
      <c r="I49" s="659">
        <f t="shared" si="21"/>
        <v>624.28941558441522</v>
      </c>
      <c r="J49" s="660">
        <f t="shared" si="22"/>
        <v>574.28941558441522</v>
      </c>
      <c r="K49" s="660">
        <f t="shared" si="23"/>
        <v>524.28941558441522</v>
      </c>
      <c r="L49" s="659">
        <f t="shared" si="24"/>
        <v>32602.560784027286</v>
      </c>
      <c r="M49" s="660">
        <f t="shared" si="25"/>
        <v>809.14729870129827</v>
      </c>
      <c r="N49" s="659">
        <f t="shared" si="26"/>
        <v>100</v>
      </c>
      <c r="O49" s="659">
        <f t="shared" si="27"/>
        <v>325</v>
      </c>
      <c r="P49" s="659">
        <v>0</v>
      </c>
      <c r="Q49" s="659">
        <v>0</v>
      </c>
      <c r="R49" s="659">
        <v>0</v>
      </c>
      <c r="S49" s="659">
        <v>0</v>
      </c>
      <c r="T49" s="659">
        <v>0</v>
      </c>
      <c r="U49" s="659">
        <f t="shared" si="28"/>
        <v>425</v>
      </c>
      <c r="V49" s="660">
        <f t="shared" si="29"/>
        <v>33836.708082728583</v>
      </c>
      <c r="W49" s="660">
        <f t="shared" si="30"/>
        <v>32312.213430844226</v>
      </c>
      <c r="X49" s="660">
        <f t="shared" si="31"/>
        <v>20</v>
      </c>
      <c r="Y49" s="660">
        <f t="shared" si="32"/>
        <v>646244.26861688448</v>
      </c>
      <c r="Z49" s="661"/>
      <c r="AA49" s="661"/>
    </row>
    <row r="50" spans="1:27" x14ac:dyDescent="0.3">
      <c r="A50" s="1035">
        <v>20</v>
      </c>
      <c r="B50" s="659">
        <f t="shared" si="15"/>
        <v>380</v>
      </c>
      <c r="C50">
        <v>460.22500000000002</v>
      </c>
      <c r="D50" s="659">
        <f t="shared" si="16"/>
        <v>136.77499999999998</v>
      </c>
      <c r="E50" s="659">
        <f t="shared" si="17"/>
        <v>100</v>
      </c>
      <c r="F50" s="659">
        <f t="shared" si="18"/>
        <v>325</v>
      </c>
      <c r="G50" s="659">
        <f t="shared" si="19"/>
        <v>600</v>
      </c>
      <c r="H50" s="659">
        <f t="shared" si="20"/>
        <v>30809.92624999999</v>
      </c>
      <c r="I50" s="659">
        <f t="shared" si="21"/>
        <v>633.87499999999989</v>
      </c>
      <c r="J50" s="660">
        <f t="shared" si="22"/>
        <v>583.87499999999989</v>
      </c>
      <c r="K50" s="660">
        <f t="shared" si="23"/>
        <v>533.87499999999989</v>
      </c>
      <c r="L50" s="659">
        <f t="shared" si="24"/>
        <v>33586.55124999999</v>
      </c>
      <c r="M50" s="660">
        <f t="shared" si="25"/>
        <v>820.64999999999986</v>
      </c>
      <c r="N50" s="659">
        <f t="shared" si="26"/>
        <v>100</v>
      </c>
      <c r="O50" s="659">
        <f t="shared" si="27"/>
        <v>325</v>
      </c>
      <c r="P50" s="659">
        <v>0</v>
      </c>
      <c r="Q50" s="659">
        <v>0</v>
      </c>
      <c r="R50" s="659">
        <v>0</v>
      </c>
      <c r="S50" s="659">
        <v>0</v>
      </c>
      <c r="T50" s="659">
        <v>0</v>
      </c>
      <c r="U50" s="659">
        <f t="shared" si="28"/>
        <v>425</v>
      </c>
      <c r="V50" s="660">
        <f t="shared" si="29"/>
        <v>34832.201249999991</v>
      </c>
      <c r="W50" s="660">
        <f t="shared" si="30"/>
        <v>34334.454666364283</v>
      </c>
      <c r="X50" s="660">
        <f t="shared" si="31"/>
        <v>20</v>
      </c>
      <c r="Y50" s="660">
        <f t="shared" si="32"/>
        <v>686689.09332728572</v>
      </c>
      <c r="Z50" s="661"/>
      <c r="AA50" s="661"/>
    </row>
    <row r="51" spans="1:27" x14ac:dyDescent="0.3">
      <c r="A51" s="1035">
        <v>21</v>
      </c>
      <c r="B51" s="659">
        <f t="shared" si="15"/>
        <v>400</v>
      </c>
      <c r="C51">
        <v>460.22500000000002</v>
      </c>
      <c r="D51" s="659">
        <f t="shared" si="16"/>
        <v>136.77499999999998</v>
      </c>
      <c r="E51" s="659">
        <f t="shared" si="17"/>
        <v>100</v>
      </c>
      <c r="F51" s="659">
        <f t="shared" si="18"/>
        <v>325</v>
      </c>
      <c r="G51" s="659">
        <f t="shared" si="19"/>
        <v>600</v>
      </c>
      <c r="H51" s="659">
        <f t="shared" si="20"/>
        <v>30809.92624999999</v>
      </c>
      <c r="I51" s="659">
        <f t="shared" si="21"/>
        <v>633.87499999999989</v>
      </c>
      <c r="J51" s="660">
        <f t="shared" si="22"/>
        <v>583.87499999999989</v>
      </c>
      <c r="K51" s="660">
        <f t="shared" si="23"/>
        <v>533.87499999999989</v>
      </c>
      <c r="L51" s="659">
        <f t="shared" si="24"/>
        <v>33586.55124999999</v>
      </c>
      <c r="M51" s="660">
        <f t="shared" si="25"/>
        <v>820.64999999999986</v>
      </c>
      <c r="N51" s="659">
        <f t="shared" si="26"/>
        <v>100</v>
      </c>
      <c r="O51" s="659">
        <f t="shared" si="27"/>
        <v>325</v>
      </c>
      <c r="P51" s="659">
        <v>0</v>
      </c>
      <c r="Q51" s="659">
        <v>0</v>
      </c>
      <c r="R51" s="659">
        <v>0</v>
      </c>
      <c r="S51" s="659">
        <v>0</v>
      </c>
      <c r="T51" s="659">
        <v>0</v>
      </c>
      <c r="U51" s="659">
        <f t="shared" si="28"/>
        <v>425</v>
      </c>
      <c r="V51" s="660">
        <f t="shared" si="29"/>
        <v>34832.201249999991</v>
      </c>
      <c r="W51" s="660">
        <f t="shared" si="30"/>
        <v>34832.201249999991</v>
      </c>
      <c r="X51" s="660">
        <f t="shared" si="31"/>
        <v>20</v>
      </c>
      <c r="Y51" s="660">
        <f t="shared" si="32"/>
        <v>696644.02499999979</v>
      </c>
      <c r="Z51" s="661"/>
      <c r="AA51" s="661"/>
    </row>
    <row r="52" spans="1:27" x14ac:dyDescent="0.3">
      <c r="A52" s="1035">
        <v>22</v>
      </c>
      <c r="B52" s="659">
        <f t="shared" si="15"/>
        <v>420</v>
      </c>
      <c r="C52">
        <v>460.22500000000002</v>
      </c>
      <c r="D52" s="659">
        <f t="shared" si="16"/>
        <v>136.77499999999998</v>
      </c>
      <c r="E52" s="659">
        <f t="shared" si="17"/>
        <v>100</v>
      </c>
      <c r="F52" s="659">
        <f t="shared" si="18"/>
        <v>325</v>
      </c>
      <c r="G52" s="659">
        <f t="shared" si="19"/>
        <v>600</v>
      </c>
      <c r="H52" s="659">
        <f t="shared" si="20"/>
        <v>30809.92624999999</v>
      </c>
      <c r="I52" s="659">
        <f t="shared" si="21"/>
        <v>633.87499999999989</v>
      </c>
      <c r="J52" s="660">
        <f t="shared" si="22"/>
        <v>583.87499999999989</v>
      </c>
      <c r="K52" s="660">
        <f t="shared" si="23"/>
        <v>533.87499999999989</v>
      </c>
      <c r="L52" s="659">
        <f t="shared" si="24"/>
        <v>33586.55124999999</v>
      </c>
      <c r="M52" s="660">
        <f t="shared" si="25"/>
        <v>820.64999999999986</v>
      </c>
      <c r="N52" s="659">
        <f t="shared" si="26"/>
        <v>100</v>
      </c>
      <c r="O52" s="659">
        <f t="shared" si="27"/>
        <v>325</v>
      </c>
      <c r="P52" s="659">
        <v>0</v>
      </c>
      <c r="Q52" s="659">
        <v>0</v>
      </c>
      <c r="R52" s="659">
        <v>0</v>
      </c>
      <c r="S52" s="659">
        <v>0</v>
      </c>
      <c r="T52" s="659">
        <v>0</v>
      </c>
      <c r="U52" s="659">
        <f t="shared" si="28"/>
        <v>425</v>
      </c>
      <c r="V52" s="660">
        <f t="shared" si="29"/>
        <v>34832.201249999991</v>
      </c>
      <c r="W52" s="660">
        <f t="shared" si="30"/>
        <v>34832.201249999991</v>
      </c>
      <c r="X52" s="660">
        <f t="shared" si="31"/>
        <v>20</v>
      </c>
      <c r="Y52" s="660">
        <f t="shared" si="32"/>
        <v>696644.02499999979</v>
      </c>
      <c r="Z52" s="661"/>
      <c r="AA52" s="661"/>
    </row>
    <row r="53" spans="1:27" x14ac:dyDescent="0.3">
      <c r="A53" s="1035">
        <v>23</v>
      </c>
      <c r="B53" s="659">
        <f t="shared" si="15"/>
        <v>440</v>
      </c>
      <c r="C53">
        <v>464.81158441558438</v>
      </c>
      <c r="D53" s="659">
        <f t="shared" si="16"/>
        <v>132.18841558441562</v>
      </c>
      <c r="E53" s="659">
        <f t="shared" si="17"/>
        <v>100</v>
      </c>
      <c r="F53" s="659">
        <f t="shared" si="18"/>
        <v>325</v>
      </c>
      <c r="G53" s="659">
        <f t="shared" si="19"/>
        <v>600</v>
      </c>
      <c r="H53" s="659">
        <f t="shared" si="20"/>
        <v>28549.075728137646</v>
      </c>
      <c r="I53" s="659">
        <f t="shared" si="21"/>
        <v>610.94207792207817</v>
      </c>
      <c r="J53" s="660">
        <f t="shared" si="22"/>
        <v>560.94207792207817</v>
      </c>
      <c r="K53" s="660">
        <f t="shared" si="23"/>
        <v>510.94207792207811</v>
      </c>
      <c r="L53" s="659">
        <f t="shared" si="24"/>
        <v>31256.901961903881</v>
      </c>
      <c r="M53" s="660">
        <f t="shared" si="25"/>
        <v>793.13049350649374</v>
      </c>
      <c r="N53" s="659">
        <f t="shared" si="26"/>
        <v>100</v>
      </c>
      <c r="O53" s="659">
        <f t="shared" si="27"/>
        <v>325</v>
      </c>
      <c r="P53" s="659">
        <v>0</v>
      </c>
      <c r="Q53" s="659">
        <v>0</v>
      </c>
      <c r="R53" s="659">
        <v>0</v>
      </c>
      <c r="S53" s="659">
        <v>0</v>
      </c>
      <c r="T53" s="659">
        <v>0</v>
      </c>
      <c r="U53" s="659">
        <f t="shared" si="28"/>
        <v>425</v>
      </c>
      <c r="V53" s="660">
        <f t="shared" si="29"/>
        <v>32475.032455410375</v>
      </c>
      <c r="W53" s="660">
        <f t="shared" si="30"/>
        <v>33653.616852705185</v>
      </c>
      <c r="X53" s="660">
        <f t="shared" si="31"/>
        <v>20</v>
      </c>
      <c r="Y53" s="660">
        <f t="shared" si="32"/>
        <v>673072.33705410373</v>
      </c>
      <c r="Z53" s="661"/>
      <c r="AA53" s="661"/>
    </row>
    <row r="54" spans="1:27" x14ac:dyDescent="0.3">
      <c r="A54" s="1035">
        <v>24</v>
      </c>
      <c r="B54" s="659">
        <f t="shared" si="15"/>
        <v>460</v>
      </c>
      <c r="C54">
        <v>467.01165789473686</v>
      </c>
      <c r="D54" s="659">
        <f t="shared" si="16"/>
        <v>129.98834210526314</v>
      </c>
      <c r="E54" s="659">
        <f t="shared" si="17"/>
        <v>100</v>
      </c>
      <c r="F54" s="659">
        <f t="shared" si="18"/>
        <v>325</v>
      </c>
      <c r="G54" s="659">
        <f t="shared" si="19"/>
        <v>600</v>
      </c>
      <c r="H54" s="659">
        <f t="shared" si="20"/>
        <v>27494.462771813014</v>
      </c>
      <c r="I54" s="659">
        <f t="shared" si="21"/>
        <v>599.94171052631577</v>
      </c>
      <c r="J54" s="660">
        <f t="shared" si="22"/>
        <v>549.94171052631577</v>
      </c>
      <c r="K54" s="660">
        <f t="shared" si="23"/>
        <v>499.94171052631572</v>
      </c>
      <c r="L54" s="659">
        <f t="shared" si="24"/>
        <v>30169.287903391963</v>
      </c>
      <c r="M54" s="660">
        <f t="shared" si="25"/>
        <v>779.93005263157886</v>
      </c>
      <c r="N54" s="659">
        <f t="shared" si="26"/>
        <v>100</v>
      </c>
      <c r="O54" s="659">
        <f t="shared" si="27"/>
        <v>325</v>
      </c>
      <c r="P54" s="659">
        <v>0</v>
      </c>
      <c r="Q54" s="659">
        <v>0</v>
      </c>
      <c r="R54" s="659">
        <v>0</v>
      </c>
      <c r="S54" s="659">
        <v>0</v>
      </c>
      <c r="T54" s="659">
        <v>0</v>
      </c>
      <c r="U54" s="659">
        <f t="shared" si="28"/>
        <v>425</v>
      </c>
      <c r="V54" s="660">
        <f t="shared" si="29"/>
        <v>31374.217956023542</v>
      </c>
      <c r="W54" s="660">
        <f t="shared" si="30"/>
        <v>31924.625205716959</v>
      </c>
      <c r="X54" s="660">
        <f t="shared" si="31"/>
        <v>20</v>
      </c>
      <c r="Y54" s="660">
        <f t="shared" si="32"/>
        <v>638492.50411433913</v>
      </c>
      <c r="Z54" s="661"/>
      <c r="AA54" s="661"/>
    </row>
    <row r="55" spans="1:27" x14ac:dyDescent="0.3">
      <c r="A55" s="1035">
        <v>25</v>
      </c>
      <c r="B55" s="659">
        <f t="shared" si="15"/>
        <v>480</v>
      </c>
      <c r="C55">
        <v>468.48202597402599</v>
      </c>
      <c r="D55" s="659">
        <f t="shared" si="16"/>
        <v>128.51797402597401</v>
      </c>
      <c r="E55" s="659">
        <f t="shared" si="17"/>
        <v>100</v>
      </c>
      <c r="F55" s="659">
        <f t="shared" si="18"/>
        <v>325</v>
      </c>
      <c r="G55" s="659">
        <f t="shared" si="19"/>
        <v>600</v>
      </c>
      <c r="H55" s="659">
        <f t="shared" si="20"/>
        <v>26800.430464313031</v>
      </c>
      <c r="I55" s="659">
        <f t="shared" si="21"/>
        <v>592.58987012987006</v>
      </c>
      <c r="J55" s="660">
        <f t="shared" si="22"/>
        <v>542.58987012987006</v>
      </c>
      <c r="K55" s="660">
        <f t="shared" si="23"/>
        <v>492.58987012987006</v>
      </c>
      <c r="L55" s="659">
        <f t="shared" si="24"/>
        <v>29453.200074702636</v>
      </c>
      <c r="M55" s="660">
        <f t="shared" si="25"/>
        <v>771.10784415584408</v>
      </c>
      <c r="N55" s="659">
        <f t="shared" si="26"/>
        <v>100</v>
      </c>
      <c r="O55" s="659">
        <f t="shared" si="27"/>
        <v>325</v>
      </c>
      <c r="P55" s="659">
        <v>0</v>
      </c>
      <c r="Q55" s="659">
        <v>0</v>
      </c>
      <c r="R55" s="659">
        <v>0</v>
      </c>
      <c r="S55" s="659">
        <v>0</v>
      </c>
      <c r="T55" s="659">
        <v>0</v>
      </c>
      <c r="U55" s="659">
        <f t="shared" si="28"/>
        <v>425</v>
      </c>
      <c r="V55" s="660">
        <f t="shared" si="29"/>
        <v>30649.307918858482</v>
      </c>
      <c r="W55" s="660">
        <f t="shared" si="30"/>
        <v>31011.76293744101</v>
      </c>
      <c r="X55" s="660">
        <f t="shared" si="31"/>
        <v>20</v>
      </c>
      <c r="Y55" s="660">
        <f t="shared" si="32"/>
        <v>620235.25874882017</v>
      </c>
      <c r="Z55" s="661"/>
      <c r="AA55" s="661"/>
    </row>
    <row r="56" spans="1:27" x14ac:dyDescent="0.3">
      <c r="A56" s="1035">
        <v>26</v>
      </c>
      <c r="B56" s="659">
        <f t="shared" si="15"/>
        <v>500</v>
      </c>
      <c r="C56">
        <v>471.3044210526316</v>
      </c>
      <c r="D56" s="659">
        <f t="shared" si="16"/>
        <v>125.6955789473684</v>
      </c>
      <c r="E56" s="659">
        <f t="shared" si="17"/>
        <v>100</v>
      </c>
      <c r="F56" s="659">
        <f t="shared" si="18"/>
        <v>325</v>
      </c>
      <c r="G56" s="659">
        <f t="shared" si="19"/>
        <v>600</v>
      </c>
      <c r="H56" s="659">
        <f t="shared" si="20"/>
        <v>25492.456081196669</v>
      </c>
      <c r="I56" s="659">
        <f t="shared" si="21"/>
        <v>578.47789473684202</v>
      </c>
      <c r="J56" s="660">
        <f t="shared" si="22"/>
        <v>528.47789473684202</v>
      </c>
      <c r="K56" s="660">
        <f t="shared" si="23"/>
        <v>478.47789473684202</v>
      </c>
      <c r="L56" s="659">
        <f t="shared" si="24"/>
        <v>28102.889765407199</v>
      </c>
      <c r="M56" s="660">
        <f t="shared" si="25"/>
        <v>754.17347368421042</v>
      </c>
      <c r="N56" s="659">
        <f t="shared" si="26"/>
        <v>100</v>
      </c>
      <c r="O56" s="659">
        <f t="shared" si="27"/>
        <v>325</v>
      </c>
      <c r="P56" s="659">
        <v>0</v>
      </c>
      <c r="Q56" s="659">
        <v>0</v>
      </c>
      <c r="R56" s="659">
        <v>0</v>
      </c>
      <c r="S56" s="659">
        <v>0</v>
      </c>
      <c r="T56" s="659">
        <v>0</v>
      </c>
      <c r="U56" s="659">
        <f t="shared" si="28"/>
        <v>425</v>
      </c>
      <c r="V56" s="660">
        <f t="shared" si="29"/>
        <v>29282.063239091411</v>
      </c>
      <c r="W56" s="660">
        <f t="shared" si="30"/>
        <v>29965.685578974946</v>
      </c>
      <c r="X56" s="660">
        <f t="shared" si="31"/>
        <v>20</v>
      </c>
      <c r="Y56" s="660">
        <f t="shared" si="32"/>
        <v>599313.71157949895</v>
      </c>
      <c r="Z56" s="661"/>
      <c r="AA56" s="661"/>
    </row>
    <row r="57" spans="1:27" x14ac:dyDescent="0.3">
      <c r="A57" s="1035">
        <v>27</v>
      </c>
      <c r="B57" s="659">
        <f t="shared" si="15"/>
        <v>520</v>
      </c>
      <c r="C57">
        <v>470.79352631578945</v>
      </c>
      <c r="D57" s="659">
        <f t="shared" si="16"/>
        <v>126.20647368421055</v>
      </c>
      <c r="E57" s="659">
        <f t="shared" si="17"/>
        <v>100</v>
      </c>
      <c r="F57" s="659">
        <f t="shared" si="18"/>
        <v>325</v>
      </c>
      <c r="G57" s="659">
        <f t="shared" si="19"/>
        <v>600</v>
      </c>
      <c r="H57" s="659">
        <f t="shared" si="20"/>
        <v>25726.856683817183</v>
      </c>
      <c r="I57" s="659">
        <f t="shared" si="21"/>
        <v>581.03236842105275</v>
      </c>
      <c r="J57" s="660">
        <f t="shared" si="22"/>
        <v>531.03236842105275</v>
      </c>
      <c r="K57" s="660">
        <f t="shared" si="23"/>
        <v>481.03236842105275</v>
      </c>
      <c r="L57" s="659">
        <f t="shared" si="24"/>
        <v>28344.95378908034</v>
      </c>
      <c r="M57" s="660">
        <f t="shared" si="25"/>
        <v>757.2388421052633</v>
      </c>
      <c r="N57" s="659">
        <f t="shared" si="26"/>
        <v>100</v>
      </c>
      <c r="O57" s="659">
        <f t="shared" si="27"/>
        <v>325</v>
      </c>
      <c r="P57" s="659">
        <v>0</v>
      </c>
      <c r="Q57" s="659">
        <v>0</v>
      </c>
      <c r="R57" s="659">
        <v>0</v>
      </c>
      <c r="S57" s="659">
        <v>0</v>
      </c>
      <c r="T57" s="659">
        <v>0</v>
      </c>
      <c r="U57" s="659">
        <f t="shared" si="28"/>
        <v>425</v>
      </c>
      <c r="V57" s="660">
        <f t="shared" si="29"/>
        <v>29527.192631185604</v>
      </c>
      <c r="W57" s="660">
        <f t="shared" si="30"/>
        <v>29404.627935138509</v>
      </c>
      <c r="X57" s="660">
        <f t="shared" si="31"/>
        <v>20</v>
      </c>
      <c r="Y57" s="660">
        <f t="shared" si="32"/>
        <v>588092.55870277015</v>
      </c>
      <c r="Z57" s="661"/>
      <c r="AA57" s="661"/>
    </row>
    <row r="58" spans="1:27" x14ac:dyDescent="0.3">
      <c r="A58" s="1035">
        <v>28</v>
      </c>
      <c r="B58" s="659">
        <f t="shared" si="15"/>
        <v>540</v>
      </c>
      <c r="C58">
        <v>467.65193421052629</v>
      </c>
      <c r="D58" s="659">
        <f t="shared" si="16"/>
        <v>129.34806578947371</v>
      </c>
      <c r="E58" s="659">
        <f t="shared" si="17"/>
        <v>100</v>
      </c>
      <c r="F58" s="659">
        <f t="shared" si="18"/>
        <v>325</v>
      </c>
      <c r="G58" s="659">
        <f t="shared" si="19"/>
        <v>600</v>
      </c>
      <c r="H58" s="659">
        <f t="shared" si="20"/>
        <v>27191.181286429721</v>
      </c>
      <c r="I58" s="659">
        <f t="shared" si="21"/>
        <v>596.74032894736854</v>
      </c>
      <c r="J58" s="660">
        <f t="shared" si="22"/>
        <v>546.74032894736854</v>
      </c>
      <c r="K58" s="660">
        <f t="shared" si="23"/>
        <v>496.74032894736854</v>
      </c>
      <c r="L58" s="659">
        <f t="shared" si="24"/>
        <v>29856.402273271829</v>
      </c>
      <c r="M58" s="660">
        <f t="shared" si="25"/>
        <v>776.08839473684225</v>
      </c>
      <c r="N58" s="659">
        <f t="shared" si="26"/>
        <v>100</v>
      </c>
      <c r="O58" s="659">
        <f t="shared" si="27"/>
        <v>325</v>
      </c>
      <c r="P58" s="659">
        <v>0</v>
      </c>
      <c r="Q58" s="659">
        <v>0</v>
      </c>
      <c r="R58" s="659">
        <v>0</v>
      </c>
      <c r="S58" s="659">
        <v>0</v>
      </c>
      <c r="T58" s="659">
        <v>0</v>
      </c>
      <c r="U58" s="659">
        <f t="shared" si="28"/>
        <v>425</v>
      </c>
      <c r="V58" s="660">
        <f t="shared" si="29"/>
        <v>31057.490668008671</v>
      </c>
      <c r="W58" s="660">
        <f t="shared" si="30"/>
        <v>30292.34164959714</v>
      </c>
      <c r="X58" s="660">
        <f t="shared" si="31"/>
        <v>20</v>
      </c>
      <c r="Y58" s="660">
        <f t="shared" si="32"/>
        <v>605846.83299194276</v>
      </c>
      <c r="Z58" s="661"/>
      <c r="AA58" s="661"/>
    </row>
    <row r="59" spans="1:27" x14ac:dyDescent="0.3">
      <c r="A59" s="1035">
        <v>29</v>
      </c>
      <c r="B59" s="659">
        <f t="shared" si="15"/>
        <v>560</v>
      </c>
      <c r="C59">
        <v>468.157974025974</v>
      </c>
      <c r="D59" s="659">
        <f t="shared" si="16"/>
        <v>128.842025974026</v>
      </c>
      <c r="E59" s="659">
        <f t="shared" si="17"/>
        <v>100</v>
      </c>
      <c r="F59" s="659">
        <f t="shared" si="18"/>
        <v>325</v>
      </c>
      <c r="G59" s="659">
        <f t="shared" si="19"/>
        <v>600</v>
      </c>
      <c r="H59" s="659">
        <f t="shared" si="20"/>
        <v>26952.644145352009</v>
      </c>
      <c r="I59" s="659">
        <f t="shared" si="21"/>
        <v>594.21012987013</v>
      </c>
      <c r="J59" s="660">
        <f t="shared" si="22"/>
        <v>544.21012987013</v>
      </c>
      <c r="K59" s="660">
        <f t="shared" si="23"/>
        <v>494.21012987013</v>
      </c>
      <c r="L59" s="659">
        <f t="shared" si="24"/>
        <v>29610.274534962402</v>
      </c>
      <c r="M59" s="660">
        <f t="shared" si="25"/>
        <v>773.052155844156</v>
      </c>
      <c r="N59" s="659">
        <f t="shared" si="26"/>
        <v>100</v>
      </c>
      <c r="O59" s="659">
        <f t="shared" si="27"/>
        <v>325</v>
      </c>
      <c r="P59" s="659">
        <v>0</v>
      </c>
      <c r="Q59" s="659">
        <v>0</v>
      </c>
      <c r="R59" s="659">
        <v>0</v>
      </c>
      <c r="S59" s="659">
        <v>0</v>
      </c>
      <c r="T59" s="659">
        <v>0</v>
      </c>
      <c r="U59" s="659">
        <f t="shared" si="28"/>
        <v>425</v>
      </c>
      <c r="V59" s="660">
        <f t="shared" si="29"/>
        <v>30808.326690806556</v>
      </c>
      <c r="W59" s="660">
        <f t="shared" si="30"/>
        <v>30932.908679407614</v>
      </c>
      <c r="X59" s="660">
        <f t="shared" si="31"/>
        <v>20</v>
      </c>
      <c r="Y59" s="660">
        <f t="shared" si="32"/>
        <v>618658.17358815228</v>
      </c>
      <c r="Z59" s="661"/>
      <c r="AA59" s="661"/>
    </row>
    <row r="60" spans="1:27" x14ac:dyDescent="0.3">
      <c r="A60" s="1035">
        <v>30</v>
      </c>
      <c r="B60" s="659">
        <f t="shared" si="15"/>
        <v>580</v>
      </c>
      <c r="C60">
        <v>471.00294736842108</v>
      </c>
      <c r="D60" s="659">
        <f t="shared" si="16"/>
        <v>125.99705263157892</v>
      </c>
      <c r="E60" s="659">
        <f t="shared" si="17"/>
        <v>100</v>
      </c>
      <c r="F60" s="659">
        <f t="shared" si="18"/>
        <v>325</v>
      </c>
      <c r="G60" s="659">
        <f t="shared" si="19"/>
        <v>600</v>
      </c>
      <c r="H60" s="659">
        <f t="shared" si="20"/>
        <v>25630.647175268685</v>
      </c>
      <c r="I60" s="659">
        <f t="shared" si="21"/>
        <v>579.98526315789468</v>
      </c>
      <c r="J60" s="660">
        <f t="shared" si="22"/>
        <v>529.98526315789468</v>
      </c>
      <c r="K60" s="660">
        <f t="shared" si="23"/>
        <v>479.98526315789462</v>
      </c>
      <c r="L60" s="659">
        <f t="shared" si="24"/>
        <v>28245.602964742367</v>
      </c>
      <c r="M60" s="660">
        <f t="shared" si="25"/>
        <v>755.98231578947355</v>
      </c>
      <c r="N60" s="659">
        <f t="shared" si="26"/>
        <v>100</v>
      </c>
      <c r="O60" s="659">
        <f t="shared" si="27"/>
        <v>325</v>
      </c>
      <c r="P60" s="659">
        <v>0</v>
      </c>
      <c r="Q60" s="659">
        <v>0</v>
      </c>
      <c r="R60" s="659">
        <v>0</v>
      </c>
      <c r="S60" s="659">
        <v>0</v>
      </c>
      <c r="T60" s="659">
        <v>0</v>
      </c>
      <c r="U60" s="659">
        <f t="shared" si="28"/>
        <v>425</v>
      </c>
      <c r="V60" s="660">
        <f t="shared" si="29"/>
        <v>29426.585280531843</v>
      </c>
      <c r="W60" s="660">
        <f t="shared" si="30"/>
        <v>30117.455985669199</v>
      </c>
      <c r="X60" s="660">
        <f t="shared" si="31"/>
        <v>20</v>
      </c>
      <c r="Y60" s="660">
        <f t="shared" si="32"/>
        <v>602349.11971338396</v>
      </c>
      <c r="Z60" s="661"/>
      <c r="AA60" s="661"/>
    </row>
    <row r="61" spans="1:27" x14ac:dyDescent="0.3">
      <c r="A61" s="1035">
        <v>31</v>
      </c>
      <c r="B61" s="659">
        <f>B60+20</f>
        <v>600</v>
      </c>
      <c r="C61">
        <v>470.72336842105267</v>
      </c>
      <c r="D61" s="659">
        <f t="shared" si="16"/>
        <v>126.27663157894733</v>
      </c>
      <c r="E61" s="659">
        <f t="shared" si="17"/>
        <v>100</v>
      </c>
      <c r="F61" s="659">
        <f t="shared" si="18"/>
        <v>325</v>
      </c>
      <c r="G61" s="659">
        <f t="shared" si="19"/>
        <v>600</v>
      </c>
      <c r="H61" s="659">
        <f t="shared" si="20"/>
        <v>25759.126944797765</v>
      </c>
      <c r="I61" s="659">
        <f t="shared" si="21"/>
        <v>581.38315789473666</v>
      </c>
      <c r="J61" s="660">
        <f t="shared" si="22"/>
        <v>531.38315789473666</v>
      </c>
      <c r="K61" s="660">
        <f t="shared" si="23"/>
        <v>481.38315789473666</v>
      </c>
      <c r="L61" s="659">
        <f t="shared" si="24"/>
        <v>28378.276418481972</v>
      </c>
      <c r="M61" s="660">
        <f t="shared" si="25"/>
        <v>757.65978947368399</v>
      </c>
      <c r="N61" s="659">
        <f t="shared" si="26"/>
        <v>100</v>
      </c>
      <c r="O61" s="659">
        <f t="shared" si="27"/>
        <v>325</v>
      </c>
      <c r="P61" s="659">
        <v>0</v>
      </c>
      <c r="Q61" s="659">
        <v>0</v>
      </c>
      <c r="R61" s="659">
        <v>0</v>
      </c>
      <c r="S61" s="659">
        <v>0</v>
      </c>
      <c r="T61" s="659">
        <v>0</v>
      </c>
      <c r="U61" s="659">
        <f t="shared" si="28"/>
        <v>425</v>
      </c>
      <c r="V61" s="660">
        <f t="shared" si="29"/>
        <v>29560.936207955656</v>
      </c>
      <c r="W61" s="660">
        <f t="shared" si="30"/>
        <v>29493.760744243751</v>
      </c>
      <c r="X61" s="660">
        <f t="shared" si="31"/>
        <v>20</v>
      </c>
      <c r="Y61" s="660">
        <f t="shared" si="32"/>
        <v>589875.21488487499</v>
      </c>
      <c r="Z61" s="661"/>
      <c r="AA61" s="661"/>
    </row>
    <row r="62" spans="1:27" x14ac:dyDescent="0.3">
      <c r="A62" s="1035">
        <v>32</v>
      </c>
      <c r="B62" s="659">
        <f t="shared" si="15"/>
        <v>620</v>
      </c>
      <c r="C62">
        <v>472.39347368421051</v>
      </c>
      <c r="D62" s="659">
        <f t="shared" si="16"/>
        <v>124.60652631578949</v>
      </c>
      <c r="E62" s="659">
        <f t="shared" si="17"/>
        <v>100</v>
      </c>
      <c r="F62" s="659">
        <f t="shared" si="18"/>
        <v>325</v>
      </c>
      <c r="G62" s="659">
        <f t="shared" si="19"/>
        <v>600</v>
      </c>
      <c r="H62" s="659">
        <f t="shared" si="20"/>
        <v>24996.279116764552</v>
      </c>
      <c r="I62" s="659">
        <f t="shared" si="21"/>
        <v>573.03263157894753</v>
      </c>
      <c r="J62" s="660">
        <f t="shared" si="22"/>
        <v>523.03263157894753</v>
      </c>
      <c r="K62" s="660">
        <f t="shared" si="23"/>
        <v>473.03263157894747</v>
      </c>
      <c r="L62" s="659">
        <f t="shared" si="24"/>
        <v>27590.37701150139</v>
      </c>
      <c r="M62" s="660">
        <f t="shared" si="25"/>
        <v>747.63915789473697</v>
      </c>
      <c r="N62" s="659">
        <f t="shared" si="26"/>
        <v>100</v>
      </c>
      <c r="O62" s="659">
        <f t="shared" si="27"/>
        <v>325</v>
      </c>
      <c r="P62" s="659">
        <v>0</v>
      </c>
      <c r="Q62" s="659">
        <v>0</v>
      </c>
      <c r="R62" s="659">
        <v>0</v>
      </c>
      <c r="S62" s="659">
        <v>0</v>
      </c>
      <c r="T62" s="659">
        <v>0</v>
      </c>
      <c r="U62" s="659">
        <f t="shared" si="28"/>
        <v>425</v>
      </c>
      <c r="V62" s="660">
        <f t="shared" si="29"/>
        <v>28763.016169396127</v>
      </c>
      <c r="W62" s="660">
        <f t="shared" si="30"/>
        <v>29161.976188675893</v>
      </c>
      <c r="X62" s="660">
        <f t="shared" si="31"/>
        <v>20</v>
      </c>
      <c r="Y62" s="660">
        <f t="shared" si="32"/>
        <v>583239.52377351793</v>
      </c>
      <c r="Z62" s="661"/>
      <c r="AA62" s="661"/>
    </row>
    <row r="63" spans="1:27" x14ac:dyDescent="0.3">
      <c r="A63" s="1035">
        <v>33</v>
      </c>
      <c r="B63" s="659">
        <f t="shared" si="15"/>
        <v>640</v>
      </c>
      <c r="C63">
        <v>473.79128947368423</v>
      </c>
      <c r="D63" s="659">
        <f t="shared" si="16"/>
        <v>123.20871052631577</v>
      </c>
      <c r="E63" s="659">
        <f t="shared" si="17"/>
        <v>100</v>
      </c>
      <c r="F63" s="659">
        <f t="shared" si="18"/>
        <v>325</v>
      </c>
      <c r="G63" s="659">
        <f t="shared" si="19"/>
        <v>600</v>
      </c>
      <c r="H63" s="659">
        <f t="shared" si="20"/>
        <v>24366.380725430736</v>
      </c>
      <c r="I63" s="659">
        <f t="shared" si="21"/>
        <v>566.0435526315789</v>
      </c>
      <c r="J63" s="660">
        <f t="shared" si="22"/>
        <v>516.0435526315789</v>
      </c>
      <c r="K63" s="660">
        <f t="shared" si="23"/>
        <v>466.04355263157885</v>
      </c>
      <c r="L63" s="659">
        <f t="shared" si="24"/>
        <v>26939.511383325469</v>
      </c>
      <c r="M63" s="660">
        <f t="shared" si="25"/>
        <v>739.25226315789462</v>
      </c>
      <c r="N63" s="659">
        <f t="shared" si="26"/>
        <v>100</v>
      </c>
      <c r="O63" s="659">
        <f t="shared" si="27"/>
        <v>325</v>
      </c>
      <c r="P63" s="659">
        <v>0</v>
      </c>
      <c r="Q63" s="659">
        <v>0</v>
      </c>
      <c r="R63" s="659">
        <v>0</v>
      </c>
      <c r="S63" s="659">
        <v>0</v>
      </c>
      <c r="T63" s="659">
        <v>0</v>
      </c>
      <c r="U63" s="659">
        <f t="shared" si="28"/>
        <v>425</v>
      </c>
      <c r="V63" s="660">
        <f t="shared" si="29"/>
        <v>28103.763646483363</v>
      </c>
      <c r="W63" s="660">
        <f t="shared" si="30"/>
        <v>28433.389907939745</v>
      </c>
      <c r="X63" s="660">
        <f t="shared" si="31"/>
        <v>20</v>
      </c>
      <c r="Y63" s="660">
        <f t="shared" si="32"/>
        <v>568667.79815879487</v>
      </c>
      <c r="Z63" s="661"/>
      <c r="AA63" s="661"/>
    </row>
    <row r="64" spans="1:27" x14ac:dyDescent="0.3">
      <c r="A64" s="1035">
        <v>34</v>
      </c>
      <c r="B64" s="659">
        <f t="shared" si="15"/>
        <v>660</v>
      </c>
      <c r="C64">
        <v>473.54386842105259</v>
      </c>
      <c r="D64" s="659">
        <f t="shared" si="16"/>
        <v>123.45613157894741</v>
      </c>
      <c r="E64" s="659">
        <f t="shared" si="17"/>
        <v>100</v>
      </c>
      <c r="F64" s="659">
        <f t="shared" si="18"/>
        <v>325</v>
      </c>
      <c r="G64" s="659">
        <f t="shared" si="19"/>
        <v>600</v>
      </c>
      <c r="H64" s="659">
        <f t="shared" si="20"/>
        <v>24477.306927824116</v>
      </c>
      <c r="I64" s="659">
        <f t="shared" si="21"/>
        <v>567.28065789473703</v>
      </c>
      <c r="J64" s="660">
        <f t="shared" si="22"/>
        <v>517.28065789473703</v>
      </c>
      <c r="K64" s="660">
        <f t="shared" si="23"/>
        <v>467.28065789473703</v>
      </c>
      <c r="L64" s="659">
        <f t="shared" si="24"/>
        <v>27054.148901508332</v>
      </c>
      <c r="M64" s="660">
        <f t="shared" si="25"/>
        <v>740.73678947368444</v>
      </c>
      <c r="N64" s="659">
        <f t="shared" si="26"/>
        <v>100</v>
      </c>
      <c r="O64" s="659">
        <f t="shared" si="27"/>
        <v>325</v>
      </c>
      <c r="P64" s="659">
        <v>0</v>
      </c>
      <c r="Q64" s="659">
        <v>0</v>
      </c>
      <c r="R64" s="659">
        <v>0</v>
      </c>
      <c r="S64" s="659">
        <v>0</v>
      </c>
      <c r="T64" s="659">
        <v>0</v>
      </c>
      <c r="U64" s="659">
        <f t="shared" si="28"/>
        <v>425</v>
      </c>
      <c r="V64" s="660">
        <f t="shared" si="29"/>
        <v>28219.885690982017</v>
      </c>
      <c r="W64" s="660">
        <f t="shared" si="30"/>
        <v>28161.82466873269</v>
      </c>
      <c r="X64" s="660">
        <f t="shared" si="31"/>
        <v>20</v>
      </c>
      <c r="Y64" s="660">
        <f t="shared" si="32"/>
        <v>563236.49337465386</v>
      </c>
      <c r="Z64" s="661"/>
      <c r="AA64" s="661"/>
    </row>
    <row r="65" spans="1:43" x14ac:dyDescent="0.3">
      <c r="A65" s="1035">
        <v>35</v>
      </c>
      <c r="B65" s="659">
        <f t="shared" si="15"/>
        <v>680</v>
      </c>
      <c r="C65">
        <v>476.3522631578947</v>
      </c>
      <c r="D65" s="659">
        <f t="shared" si="16"/>
        <v>120.6477368421053</v>
      </c>
      <c r="E65" s="659">
        <f t="shared" si="17"/>
        <v>100</v>
      </c>
      <c r="F65" s="659">
        <f t="shared" si="18"/>
        <v>325</v>
      </c>
      <c r="G65" s="659">
        <f t="shared" si="19"/>
        <v>600</v>
      </c>
      <c r="H65" s="659">
        <f t="shared" si="20"/>
        <v>23232.604652349044</v>
      </c>
      <c r="I65" s="659">
        <f t="shared" si="21"/>
        <v>553.23868421052657</v>
      </c>
      <c r="J65" s="660">
        <f t="shared" si="22"/>
        <v>503.23868421052651</v>
      </c>
      <c r="K65" s="660">
        <f t="shared" si="23"/>
        <v>453.23868421052651</v>
      </c>
      <c r="L65" s="659">
        <f t="shared" si="24"/>
        <v>25767.320704980622</v>
      </c>
      <c r="M65" s="660">
        <f t="shared" si="25"/>
        <v>723.88642105263182</v>
      </c>
      <c r="N65" s="659">
        <f t="shared" si="26"/>
        <v>100</v>
      </c>
      <c r="O65" s="659">
        <f t="shared" si="27"/>
        <v>325</v>
      </c>
      <c r="P65" s="659">
        <v>0</v>
      </c>
      <c r="Q65" s="659">
        <v>0</v>
      </c>
      <c r="R65" s="659">
        <v>0</v>
      </c>
      <c r="S65" s="659">
        <v>0</v>
      </c>
      <c r="T65" s="659">
        <v>0</v>
      </c>
      <c r="U65" s="659">
        <f t="shared" si="28"/>
        <v>425</v>
      </c>
      <c r="V65" s="660">
        <f t="shared" si="29"/>
        <v>26916.207126033252</v>
      </c>
      <c r="W65" s="660">
        <f t="shared" si="30"/>
        <v>27568.046408507635</v>
      </c>
      <c r="X65" s="660">
        <f t="shared" si="31"/>
        <v>20</v>
      </c>
      <c r="Y65" s="660">
        <f t="shared" si="32"/>
        <v>551360.92817015271</v>
      </c>
      <c r="Z65" s="661"/>
      <c r="AA65" s="661"/>
    </row>
    <row r="66" spans="1:43" x14ac:dyDescent="0.3">
      <c r="A66" s="1035">
        <v>36</v>
      </c>
      <c r="B66" s="659">
        <f t="shared" si="15"/>
        <v>700</v>
      </c>
      <c r="C66">
        <v>476.68867105263155</v>
      </c>
      <c r="D66" s="659">
        <f t="shared" si="16"/>
        <v>120.31132894736845</v>
      </c>
      <c r="E66" s="659">
        <f t="shared" si="17"/>
        <v>100</v>
      </c>
      <c r="F66" s="659">
        <f t="shared" si="18"/>
        <v>325</v>
      </c>
      <c r="G66" s="659">
        <f t="shared" si="19"/>
        <v>600</v>
      </c>
      <c r="H66" s="659">
        <f t="shared" si="20"/>
        <v>23085.621943532216</v>
      </c>
      <c r="I66" s="659">
        <f t="shared" si="21"/>
        <v>551.55664473684226</v>
      </c>
      <c r="J66" s="660">
        <f t="shared" si="22"/>
        <v>501.55664473684226</v>
      </c>
      <c r="K66" s="660">
        <f t="shared" si="23"/>
        <v>451.55664473684226</v>
      </c>
      <c r="L66" s="659">
        <f t="shared" si="24"/>
        <v>25615.291877742748</v>
      </c>
      <c r="M66" s="660">
        <f t="shared" si="25"/>
        <v>721.86797368421071</v>
      </c>
      <c r="N66" s="659">
        <f t="shared" si="26"/>
        <v>100</v>
      </c>
      <c r="O66" s="659">
        <f t="shared" si="27"/>
        <v>325</v>
      </c>
      <c r="P66" s="659">
        <v>0</v>
      </c>
      <c r="Q66" s="659">
        <v>0</v>
      </c>
      <c r="R66" s="659">
        <v>0</v>
      </c>
      <c r="S66" s="659">
        <v>0</v>
      </c>
      <c r="T66" s="659">
        <v>0</v>
      </c>
      <c r="U66" s="659">
        <f t="shared" si="28"/>
        <v>425</v>
      </c>
      <c r="V66" s="660">
        <f t="shared" si="29"/>
        <v>26762.159851426957</v>
      </c>
      <c r="W66" s="660">
        <f t="shared" si="30"/>
        <v>26839.183488730105</v>
      </c>
      <c r="X66" s="660">
        <f t="shared" si="31"/>
        <v>20</v>
      </c>
      <c r="Y66" s="660">
        <f t="shared" si="32"/>
        <v>536783.66977460205</v>
      </c>
      <c r="Z66" s="661"/>
      <c r="AA66" s="661"/>
    </row>
    <row r="67" spans="1:43" x14ac:dyDescent="0.3">
      <c r="A67" s="1035">
        <v>37</v>
      </c>
      <c r="B67" s="659">
        <f t="shared" si="15"/>
        <v>720</v>
      </c>
      <c r="C67">
        <v>476.85950000000003</v>
      </c>
      <c r="D67" s="659">
        <f t="shared" si="16"/>
        <v>120.14049999999997</v>
      </c>
      <c r="E67" s="659">
        <f t="shared" si="17"/>
        <v>100</v>
      </c>
      <c r="F67" s="659">
        <f t="shared" si="18"/>
        <v>325</v>
      </c>
      <c r="G67" s="659">
        <f t="shared" si="19"/>
        <v>600</v>
      </c>
      <c r="H67" s="659">
        <f t="shared" si="20"/>
        <v>23011.156980499989</v>
      </c>
      <c r="I67" s="659">
        <f t="shared" si="21"/>
        <v>550.70249999999987</v>
      </c>
      <c r="J67" s="660">
        <f t="shared" si="22"/>
        <v>500.70249999999987</v>
      </c>
      <c r="K67" s="660">
        <f t="shared" si="23"/>
        <v>450.70249999999987</v>
      </c>
      <c r="L67" s="659">
        <f t="shared" si="24"/>
        <v>25538.264480499987</v>
      </c>
      <c r="M67" s="660">
        <f t="shared" si="25"/>
        <v>720.84299999999985</v>
      </c>
      <c r="N67" s="659">
        <f t="shared" si="26"/>
        <v>100</v>
      </c>
      <c r="O67" s="659">
        <f t="shared" si="27"/>
        <v>325</v>
      </c>
      <c r="P67" s="659">
        <v>0</v>
      </c>
      <c r="Q67" s="659">
        <v>0</v>
      </c>
      <c r="R67" s="659">
        <v>0</v>
      </c>
      <c r="S67" s="659">
        <v>0</v>
      </c>
      <c r="T67" s="659">
        <v>0</v>
      </c>
      <c r="U67" s="659">
        <f t="shared" si="28"/>
        <v>425</v>
      </c>
      <c r="V67" s="660">
        <f t="shared" si="29"/>
        <v>26684.107480499988</v>
      </c>
      <c r="W67" s="660">
        <f t="shared" si="30"/>
        <v>26723.133665963473</v>
      </c>
      <c r="X67" s="660">
        <f t="shared" si="31"/>
        <v>20</v>
      </c>
      <c r="Y67" s="660">
        <f t="shared" si="32"/>
        <v>534462.67331926944</v>
      </c>
      <c r="Z67" s="661"/>
      <c r="AA67" s="661"/>
    </row>
    <row r="68" spans="1:43" x14ac:dyDescent="0.3">
      <c r="A68" s="1035">
        <v>38</v>
      </c>
      <c r="B68" s="659">
        <f t="shared" si="15"/>
        <v>740</v>
      </c>
      <c r="C68">
        <v>477.35500000000002</v>
      </c>
      <c r="D68" s="659">
        <f t="shared" si="16"/>
        <v>119.64499999999998</v>
      </c>
      <c r="E68" s="659">
        <f t="shared" si="17"/>
        <v>100</v>
      </c>
      <c r="F68" s="659">
        <f t="shared" si="18"/>
        <v>325</v>
      </c>
      <c r="G68" s="659">
        <f t="shared" si="19"/>
        <v>600</v>
      </c>
      <c r="H68" s="659">
        <f t="shared" si="20"/>
        <v>22795.827049999993</v>
      </c>
      <c r="I68" s="659">
        <f t="shared" si="21"/>
        <v>548.22499999999991</v>
      </c>
      <c r="J68" s="660">
        <f t="shared" si="22"/>
        <v>498.22499999999991</v>
      </c>
      <c r="K68" s="660">
        <f t="shared" si="23"/>
        <v>448.22499999999991</v>
      </c>
      <c r="L68" s="659">
        <f t="shared" si="24"/>
        <v>25315.502049999988</v>
      </c>
      <c r="M68" s="660">
        <f t="shared" si="25"/>
        <v>717.86999999999989</v>
      </c>
      <c r="N68" s="659">
        <f t="shared" si="26"/>
        <v>100</v>
      </c>
      <c r="O68" s="659">
        <f t="shared" si="27"/>
        <v>325</v>
      </c>
      <c r="P68" s="659">
        <v>0</v>
      </c>
      <c r="Q68" s="659">
        <v>0</v>
      </c>
      <c r="R68" s="659">
        <v>0</v>
      </c>
      <c r="S68" s="659">
        <v>0</v>
      </c>
      <c r="T68" s="659">
        <v>0</v>
      </c>
      <c r="U68" s="659">
        <f t="shared" si="28"/>
        <v>425</v>
      </c>
      <c r="V68" s="660">
        <f t="shared" si="29"/>
        <v>26458.372049999987</v>
      </c>
      <c r="W68" s="660">
        <f t="shared" si="30"/>
        <v>26571.239765249986</v>
      </c>
      <c r="X68" s="660">
        <f t="shared" si="31"/>
        <v>20</v>
      </c>
      <c r="Y68" s="660">
        <f t="shared" si="32"/>
        <v>531424.79530499969</v>
      </c>
      <c r="Z68" s="661"/>
      <c r="AA68" s="661"/>
    </row>
    <row r="69" spans="1:43" ht="23.25" customHeight="1" x14ac:dyDescent="0.3">
      <c r="W69" s="1254" t="s">
        <v>15</v>
      </c>
      <c r="X69" s="1254"/>
      <c r="Y69" s="1020">
        <f>SUM(Y32:Y68)</f>
        <v>21541148.45082213</v>
      </c>
    </row>
    <row r="70" spans="1:43" x14ac:dyDescent="0.3">
      <c r="A70" s="662" t="s">
        <v>444</v>
      </c>
      <c r="B70" s="1256" t="s">
        <v>445</v>
      </c>
      <c r="C70" s="1256"/>
      <c r="D70" s="1256"/>
      <c r="E70" s="664" t="s">
        <v>114</v>
      </c>
      <c r="F70" s="1258">
        <f>Y69</f>
        <v>21541148.45082213</v>
      </c>
      <c r="G70" s="1258"/>
      <c r="H70" s="665" t="s">
        <v>296</v>
      </c>
      <c r="I70" s="666"/>
      <c r="J70" s="666"/>
      <c r="K70" s="666"/>
      <c r="L70" s="666"/>
      <c r="M70" s="666"/>
      <c r="N70" s="666"/>
      <c r="R70" s="666"/>
      <c r="S70" s="666"/>
      <c r="T70" s="666"/>
      <c r="U70" s="666"/>
      <c r="V70" s="666"/>
      <c r="W70" s="666"/>
      <c r="X70" s="666"/>
      <c r="Y70" s="666"/>
      <c r="Z70" s="667"/>
      <c r="AA70" s="667"/>
      <c r="AB70" s="667"/>
      <c r="AC70" s="667"/>
      <c r="AD70" s="667"/>
      <c r="AE70" s="667"/>
      <c r="AF70" s="667"/>
      <c r="AG70" s="667"/>
      <c r="AH70" s="667"/>
      <c r="AI70" s="667"/>
      <c r="AJ70" s="667"/>
      <c r="AK70" s="667"/>
      <c r="AL70" s="667"/>
      <c r="AM70" s="667"/>
      <c r="AN70" s="667"/>
      <c r="AO70" s="1255"/>
      <c r="AP70" s="1255"/>
      <c r="AQ70" s="669"/>
    </row>
    <row r="71" spans="1:43" ht="12.75" hidden="1" customHeight="1" x14ac:dyDescent="0.3">
      <c r="A71" s="662"/>
      <c r="B71" s="663" t="s">
        <v>446</v>
      </c>
      <c r="C71" s="663"/>
      <c r="D71" s="663"/>
      <c r="E71" s="664" t="s">
        <v>114</v>
      </c>
      <c r="F71" s="666">
        <f>S89</f>
        <v>0</v>
      </c>
      <c r="G71" s="667"/>
      <c r="H71" s="665" t="s">
        <v>296</v>
      </c>
      <c r="I71" s="665" t="s">
        <v>296</v>
      </c>
      <c r="J71" s="667"/>
      <c r="K71" s="667"/>
      <c r="L71" s="667"/>
      <c r="M71" s="667"/>
      <c r="N71" s="667"/>
      <c r="R71" s="667"/>
      <c r="S71" s="667"/>
      <c r="T71" s="667"/>
      <c r="U71" s="667"/>
      <c r="V71" s="667"/>
      <c r="W71" s="667"/>
      <c r="X71" s="667"/>
      <c r="Y71" s="667"/>
      <c r="Z71" s="667"/>
      <c r="AA71" s="667"/>
      <c r="AB71" s="667"/>
      <c r="AC71" s="667"/>
      <c r="AD71" s="667"/>
      <c r="AE71" s="667"/>
      <c r="AF71" s="667"/>
      <c r="AG71" s="667"/>
      <c r="AH71" s="667"/>
      <c r="AI71" s="667"/>
      <c r="AJ71" s="667"/>
      <c r="AK71" s="667"/>
      <c r="AL71" s="667"/>
      <c r="AM71" s="667"/>
      <c r="AN71" s="667"/>
      <c r="AO71" s="668"/>
      <c r="AP71" s="668"/>
      <c r="AQ71" s="669"/>
    </row>
    <row r="72" spans="1:43" s="622" customFormat="1" x14ac:dyDescent="0.3">
      <c r="A72" s="662"/>
      <c r="B72" s="670" t="s">
        <v>447</v>
      </c>
      <c r="C72" s="671"/>
      <c r="D72" s="671"/>
      <c r="E72" s="664" t="s">
        <v>114</v>
      </c>
      <c r="F72" s="1258">
        <f>F70+F71</f>
        <v>21541148.45082213</v>
      </c>
      <c r="G72" s="1258"/>
      <c r="H72" s="665" t="s">
        <v>296</v>
      </c>
      <c r="I72" s="666"/>
      <c r="J72" s="666"/>
      <c r="K72" s="666"/>
      <c r="L72" s="666"/>
      <c r="M72" s="666"/>
      <c r="N72" s="666"/>
      <c r="R72" s="666"/>
      <c r="S72" s="666"/>
      <c r="T72" s="666"/>
      <c r="U72" s="666"/>
      <c r="V72" s="666"/>
      <c r="W72" s="666"/>
      <c r="X72" s="666"/>
      <c r="Y72" s="666"/>
      <c r="Z72" s="667"/>
      <c r="AA72" s="667"/>
      <c r="AB72" s="667"/>
      <c r="AC72" s="667"/>
      <c r="AD72" s="667"/>
      <c r="AE72" s="667"/>
      <c r="AF72" s="667"/>
      <c r="AG72" s="667"/>
      <c r="AH72" s="667"/>
      <c r="AI72" s="667"/>
      <c r="AJ72" s="667"/>
      <c r="AK72" s="667"/>
      <c r="AL72" s="667"/>
      <c r="AM72" s="667"/>
      <c r="AN72" s="667"/>
      <c r="AO72" s="668"/>
      <c r="AP72" s="668"/>
      <c r="AQ72" s="669"/>
    </row>
    <row r="73" spans="1:43" x14ac:dyDescent="0.3">
      <c r="A73" s="662"/>
      <c r="B73" s="663"/>
      <c r="C73" s="671"/>
      <c r="D73" s="671"/>
      <c r="E73" s="664"/>
      <c r="F73" s="667"/>
      <c r="G73" s="667"/>
      <c r="H73" s="667"/>
      <c r="I73" s="672"/>
      <c r="J73" s="667"/>
      <c r="K73" s="667"/>
      <c r="L73" s="667"/>
      <c r="M73" s="667"/>
      <c r="N73" s="667"/>
      <c r="R73" s="667"/>
      <c r="S73" s="667"/>
      <c r="T73" s="667"/>
      <c r="U73" s="673"/>
      <c r="V73" s="673"/>
      <c r="W73" s="667"/>
      <c r="X73" s="667"/>
      <c r="Y73" s="667"/>
      <c r="Z73" s="667"/>
      <c r="AA73" s="667"/>
      <c r="AB73" s="667"/>
      <c r="AC73" s="667"/>
      <c r="AD73" s="667"/>
      <c r="AE73" s="667"/>
      <c r="AF73" s="667"/>
      <c r="AG73" s="667"/>
      <c r="AH73" s="667"/>
      <c r="AI73" s="667"/>
      <c r="AJ73" s="667"/>
      <c r="AK73" s="667"/>
      <c r="AL73" s="667"/>
      <c r="AM73" s="667"/>
      <c r="AN73" s="667"/>
      <c r="AO73" s="668"/>
      <c r="AP73" s="668"/>
      <c r="AQ73" s="669"/>
    </row>
    <row r="74" spans="1:43" x14ac:dyDescent="0.3">
      <c r="A74" s="674"/>
      <c r="B74" s="675" t="s">
        <v>448</v>
      </c>
      <c r="C74" s="676"/>
      <c r="D74" s="677"/>
      <c r="E74" s="678"/>
      <c r="F74" s="674"/>
      <c r="G74" s="674"/>
      <c r="H74" s="674"/>
      <c r="I74" s="674"/>
      <c r="J74" s="674"/>
      <c r="K74" s="674"/>
      <c r="L74" s="674"/>
      <c r="M74" s="674"/>
      <c r="N74" s="674"/>
      <c r="R74" s="674"/>
      <c r="S74" s="674"/>
      <c r="T74" s="674"/>
      <c r="U74" s="679"/>
      <c r="V74" s="679"/>
      <c r="W74" s="674"/>
      <c r="X74" s="674"/>
      <c r="Y74" s="674"/>
      <c r="Z74" s="674"/>
      <c r="AA74" s="674"/>
      <c r="AB74" s="674"/>
      <c r="AC74" s="674"/>
      <c r="AD74" s="674"/>
      <c r="AE74" s="674"/>
      <c r="AF74" s="674"/>
      <c r="AG74" s="674"/>
      <c r="AH74" s="674"/>
      <c r="AI74" s="674"/>
      <c r="AJ74" s="674"/>
      <c r="AK74" s="674"/>
      <c r="AL74" s="674"/>
      <c r="AM74" s="674"/>
      <c r="AN74" s="674"/>
      <c r="AO74" s="1255"/>
      <c r="AP74" s="1255"/>
      <c r="AQ74" s="680"/>
    </row>
    <row r="75" spans="1:43" x14ac:dyDescent="0.3">
      <c r="A75" s="674" t="s">
        <v>449</v>
      </c>
      <c r="B75" s="1256" t="s">
        <v>450</v>
      </c>
      <c r="C75" s="1256"/>
      <c r="D75" s="1256"/>
      <c r="E75" s="664" t="s">
        <v>114</v>
      </c>
      <c r="F75" s="1257">
        <f>B.T.!H47</f>
        <v>20720</v>
      </c>
      <c r="G75" s="1257"/>
      <c r="H75" s="672" t="s">
        <v>296</v>
      </c>
      <c r="J75" s="674"/>
      <c r="K75" s="674"/>
      <c r="L75" s="674"/>
      <c r="M75" s="674"/>
      <c r="N75" s="679"/>
      <c r="R75" s="674"/>
      <c r="S75" s="674"/>
      <c r="T75" s="674"/>
      <c r="U75" s="679"/>
      <c r="V75" s="679"/>
      <c r="W75" s="674"/>
      <c r="X75" s="674"/>
      <c r="Y75" s="674"/>
      <c r="Z75" s="674"/>
      <c r="AA75" s="674"/>
      <c r="AB75" s="674"/>
      <c r="AC75" s="674"/>
      <c r="AD75" s="674"/>
      <c r="AE75" s="674"/>
      <c r="AF75" s="674"/>
      <c r="AG75" s="674"/>
      <c r="AH75" s="674"/>
      <c r="AI75" s="674"/>
      <c r="AJ75" s="674"/>
      <c r="AK75" s="674"/>
      <c r="AL75" s="674"/>
      <c r="AM75" s="674"/>
      <c r="AN75" s="674"/>
      <c r="AO75" s="681"/>
      <c r="AP75" s="682"/>
      <c r="AQ75" s="680"/>
    </row>
    <row r="76" spans="1:43" x14ac:dyDescent="0.3">
      <c r="A76" s="674" t="s">
        <v>451</v>
      </c>
      <c r="B76" s="1256" t="s">
        <v>452</v>
      </c>
      <c r="C76" s="1256"/>
      <c r="D76" s="1256"/>
      <c r="E76" s="677" t="s">
        <v>114</v>
      </c>
      <c r="F76" s="1257">
        <f>SUM('inclind filter above BT'!H50:I51,'inclined Filetr above hearting'!H49:H50)</f>
        <v>305343.44465612527</v>
      </c>
      <c r="G76" s="1257"/>
      <c r="H76" s="672" t="s">
        <v>296</v>
      </c>
      <c r="J76" s="674"/>
      <c r="K76" s="674"/>
      <c r="L76" s="674"/>
      <c r="M76" s="674"/>
      <c r="N76" s="679"/>
      <c r="R76" s="674"/>
      <c r="S76" s="674"/>
      <c r="T76" s="674"/>
      <c r="U76" s="679"/>
      <c r="V76" s="679"/>
      <c r="W76" s="674"/>
      <c r="X76" s="674"/>
      <c r="Y76" s="674"/>
      <c r="Z76" s="674"/>
      <c r="AA76" s="674"/>
      <c r="AB76" s="674"/>
      <c r="AC76" s="674"/>
      <c r="AD76" s="674"/>
      <c r="AE76" s="674"/>
      <c r="AF76" s="674"/>
      <c r="AG76" s="674"/>
      <c r="AH76" s="674"/>
      <c r="AI76" s="674"/>
      <c r="AJ76" s="674"/>
      <c r="AK76" s="674"/>
      <c r="AL76" s="674"/>
      <c r="AM76" s="674"/>
      <c r="AN76" s="674"/>
      <c r="AO76" s="681"/>
      <c r="AP76" s="682"/>
      <c r="AQ76" s="680"/>
    </row>
    <row r="77" spans="1:43" x14ac:dyDescent="0.3">
      <c r="A77" s="674" t="s">
        <v>453</v>
      </c>
      <c r="B77" s="1256" t="s">
        <v>454</v>
      </c>
      <c r="C77" s="1256"/>
      <c r="D77" s="1256"/>
      <c r="E77" s="677" t="s">
        <v>114</v>
      </c>
      <c r="F77" s="1257">
        <f>SUM('(Extended filter)'!G49:G50)</f>
        <v>34865</v>
      </c>
      <c r="G77" s="1257"/>
      <c r="H77" s="672" t="s">
        <v>296</v>
      </c>
      <c r="J77" s="664"/>
      <c r="K77" s="664"/>
      <c r="L77" s="664"/>
      <c r="M77" s="664"/>
      <c r="N77" s="679"/>
      <c r="R77" s="664"/>
      <c r="S77" s="664"/>
      <c r="T77" s="664"/>
      <c r="U77" s="679"/>
      <c r="V77" s="679"/>
      <c r="W77" s="664"/>
      <c r="X77" s="664"/>
      <c r="Y77" s="664"/>
      <c r="Z77" s="664"/>
      <c r="AA77" s="664"/>
      <c r="AB77" s="664"/>
      <c r="AC77" s="664"/>
      <c r="AD77" s="664"/>
      <c r="AE77" s="664"/>
      <c r="AF77" s="664"/>
      <c r="AG77" s="664"/>
      <c r="AH77" s="664"/>
      <c r="AI77" s="664"/>
      <c r="AJ77" s="664"/>
      <c r="AK77" s="664"/>
      <c r="AL77" s="664"/>
      <c r="AM77" s="664"/>
      <c r="AN77" s="664"/>
      <c r="AO77" s="1255"/>
      <c r="AP77" s="1255"/>
      <c r="AQ77" s="683"/>
    </row>
    <row r="78" spans="1:43" x14ac:dyDescent="0.3">
      <c r="A78" s="674" t="s">
        <v>455</v>
      </c>
      <c r="B78" s="1256" t="s">
        <v>456</v>
      </c>
      <c r="C78" s="1256"/>
      <c r="D78" s="1256"/>
      <c r="E78" s="677" t="s">
        <v>114</v>
      </c>
      <c r="F78" s="1257">
        <f>SUM('Toe Drain Ex'!L50:L51)</f>
        <v>440</v>
      </c>
      <c r="G78" s="1257"/>
      <c r="H78" s="672" t="s">
        <v>296</v>
      </c>
      <c r="J78" s="684"/>
      <c r="K78" s="684"/>
      <c r="L78" s="684"/>
      <c r="M78" s="684"/>
      <c r="N78" s="679"/>
      <c r="R78" s="684"/>
      <c r="S78" s="684"/>
      <c r="T78" s="684"/>
      <c r="U78" s="679"/>
      <c r="V78" s="679"/>
      <c r="W78" s="684"/>
      <c r="X78" s="684"/>
      <c r="Y78" s="684"/>
      <c r="Z78" s="684"/>
      <c r="AA78" s="684"/>
      <c r="AB78" s="684"/>
      <c r="AC78" s="684"/>
      <c r="AD78" s="684"/>
      <c r="AE78" s="684"/>
      <c r="AF78" s="684"/>
      <c r="AG78" s="684"/>
      <c r="AH78" s="684"/>
      <c r="AI78" s="684"/>
      <c r="AJ78" s="684"/>
      <c r="AK78" s="684"/>
      <c r="AL78" s="684"/>
      <c r="AM78" s="684"/>
      <c r="AN78" s="684"/>
      <c r="AO78" s="684"/>
      <c r="AP78" s="685"/>
      <c r="AQ78" s="683"/>
    </row>
    <row r="79" spans="1:43" x14ac:dyDescent="0.3">
      <c r="A79" s="674" t="s">
        <v>457</v>
      </c>
      <c r="B79" s="1256" t="s">
        <v>458</v>
      </c>
      <c r="C79" s="1256"/>
      <c r="D79" s="1256"/>
      <c r="E79" s="677" t="s">
        <v>114</v>
      </c>
      <c r="F79" s="1257">
        <f>SUM(pich!M53:M54)</f>
        <v>37783.756197507595</v>
      </c>
      <c r="G79" s="1257"/>
      <c r="H79" s="672" t="s">
        <v>296</v>
      </c>
      <c r="J79" s="684"/>
      <c r="K79" s="684"/>
      <c r="L79" s="684"/>
      <c r="M79" s="684"/>
      <c r="N79" s="679"/>
      <c r="R79" s="684"/>
      <c r="S79" s="684"/>
      <c r="T79" s="684"/>
      <c r="U79" s="679"/>
      <c r="V79" s="679"/>
      <c r="W79" s="684"/>
      <c r="X79" s="684"/>
      <c r="Y79" s="684"/>
      <c r="Z79" s="684"/>
      <c r="AA79" s="684"/>
      <c r="AB79" s="684"/>
      <c r="AC79" s="684"/>
      <c r="AD79" s="684"/>
      <c r="AE79" s="684"/>
      <c r="AF79" s="684"/>
      <c r="AG79" s="684"/>
      <c r="AH79" s="684"/>
      <c r="AI79" s="684"/>
      <c r="AJ79" s="684"/>
      <c r="AK79" s="684"/>
      <c r="AL79" s="684"/>
      <c r="AM79" s="684"/>
      <c r="AN79" s="684"/>
      <c r="AO79" s="684"/>
      <c r="AP79" s="685"/>
      <c r="AQ79" s="683"/>
    </row>
    <row r="80" spans="1:43" x14ac:dyDescent="0.3">
      <c r="A80" s="1259" t="s">
        <v>459</v>
      </c>
      <c r="B80" s="1259"/>
      <c r="C80" s="1259"/>
      <c r="D80" s="1259"/>
      <c r="E80" s="686" t="s">
        <v>114</v>
      </c>
      <c r="F80" s="1258">
        <f>F70+F71-SUM(F75:F79)</f>
        <v>21141996.249968495</v>
      </c>
      <c r="G80" s="1258"/>
      <c r="H80" s="687" t="s">
        <v>296</v>
      </c>
      <c r="J80" s="688"/>
      <c r="K80" s="688"/>
      <c r="L80" s="688"/>
      <c r="M80" s="688"/>
      <c r="R80" s="688"/>
      <c r="S80" s="688"/>
      <c r="T80" s="688"/>
      <c r="U80" s="688"/>
      <c r="V80" s="688"/>
      <c r="W80" s="688"/>
      <c r="X80" s="688"/>
      <c r="Y80" s="688"/>
      <c r="Z80" s="688"/>
      <c r="AA80" s="688">
        <v>370</v>
      </c>
      <c r="AB80" s="688"/>
      <c r="AC80" s="688"/>
      <c r="AD80" s="688"/>
      <c r="AE80" s="688"/>
      <c r="AF80" s="688"/>
      <c r="AG80" s="688"/>
      <c r="AH80" s="688"/>
      <c r="AI80" s="688"/>
      <c r="AJ80" s="688"/>
      <c r="AK80" s="688"/>
      <c r="AL80" s="688"/>
      <c r="AM80" s="688"/>
      <c r="AN80" s="688"/>
      <c r="AO80" s="689"/>
      <c r="AP80" s="690"/>
      <c r="AQ80" s="690"/>
    </row>
    <row r="81" spans="1:43" x14ac:dyDescent="0.3">
      <c r="G81" s="661"/>
      <c r="S81" s="615" t="s">
        <v>460</v>
      </c>
      <c r="AA81" s="615">
        <v>870</v>
      </c>
    </row>
    <row r="82" spans="1:43" x14ac:dyDescent="0.3">
      <c r="U82" s="1252" t="e">
        <f>#REF!</f>
        <v>#REF!</v>
      </c>
      <c r="V82" s="1253"/>
      <c r="W82" s="1253"/>
      <c r="X82" s="1253"/>
    </row>
    <row r="83" spans="1:43" x14ac:dyDescent="0.3">
      <c r="A83" s="622"/>
      <c r="B83" s="1252"/>
      <c r="C83" s="1253"/>
      <c r="D83" s="1253"/>
      <c r="E83" s="1253"/>
      <c r="F83" s="622"/>
      <c r="G83" s="622"/>
      <c r="H83" s="622"/>
      <c r="I83" s="622"/>
      <c r="J83" s="622"/>
      <c r="K83" s="622"/>
      <c r="L83" s="622"/>
      <c r="M83" s="622"/>
      <c r="N83" s="622"/>
      <c r="O83" s="622"/>
      <c r="P83" s="622"/>
      <c r="Q83" s="622"/>
      <c r="R83" s="622"/>
      <c r="S83" s="622"/>
      <c r="T83" s="622"/>
      <c r="U83" s="691"/>
      <c r="V83" s="692"/>
      <c r="W83" s="692"/>
      <c r="X83" s="692"/>
      <c r="Y83" s="622"/>
      <c r="Z83" s="622"/>
      <c r="AA83" s="622"/>
      <c r="AB83" s="622"/>
      <c r="AC83" s="622"/>
      <c r="AD83" s="622"/>
      <c r="AE83" s="622"/>
      <c r="AF83" s="622"/>
      <c r="AG83" s="622"/>
      <c r="AH83" s="622"/>
      <c r="AI83" s="622"/>
      <c r="AJ83" s="622"/>
      <c r="AK83" s="622"/>
      <c r="AL83" s="622"/>
      <c r="AM83" s="622"/>
      <c r="AN83" s="622"/>
      <c r="AO83" s="622"/>
      <c r="AP83" s="622"/>
      <c r="AQ83" s="622"/>
    </row>
    <row r="84" spans="1:43" x14ac:dyDescent="0.3">
      <c r="B84" s="1252"/>
      <c r="C84" s="1253"/>
      <c r="D84" s="1253"/>
      <c r="E84" s="1253"/>
      <c r="M84" s="622"/>
      <c r="Q84" s="622"/>
      <c r="U84" s="691"/>
      <c r="V84" s="692"/>
      <c r="W84" s="692"/>
      <c r="X84" s="692"/>
    </row>
    <row r="85" spans="1:43" x14ac:dyDescent="0.3">
      <c r="B85" s="1252"/>
      <c r="C85" s="1253"/>
      <c r="D85" s="1253"/>
      <c r="E85" s="1253"/>
      <c r="F85" s="691"/>
      <c r="G85" s="693">
        <f>'Detail &amp; Abs'!A71</f>
        <v>0</v>
      </c>
      <c r="I85" s="694"/>
      <c r="K85" s="694"/>
      <c r="L85" s="693">
        <f>'Detail &amp; Abs'!C71</f>
        <v>0</v>
      </c>
      <c r="N85" s="694"/>
      <c r="O85" s="694"/>
      <c r="P85" s="694"/>
      <c r="Q85" s="695"/>
      <c r="R85" s="691"/>
      <c r="U85" s="691"/>
      <c r="V85" s="692"/>
      <c r="W85" s="692"/>
      <c r="X85" s="692"/>
    </row>
    <row r="86" spans="1:43" x14ac:dyDescent="0.3">
      <c r="G86" s="693">
        <f>'Detail &amp; Abs'!A72</f>
        <v>0</v>
      </c>
      <c r="I86" s="694"/>
      <c r="K86" s="694"/>
      <c r="L86" s="693">
        <f>'Detail &amp; Abs'!C72</f>
        <v>0</v>
      </c>
      <c r="N86" s="694"/>
      <c r="O86" s="694"/>
      <c r="P86" s="694"/>
      <c r="Q86" s="695"/>
    </row>
    <row r="87" spans="1:43" x14ac:dyDescent="0.3">
      <c r="G87" s="693">
        <f>'Detail &amp; Abs'!A73</f>
        <v>0</v>
      </c>
      <c r="I87" s="694"/>
      <c r="K87" s="694"/>
      <c r="L87" s="693">
        <f>'Detail &amp; Abs'!C73</f>
        <v>0</v>
      </c>
      <c r="N87" s="694"/>
      <c r="O87" s="694"/>
      <c r="P87" s="694"/>
      <c r="Q87" s="695"/>
    </row>
    <row r="88" spans="1:43" x14ac:dyDescent="0.3">
      <c r="G88" s="693"/>
      <c r="I88" s="694"/>
      <c r="J88" s="694"/>
      <c r="K88" s="694"/>
      <c r="L88" s="694"/>
      <c r="M88" s="694"/>
      <c r="N88" s="694"/>
      <c r="O88" s="694"/>
      <c r="P88" s="694"/>
    </row>
    <row r="89" spans="1:43" x14ac:dyDescent="0.3">
      <c r="G89" s="696"/>
    </row>
  </sheetData>
  <customSheetViews>
    <customSheetView guid="{5161B42F-120B-436B-80F4-9BB578173AD5}" scale="70" hiddenRows="1" topLeftCell="A15">
      <selection activeCell="E32" sqref="E32"/>
      <rowBreaks count="1" manualBreakCount="1">
        <brk id="45" max="24" man="1"/>
      </rowBreaks>
      <pageMargins left="0.70866141732283505" right="0.70866141732283505" top="0.74803149606299202" bottom="0.74803149606299202" header="0.31496062992126" footer="0.31496062992126"/>
      <printOptions horizontalCentered="1"/>
      <pageSetup scale="52" fitToHeight="6" orientation="landscape" r:id="rId1"/>
      <headerFooter>
        <oddFooter>&amp;R&amp;P</oddFooter>
      </headerFooter>
    </customSheetView>
  </customSheetViews>
  <mergeCells count="50">
    <mergeCell ref="A14:E14"/>
    <mergeCell ref="A1:X1"/>
    <mergeCell ref="A2:M2"/>
    <mergeCell ref="V2:Y2"/>
    <mergeCell ref="A3:X3"/>
    <mergeCell ref="C4:D4"/>
    <mergeCell ref="C5:D5"/>
    <mergeCell ref="C6:D6"/>
    <mergeCell ref="C7:D7"/>
    <mergeCell ref="A12:C13"/>
    <mergeCell ref="D12:D13"/>
    <mergeCell ref="E12:E13"/>
    <mergeCell ref="H16:I18"/>
    <mergeCell ref="A19:E19"/>
    <mergeCell ref="A25:A30"/>
    <mergeCell ref="B25:B30"/>
    <mergeCell ref="C25:C30"/>
    <mergeCell ref="D25:D30"/>
    <mergeCell ref="E25:L25"/>
    <mergeCell ref="L26:L30"/>
    <mergeCell ref="F75:G75"/>
    <mergeCell ref="AO70:AP70"/>
    <mergeCell ref="M25:M30"/>
    <mergeCell ref="N25:U25"/>
    <mergeCell ref="V25:V30"/>
    <mergeCell ref="W25:W30"/>
    <mergeCell ref="X25:X30"/>
    <mergeCell ref="Y25:Y30"/>
    <mergeCell ref="U26:U30"/>
    <mergeCell ref="B85:E85"/>
    <mergeCell ref="B77:D77"/>
    <mergeCell ref="F77:G77"/>
    <mergeCell ref="A80:D80"/>
    <mergeCell ref="F80:G80"/>
    <mergeCell ref="U82:X82"/>
    <mergeCell ref="B83:E83"/>
    <mergeCell ref="B84:E84"/>
    <mergeCell ref="W69:X69"/>
    <mergeCell ref="AO77:AP77"/>
    <mergeCell ref="B78:D78"/>
    <mergeCell ref="F78:G78"/>
    <mergeCell ref="B79:D79"/>
    <mergeCell ref="F79:G79"/>
    <mergeCell ref="B76:D76"/>
    <mergeCell ref="F76:G76"/>
    <mergeCell ref="B70:D70"/>
    <mergeCell ref="F70:G70"/>
    <mergeCell ref="F72:G72"/>
    <mergeCell ref="AO74:AP74"/>
    <mergeCell ref="B75:D75"/>
  </mergeCells>
  <printOptions horizontalCentered="1"/>
  <pageMargins left="0.70866141732283505" right="0.70866141732283505" top="0.74803149606299202" bottom="0.74803149606299202" header="0.31496062992126" footer="0.31496062992126"/>
  <pageSetup scale="52" fitToHeight="6" orientation="landscape" r:id="rId2"/>
  <headerFooter>
    <oddFooter>&amp;R&amp;P</oddFooter>
  </headerFooter>
  <rowBreaks count="1" manualBreakCount="1">
    <brk id="59" max="24"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D53"/>
  <sheetViews>
    <sheetView view="pageBreakPreview" zoomScale="60" zoomScaleNormal="70" workbookViewId="0">
      <selection activeCell="C4" sqref="C4"/>
    </sheetView>
  </sheetViews>
  <sheetFormatPr defaultRowHeight="13.2" x14ac:dyDescent="0.25"/>
  <cols>
    <col min="1" max="1" width="8.88671875" style="449"/>
    <col min="2" max="2" width="6.88671875" style="449" customWidth="1"/>
    <col min="3" max="3" width="8.88671875" style="449"/>
    <col min="4" max="4" width="7.88671875" style="449" customWidth="1"/>
    <col min="5" max="6" width="8.88671875" style="449"/>
    <col min="7" max="7" width="7.5546875" style="449" customWidth="1"/>
    <col min="8" max="9" width="3" style="449" customWidth="1"/>
    <col min="10" max="10" width="5.44140625" style="449" customWidth="1"/>
    <col min="11" max="11" width="5.5546875" style="449" customWidth="1"/>
    <col min="12" max="12" width="7.6640625" style="449" customWidth="1"/>
    <col min="13" max="13" width="7" style="449" customWidth="1"/>
    <col min="14" max="23" width="9.109375" style="449" customWidth="1"/>
    <col min="24" max="263" width="8.88671875" style="449"/>
    <col min="264" max="265" width="3" style="449" customWidth="1"/>
    <col min="266" max="266" width="5.109375" style="449" customWidth="1"/>
    <col min="267" max="267" width="3" style="449" customWidth="1"/>
    <col min="268" max="269" width="9.109375" style="449" customWidth="1"/>
    <col min="270" max="270" width="10.44140625" style="449" customWidth="1"/>
    <col min="271" max="279" width="9.109375" style="449" customWidth="1"/>
    <col min="280" max="519" width="8.88671875" style="449"/>
    <col min="520" max="521" width="3" style="449" customWidth="1"/>
    <col min="522" max="522" width="5.109375" style="449" customWidth="1"/>
    <col min="523" max="523" width="3" style="449" customWidth="1"/>
    <col min="524" max="525" width="9.109375" style="449" customWidth="1"/>
    <col min="526" max="526" width="10.44140625" style="449" customWidth="1"/>
    <col min="527" max="535" width="9.109375" style="449" customWidth="1"/>
    <col min="536" max="775" width="8.88671875" style="449"/>
    <col min="776" max="777" width="3" style="449" customWidth="1"/>
    <col min="778" max="778" width="5.109375" style="449" customWidth="1"/>
    <col min="779" max="779" width="3" style="449" customWidth="1"/>
    <col min="780" max="781" width="9.109375" style="449" customWidth="1"/>
    <col min="782" max="782" width="10.44140625" style="449" customWidth="1"/>
    <col min="783" max="791" width="9.109375" style="449" customWidth="1"/>
    <col min="792" max="1031" width="8.88671875" style="449"/>
    <col min="1032" max="1033" width="3" style="449" customWidth="1"/>
    <col min="1034" max="1034" width="5.109375" style="449" customWidth="1"/>
    <col min="1035" max="1035" width="3" style="449" customWidth="1"/>
    <col min="1036" max="1037" width="9.109375" style="449" customWidth="1"/>
    <col min="1038" max="1038" width="10.44140625" style="449" customWidth="1"/>
    <col min="1039" max="1047" width="9.109375" style="449" customWidth="1"/>
    <col min="1048" max="1287" width="8.88671875" style="449"/>
    <col min="1288" max="1289" width="3" style="449" customWidth="1"/>
    <col min="1290" max="1290" width="5.109375" style="449" customWidth="1"/>
    <col min="1291" max="1291" width="3" style="449" customWidth="1"/>
    <col min="1292" max="1293" width="9.109375" style="449" customWidth="1"/>
    <col min="1294" max="1294" width="10.44140625" style="449" customWidth="1"/>
    <col min="1295" max="1303" width="9.109375" style="449" customWidth="1"/>
    <col min="1304" max="1543" width="8.88671875" style="449"/>
    <col min="1544" max="1545" width="3" style="449" customWidth="1"/>
    <col min="1546" max="1546" width="5.109375" style="449" customWidth="1"/>
    <col min="1547" max="1547" width="3" style="449" customWidth="1"/>
    <col min="1548" max="1549" width="9.109375" style="449" customWidth="1"/>
    <col min="1550" max="1550" width="10.44140625" style="449" customWidth="1"/>
    <col min="1551" max="1559" width="9.109375" style="449" customWidth="1"/>
    <col min="1560" max="1799" width="8.88671875" style="449"/>
    <col min="1800" max="1801" width="3" style="449" customWidth="1"/>
    <col min="1802" max="1802" width="5.109375" style="449" customWidth="1"/>
    <col min="1803" max="1803" width="3" style="449" customWidth="1"/>
    <col min="1804" max="1805" width="9.109375" style="449" customWidth="1"/>
    <col min="1806" max="1806" width="10.44140625" style="449" customWidth="1"/>
    <col min="1807" max="1815" width="9.109375" style="449" customWidth="1"/>
    <col min="1816" max="2055" width="8.88671875" style="449"/>
    <col min="2056" max="2057" width="3" style="449" customWidth="1"/>
    <col min="2058" max="2058" width="5.109375" style="449" customWidth="1"/>
    <col min="2059" max="2059" width="3" style="449" customWidth="1"/>
    <col min="2060" max="2061" width="9.109375" style="449" customWidth="1"/>
    <col min="2062" max="2062" width="10.44140625" style="449" customWidth="1"/>
    <col min="2063" max="2071" width="9.109375" style="449" customWidth="1"/>
    <col min="2072" max="2311" width="8.88671875" style="449"/>
    <col min="2312" max="2313" width="3" style="449" customWidth="1"/>
    <col min="2314" max="2314" width="5.109375" style="449" customWidth="1"/>
    <col min="2315" max="2315" width="3" style="449" customWidth="1"/>
    <col min="2316" max="2317" width="9.109375" style="449" customWidth="1"/>
    <col min="2318" max="2318" width="10.44140625" style="449" customWidth="1"/>
    <col min="2319" max="2327" width="9.109375" style="449" customWidth="1"/>
    <col min="2328" max="2567" width="8.88671875" style="449"/>
    <col min="2568" max="2569" width="3" style="449" customWidth="1"/>
    <col min="2570" max="2570" width="5.109375" style="449" customWidth="1"/>
    <col min="2571" max="2571" width="3" style="449" customWidth="1"/>
    <col min="2572" max="2573" width="9.109375" style="449" customWidth="1"/>
    <col min="2574" max="2574" width="10.44140625" style="449" customWidth="1"/>
    <col min="2575" max="2583" width="9.109375" style="449" customWidth="1"/>
    <col min="2584" max="2823" width="8.88671875" style="449"/>
    <col min="2824" max="2825" width="3" style="449" customWidth="1"/>
    <col min="2826" max="2826" width="5.109375" style="449" customWidth="1"/>
    <col min="2827" max="2827" width="3" style="449" customWidth="1"/>
    <col min="2828" max="2829" width="9.109375" style="449" customWidth="1"/>
    <col min="2830" max="2830" width="10.44140625" style="449" customWidth="1"/>
    <col min="2831" max="2839" width="9.109375" style="449" customWidth="1"/>
    <col min="2840" max="3079" width="8.88671875" style="449"/>
    <col min="3080" max="3081" width="3" style="449" customWidth="1"/>
    <col min="3082" max="3082" width="5.109375" style="449" customWidth="1"/>
    <col min="3083" max="3083" width="3" style="449" customWidth="1"/>
    <col min="3084" max="3085" width="9.109375" style="449" customWidth="1"/>
    <col min="3086" max="3086" width="10.44140625" style="449" customWidth="1"/>
    <col min="3087" max="3095" width="9.109375" style="449" customWidth="1"/>
    <col min="3096" max="3335" width="8.88671875" style="449"/>
    <col min="3336" max="3337" width="3" style="449" customWidth="1"/>
    <col min="3338" max="3338" width="5.109375" style="449" customWidth="1"/>
    <col min="3339" max="3339" width="3" style="449" customWidth="1"/>
    <col min="3340" max="3341" width="9.109375" style="449" customWidth="1"/>
    <col min="3342" max="3342" width="10.44140625" style="449" customWidth="1"/>
    <col min="3343" max="3351" width="9.109375" style="449" customWidth="1"/>
    <col min="3352" max="3591" width="8.88671875" style="449"/>
    <col min="3592" max="3593" width="3" style="449" customWidth="1"/>
    <col min="3594" max="3594" width="5.109375" style="449" customWidth="1"/>
    <col min="3595" max="3595" width="3" style="449" customWidth="1"/>
    <col min="3596" max="3597" width="9.109375" style="449" customWidth="1"/>
    <col min="3598" max="3598" width="10.44140625" style="449" customWidth="1"/>
    <col min="3599" max="3607" width="9.109375" style="449" customWidth="1"/>
    <col min="3608" max="3847" width="8.88671875" style="449"/>
    <col min="3848" max="3849" width="3" style="449" customWidth="1"/>
    <col min="3850" max="3850" width="5.109375" style="449" customWidth="1"/>
    <col min="3851" max="3851" width="3" style="449" customWidth="1"/>
    <col min="3852" max="3853" width="9.109375" style="449" customWidth="1"/>
    <col min="3854" max="3854" width="10.44140625" style="449" customWidth="1"/>
    <col min="3855" max="3863" width="9.109375" style="449" customWidth="1"/>
    <col min="3864" max="4103" width="8.88671875" style="449"/>
    <col min="4104" max="4105" width="3" style="449" customWidth="1"/>
    <col min="4106" max="4106" width="5.109375" style="449" customWidth="1"/>
    <col min="4107" max="4107" width="3" style="449" customWidth="1"/>
    <col min="4108" max="4109" width="9.109375" style="449" customWidth="1"/>
    <col min="4110" max="4110" width="10.44140625" style="449" customWidth="1"/>
    <col min="4111" max="4119" width="9.109375" style="449" customWidth="1"/>
    <col min="4120" max="4359" width="8.88671875" style="449"/>
    <col min="4360" max="4361" width="3" style="449" customWidth="1"/>
    <col min="4362" max="4362" width="5.109375" style="449" customWidth="1"/>
    <col min="4363" max="4363" width="3" style="449" customWidth="1"/>
    <col min="4364" max="4365" width="9.109375" style="449" customWidth="1"/>
    <col min="4366" max="4366" width="10.44140625" style="449" customWidth="1"/>
    <col min="4367" max="4375" width="9.109375" style="449" customWidth="1"/>
    <col min="4376" max="4615" width="8.88671875" style="449"/>
    <col min="4616" max="4617" width="3" style="449" customWidth="1"/>
    <col min="4618" max="4618" width="5.109375" style="449" customWidth="1"/>
    <col min="4619" max="4619" width="3" style="449" customWidth="1"/>
    <col min="4620" max="4621" width="9.109375" style="449" customWidth="1"/>
    <col min="4622" max="4622" width="10.44140625" style="449" customWidth="1"/>
    <col min="4623" max="4631" width="9.109375" style="449" customWidth="1"/>
    <col min="4632" max="4871" width="8.88671875" style="449"/>
    <col min="4872" max="4873" width="3" style="449" customWidth="1"/>
    <col min="4874" max="4874" width="5.109375" style="449" customWidth="1"/>
    <col min="4875" max="4875" width="3" style="449" customWidth="1"/>
    <col min="4876" max="4877" width="9.109375" style="449" customWidth="1"/>
    <col min="4878" max="4878" width="10.44140625" style="449" customWidth="1"/>
    <col min="4879" max="4887" width="9.109375" style="449" customWidth="1"/>
    <col min="4888" max="5127" width="8.88671875" style="449"/>
    <col min="5128" max="5129" width="3" style="449" customWidth="1"/>
    <col min="5130" max="5130" width="5.109375" style="449" customWidth="1"/>
    <col min="5131" max="5131" width="3" style="449" customWidth="1"/>
    <col min="5132" max="5133" width="9.109375" style="449" customWidth="1"/>
    <col min="5134" max="5134" width="10.44140625" style="449" customWidth="1"/>
    <col min="5135" max="5143" width="9.109375" style="449" customWidth="1"/>
    <col min="5144" max="5383" width="8.88671875" style="449"/>
    <col min="5384" max="5385" width="3" style="449" customWidth="1"/>
    <col min="5386" max="5386" width="5.109375" style="449" customWidth="1"/>
    <col min="5387" max="5387" width="3" style="449" customWidth="1"/>
    <col min="5388" max="5389" width="9.109375" style="449" customWidth="1"/>
    <col min="5390" max="5390" width="10.44140625" style="449" customWidth="1"/>
    <col min="5391" max="5399" width="9.109375" style="449" customWidth="1"/>
    <col min="5400" max="5639" width="8.88671875" style="449"/>
    <col min="5640" max="5641" width="3" style="449" customWidth="1"/>
    <col min="5642" max="5642" width="5.109375" style="449" customWidth="1"/>
    <col min="5643" max="5643" width="3" style="449" customWidth="1"/>
    <col min="5644" max="5645" width="9.109375" style="449" customWidth="1"/>
    <col min="5646" max="5646" width="10.44140625" style="449" customWidth="1"/>
    <col min="5647" max="5655" width="9.109375" style="449" customWidth="1"/>
    <col min="5656" max="5895" width="8.88671875" style="449"/>
    <col min="5896" max="5897" width="3" style="449" customWidth="1"/>
    <col min="5898" max="5898" width="5.109375" style="449" customWidth="1"/>
    <col min="5899" max="5899" width="3" style="449" customWidth="1"/>
    <col min="5900" max="5901" width="9.109375" style="449" customWidth="1"/>
    <col min="5902" max="5902" width="10.44140625" style="449" customWidth="1"/>
    <col min="5903" max="5911" width="9.109375" style="449" customWidth="1"/>
    <col min="5912" max="6151" width="8.88671875" style="449"/>
    <col min="6152" max="6153" width="3" style="449" customWidth="1"/>
    <col min="6154" max="6154" width="5.109375" style="449" customWidth="1"/>
    <col min="6155" max="6155" width="3" style="449" customWidth="1"/>
    <col min="6156" max="6157" width="9.109375" style="449" customWidth="1"/>
    <col min="6158" max="6158" width="10.44140625" style="449" customWidth="1"/>
    <col min="6159" max="6167" width="9.109375" style="449" customWidth="1"/>
    <col min="6168" max="6407" width="8.88671875" style="449"/>
    <col min="6408" max="6409" width="3" style="449" customWidth="1"/>
    <col min="6410" max="6410" width="5.109375" style="449" customWidth="1"/>
    <col min="6411" max="6411" width="3" style="449" customWidth="1"/>
    <col min="6412" max="6413" width="9.109375" style="449" customWidth="1"/>
    <col min="6414" max="6414" width="10.44140625" style="449" customWidth="1"/>
    <col min="6415" max="6423" width="9.109375" style="449" customWidth="1"/>
    <col min="6424" max="6663" width="8.88671875" style="449"/>
    <col min="6664" max="6665" width="3" style="449" customWidth="1"/>
    <col min="6666" max="6666" width="5.109375" style="449" customWidth="1"/>
    <col min="6667" max="6667" width="3" style="449" customWidth="1"/>
    <col min="6668" max="6669" width="9.109375" style="449" customWidth="1"/>
    <col min="6670" max="6670" width="10.44140625" style="449" customWidth="1"/>
    <col min="6671" max="6679" width="9.109375" style="449" customWidth="1"/>
    <col min="6680" max="6919" width="8.88671875" style="449"/>
    <col min="6920" max="6921" width="3" style="449" customWidth="1"/>
    <col min="6922" max="6922" width="5.109375" style="449" customWidth="1"/>
    <col min="6923" max="6923" width="3" style="449" customWidth="1"/>
    <col min="6924" max="6925" width="9.109375" style="449" customWidth="1"/>
    <col min="6926" max="6926" width="10.44140625" style="449" customWidth="1"/>
    <col min="6927" max="6935" width="9.109375" style="449" customWidth="1"/>
    <col min="6936" max="7175" width="8.88671875" style="449"/>
    <col min="7176" max="7177" width="3" style="449" customWidth="1"/>
    <col min="7178" max="7178" width="5.109375" style="449" customWidth="1"/>
    <col min="7179" max="7179" width="3" style="449" customWidth="1"/>
    <col min="7180" max="7181" width="9.109375" style="449" customWidth="1"/>
    <col min="7182" max="7182" width="10.44140625" style="449" customWidth="1"/>
    <col min="7183" max="7191" width="9.109375" style="449" customWidth="1"/>
    <col min="7192" max="7431" width="8.88671875" style="449"/>
    <col min="7432" max="7433" width="3" style="449" customWidth="1"/>
    <col min="7434" max="7434" width="5.109375" style="449" customWidth="1"/>
    <col min="7435" max="7435" width="3" style="449" customWidth="1"/>
    <col min="7436" max="7437" width="9.109375" style="449" customWidth="1"/>
    <col min="7438" max="7438" width="10.44140625" style="449" customWidth="1"/>
    <col min="7439" max="7447" width="9.109375" style="449" customWidth="1"/>
    <col min="7448" max="7687" width="8.88671875" style="449"/>
    <col min="7688" max="7689" width="3" style="449" customWidth="1"/>
    <col min="7690" max="7690" width="5.109375" style="449" customWidth="1"/>
    <col min="7691" max="7691" width="3" style="449" customWidth="1"/>
    <col min="7692" max="7693" width="9.109375" style="449" customWidth="1"/>
    <col min="7694" max="7694" width="10.44140625" style="449" customWidth="1"/>
    <col min="7695" max="7703" width="9.109375" style="449" customWidth="1"/>
    <col min="7704" max="7943" width="8.88671875" style="449"/>
    <col min="7944" max="7945" width="3" style="449" customWidth="1"/>
    <col min="7946" max="7946" width="5.109375" style="449" customWidth="1"/>
    <col min="7947" max="7947" width="3" style="449" customWidth="1"/>
    <col min="7948" max="7949" width="9.109375" style="449" customWidth="1"/>
    <col min="7950" max="7950" width="10.44140625" style="449" customWidth="1"/>
    <col min="7951" max="7959" width="9.109375" style="449" customWidth="1"/>
    <col min="7960" max="8199" width="8.88671875" style="449"/>
    <col min="8200" max="8201" width="3" style="449" customWidth="1"/>
    <col min="8202" max="8202" width="5.109375" style="449" customWidth="1"/>
    <col min="8203" max="8203" width="3" style="449" customWidth="1"/>
    <col min="8204" max="8205" width="9.109375" style="449" customWidth="1"/>
    <col min="8206" max="8206" width="10.44140625" style="449" customWidth="1"/>
    <col min="8207" max="8215" width="9.109375" style="449" customWidth="1"/>
    <col min="8216" max="8455" width="8.88671875" style="449"/>
    <col min="8456" max="8457" width="3" style="449" customWidth="1"/>
    <col min="8458" max="8458" width="5.109375" style="449" customWidth="1"/>
    <col min="8459" max="8459" width="3" style="449" customWidth="1"/>
    <col min="8460" max="8461" width="9.109375" style="449" customWidth="1"/>
    <col min="8462" max="8462" width="10.44140625" style="449" customWidth="1"/>
    <col min="8463" max="8471" width="9.109375" style="449" customWidth="1"/>
    <col min="8472" max="8711" width="8.88671875" style="449"/>
    <col min="8712" max="8713" width="3" style="449" customWidth="1"/>
    <col min="8714" max="8714" width="5.109375" style="449" customWidth="1"/>
    <col min="8715" max="8715" width="3" style="449" customWidth="1"/>
    <col min="8716" max="8717" width="9.109375" style="449" customWidth="1"/>
    <col min="8718" max="8718" width="10.44140625" style="449" customWidth="1"/>
    <col min="8719" max="8727" width="9.109375" style="449" customWidth="1"/>
    <col min="8728" max="8967" width="8.88671875" style="449"/>
    <col min="8968" max="8969" width="3" style="449" customWidth="1"/>
    <col min="8970" max="8970" width="5.109375" style="449" customWidth="1"/>
    <col min="8971" max="8971" width="3" style="449" customWidth="1"/>
    <col min="8972" max="8973" width="9.109375" style="449" customWidth="1"/>
    <col min="8974" max="8974" width="10.44140625" style="449" customWidth="1"/>
    <col min="8975" max="8983" width="9.109375" style="449" customWidth="1"/>
    <col min="8984" max="9223" width="8.88671875" style="449"/>
    <col min="9224" max="9225" width="3" style="449" customWidth="1"/>
    <col min="9226" max="9226" width="5.109375" style="449" customWidth="1"/>
    <col min="9227" max="9227" width="3" style="449" customWidth="1"/>
    <col min="9228" max="9229" width="9.109375" style="449" customWidth="1"/>
    <col min="9230" max="9230" width="10.44140625" style="449" customWidth="1"/>
    <col min="9231" max="9239" width="9.109375" style="449" customWidth="1"/>
    <col min="9240" max="9479" width="8.88671875" style="449"/>
    <col min="9480" max="9481" width="3" style="449" customWidth="1"/>
    <col min="9482" max="9482" width="5.109375" style="449" customWidth="1"/>
    <col min="9483" max="9483" width="3" style="449" customWidth="1"/>
    <col min="9484" max="9485" width="9.109375" style="449" customWidth="1"/>
    <col min="9486" max="9486" width="10.44140625" style="449" customWidth="1"/>
    <col min="9487" max="9495" width="9.109375" style="449" customWidth="1"/>
    <col min="9496" max="9735" width="8.88671875" style="449"/>
    <col min="9736" max="9737" width="3" style="449" customWidth="1"/>
    <col min="9738" max="9738" width="5.109375" style="449" customWidth="1"/>
    <col min="9739" max="9739" width="3" style="449" customWidth="1"/>
    <col min="9740" max="9741" width="9.109375" style="449" customWidth="1"/>
    <col min="9742" max="9742" width="10.44140625" style="449" customWidth="1"/>
    <col min="9743" max="9751" width="9.109375" style="449" customWidth="1"/>
    <col min="9752" max="9991" width="8.88671875" style="449"/>
    <col min="9992" max="9993" width="3" style="449" customWidth="1"/>
    <col min="9994" max="9994" width="5.109375" style="449" customWidth="1"/>
    <col min="9995" max="9995" width="3" style="449" customWidth="1"/>
    <col min="9996" max="9997" width="9.109375" style="449" customWidth="1"/>
    <col min="9998" max="9998" width="10.44140625" style="449" customWidth="1"/>
    <col min="9999" max="10007" width="9.109375" style="449" customWidth="1"/>
    <col min="10008" max="10247" width="8.88671875" style="449"/>
    <col min="10248" max="10249" width="3" style="449" customWidth="1"/>
    <col min="10250" max="10250" width="5.109375" style="449" customWidth="1"/>
    <col min="10251" max="10251" width="3" style="449" customWidth="1"/>
    <col min="10252" max="10253" width="9.109375" style="449" customWidth="1"/>
    <col min="10254" max="10254" width="10.44140625" style="449" customWidth="1"/>
    <col min="10255" max="10263" width="9.109375" style="449" customWidth="1"/>
    <col min="10264" max="10503" width="8.88671875" style="449"/>
    <col min="10504" max="10505" width="3" style="449" customWidth="1"/>
    <col min="10506" max="10506" width="5.109375" style="449" customWidth="1"/>
    <col min="10507" max="10507" width="3" style="449" customWidth="1"/>
    <col min="10508" max="10509" width="9.109375" style="449" customWidth="1"/>
    <col min="10510" max="10510" width="10.44140625" style="449" customWidth="1"/>
    <col min="10511" max="10519" width="9.109375" style="449" customWidth="1"/>
    <col min="10520" max="10759" width="8.88671875" style="449"/>
    <col min="10760" max="10761" width="3" style="449" customWidth="1"/>
    <col min="10762" max="10762" width="5.109375" style="449" customWidth="1"/>
    <col min="10763" max="10763" width="3" style="449" customWidth="1"/>
    <col min="10764" max="10765" width="9.109375" style="449" customWidth="1"/>
    <col min="10766" max="10766" width="10.44140625" style="449" customWidth="1"/>
    <col min="10767" max="10775" width="9.109375" style="449" customWidth="1"/>
    <col min="10776" max="11015" width="8.88671875" style="449"/>
    <col min="11016" max="11017" width="3" style="449" customWidth="1"/>
    <col min="11018" max="11018" width="5.109375" style="449" customWidth="1"/>
    <col min="11019" max="11019" width="3" style="449" customWidth="1"/>
    <col min="11020" max="11021" width="9.109375" style="449" customWidth="1"/>
    <col min="11022" max="11022" width="10.44140625" style="449" customWidth="1"/>
    <col min="11023" max="11031" width="9.109375" style="449" customWidth="1"/>
    <col min="11032" max="11271" width="8.88671875" style="449"/>
    <col min="11272" max="11273" width="3" style="449" customWidth="1"/>
    <col min="11274" max="11274" width="5.109375" style="449" customWidth="1"/>
    <col min="11275" max="11275" width="3" style="449" customWidth="1"/>
    <col min="11276" max="11277" width="9.109375" style="449" customWidth="1"/>
    <col min="11278" max="11278" width="10.44140625" style="449" customWidth="1"/>
    <col min="11279" max="11287" width="9.109375" style="449" customWidth="1"/>
    <col min="11288" max="11527" width="8.88671875" style="449"/>
    <col min="11528" max="11529" width="3" style="449" customWidth="1"/>
    <col min="11530" max="11530" width="5.109375" style="449" customWidth="1"/>
    <col min="11531" max="11531" width="3" style="449" customWidth="1"/>
    <col min="11532" max="11533" width="9.109375" style="449" customWidth="1"/>
    <col min="11534" max="11534" width="10.44140625" style="449" customWidth="1"/>
    <col min="11535" max="11543" width="9.109375" style="449" customWidth="1"/>
    <col min="11544" max="11783" width="8.88671875" style="449"/>
    <col min="11784" max="11785" width="3" style="449" customWidth="1"/>
    <col min="11786" max="11786" width="5.109375" style="449" customWidth="1"/>
    <col min="11787" max="11787" width="3" style="449" customWidth="1"/>
    <col min="11788" max="11789" width="9.109375" style="449" customWidth="1"/>
    <col min="11790" max="11790" width="10.44140625" style="449" customWidth="1"/>
    <col min="11791" max="11799" width="9.109375" style="449" customWidth="1"/>
    <col min="11800" max="12039" width="8.88671875" style="449"/>
    <col min="12040" max="12041" width="3" style="449" customWidth="1"/>
    <col min="12042" max="12042" width="5.109375" style="449" customWidth="1"/>
    <col min="12043" max="12043" width="3" style="449" customWidth="1"/>
    <col min="12044" max="12045" width="9.109375" style="449" customWidth="1"/>
    <col min="12046" max="12046" width="10.44140625" style="449" customWidth="1"/>
    <col min="12047" max="12055" width="9.109375" style="449" customWidth="1"/>
    <col min="12056" max="12295" width="8.88671875" style="449"/>
    <col min="12296" max="12297" width="3" style="449" customWidth="1"/>
    <col min="12298" max="12298" width="5.109375" style="449" customWidth="1"/>
    <col min="12299" max="12299" width="3" style="449" customWidth="1"/>
    <col min="12300" max="12301" width="9.109375" style="449" customWidth="1"/>
    <col min="12302" max="12302" width="10.44140625" style="449" customWidth="1"/>
    <col min="12303" max="12311" width="9.109375" style="449" customWidth="1"/>
    <col min="12312" max="12551" width="8.88671875" style="449"/>
    <col min="12552" max="12553" width="3" style="449" customWidth="1"/>
    <col min="12554" max="12554" width="5.109375" style="449" customWidth="1"/>
    <col min="12555" max="12555" width="3" style="449" customWidth="1"/>
    <col min="12556" max="12557" width="9.109375" style="449" customWidth="1"/>
    <col min="12558" max="12558" width="10.44140625" style="449" customWidth="1"/>
    <col min="12559" max="12567" width="9.109375" style="449" customWidth="1"/>
    <col min="12568" max="12807" width="8.88671875" style="449"/>
    <col min="12808" max="12809" width="3" style="449" customWidth="1"/>
    <col min="12810" max="12810" width="5.109375" style="449" customWidth="1"/>
    <col min="12811" max="12811" width="3" style="449" customWidth="1"/>
    <col min="12812" max="12813" width="9.109375" style="449" customWidth="1"/>
    <col min="12814" max="12814" width="10.44140625" style="449" customWidth="1"/>
    <col min="12815" max="12823" width="9.109375" style="449" customWidth="1"/>
    <col min="12824" max="13063" width="8.88671875" style="449"/>
    <col min="13064" max="13065" width="3" style="449" customWidth="1"/>
    <col min="13066" max="13066" width="5.109375" style="449" customWidth="1"/>
    <col min="13067" max="13067" width="3" style="449" customWidth="1"/>
    <col min="13068" max="13069" width="9.109375" style="449" customWidth="1"/>
    <col min="13070" max="13070" width="10.44140625" style="449" customWidth="1"/>
    <col min="13071" max="13079" width="9.109375" style="449" customWidth="1"/>
    <col min="13080" max="13319" width="8.88671875" style="449"/>
    <col min="13320" max="13321" width="3" style="449" customWidth="1"/>
    <col min="13322" max="13322" width="5.109375" style="449" customWidth="1"/>
    <col min="13323" max="13323" width="3" style="449" customWidth="1"/>
    <col min="13324" max="13325" width="9.109375" style="449" customWidth="1"/>
    <col min="13326" max="13326" width="10.44140625" style="449" customWidth="1"/>
    <col min="13327" max="13335" width="9.109375" style="449" customWidth="1"/>
    <col min="13336" max="13575" width="8.88671875" style="449"/>
    <col min="13576" max="13577" width="3" style="449" customWidth="1"/>
    <col min="13578" max="13578" width="5.109375" style="449" customWidth="1"/>
    <col min="13579" max="13579" width="3" style="449" customWidth="1"/>
    <col min="13580" max="13581" width="9.109375" style="449" customWidth="1"/>
    <col min="13582" max="13582" width="10.44140625" style="449" customWidth="1"/>
    <col min="13583" max="13591" width="9.109375" style="449" customWidth="1"/>
    <col min="13592" max="13831" width="8.88671875" style="449"/>
    <col min="13832" max="13833" width="3" style="449" customWidth="1"/>
    <col min="13834" max="13834" width="5.109375" style="449" customWidth="1"/>
    <col min="13835" max="13835" width="3" style="449" customWidth="1"/>
    <col min="13836" max="13837" width="9.109375" style="449" customWidth="1"/>
    <col min="13838" max="13838" width="10.44140625" style="449" customWidth="1"/>
    <col min="13839" max="13847" width="9.109375" style="449" customWidth="1"/>
    <col min="13848" max="14087" width="8.88671875" style="449"/>
    <col min="14088" max="14089" width="3" style="449" customWidth="1"/>
    <col min="14090" max="14090" width="5.109375" style="449" customWidth="1"/>
    <col min="14091" max="14091" width="3" style="449" customWidth="1"/>
    <col min="14092" max="14093" width="9.109375" style="449" customWidth="1"/>
    <col min="14094" max="14094" width="10.44140625" style="449" customWidth="1"/>
    <col min="14095" max="14103" width="9.109375" style="449" customWidth="1"/>
    <col min="14104" max="14343" width="8.88671875" style="449"/>
    <col min="14344" max="14345" width="3" style="449" customWidth="1"/>
    <col min="14346" max="14346" width="5.109375" style="449" customWidth="1"/>
    <col min="14347" max="14347" width="3" style="449" customWidth="1"/>
    <col min="14348" max="14349" width="9.109375" style="449" customWidth="1"/>
    <col min="14350" max="14350" width="10.44140625" style="449" customWidth="1"/>
    <col min="14351" max="14359" width="9.109375" style="449" customWidth="1"/>
    <col min="14360" max="14599" width="8.88671875" style="449"/>
    <col min="14600" max="14601" width="3" style="449" customWidth="1"/>
    <col min="14602" max="14602" width="5.109375" style="449" customWidth="1"/>
    <col min="14603" max="14603" width="3" style="449" customWidth="1"/>
    <col min="14604" max="14605" width="9.109375" style="449" customWidth="1"/>
    <col min="14606" max="14606" width="10.44140625" style="449" customWidth="1"/>
    <col min="14607" max="14615" width="9.109375" style="449" customWidth="1"/>
    <col min="14616" max="14855" width="8.88671875" style="449"/>
    <col min="14856" max="14857" width="3" style="449" customWidth="1"/>
    <col min="14858" max="14858" width="5.109375" style="449" customWidth="1"/>
    <col min="14859" max="14859" width="3" style="449" customWidth="1"/>
    <col min="14860" max="14861" width="9.109375" style="449" customWidth="1"/>
    <col min="14862" max="14862" width="10.44140625" style="449" customWidth="1"/>
    <col min="14863" max="14871" width="9.109375" style="449" customWidth="1"/>
    <col min="14872" max="15111" width="8.88671875" style="449"/>
    <col min="15112" max="15113" width="3" style="449" customWidth="1"/>
    <col min="15114" max="15114" width="5.109375" style="449" customWidth="1"/>
    <col min="15115" max="15115" width="3" style="449" customWidth="1"/>
    <col min="15116" max="15117" width="9.109375" style="449" customWidth="1"/>
    <col min="15118" max="15118" width="10.44140625" style="449" customWidth="1"/>
    <col min="15119" max="15127" width="9.109375" style="449" customWidth="1"/>
    <col min="15128" max="15367" width="8.88671875" style="449"/>
    <col min="15368" max="15369" width="3" style="449" customWidth="1"/>
    <col min="15370" max="15370" width="5.109375" style="449" customWidth="1"/>
    <col min="15371" max="15371" width="3" style="449" customWidth="1"/>
    <col min="15372" max="15373" width="9.109375" style="449" customWidth="1"/>
    <col min="15374" max="15374" width="10.44140625" style="449" customWidth="1"/>
    <col min="15375" max="15383" width="9.109375" style="449" customWidth="1"/>
    <col min="15384" max="15623" width="8.88671875" style="449"/>
    <col min="15624" max="15625" width="3" style="449" customWidth="1"/>
    <col min="15626" max="15626" width="5.109375" style="449" customWidth="1"/>
    <col min="15627" max="15627" width="3" style="449" customWidth="1"/>
    <col min="15628" max="15629" width="9.109375" style="449" customWidth="1"/>
    <col min="15630" max="15630" width="10.44140625" style="449" customWidth="1"/>
    <col min="15631" max="15639" width="9.109375" style="449" customWidth="1"/>
    <col min="15640" max="15879" width="8.88671875" style="449"/>
    <col min="15880" max="15881" width="3" style="449" customWidth="1"/>
    <col min="15882" max="15882" width="5.109375" style="449" customWidth="1"/>
    <col min="15883" max="15883" width="3" style="449" customWidth="1"/>
    <col min="15884" max="15885" width="9.109375" style="449" customWidth="1"/>
    <col min="15886" max="15886" width="10.44140625" style="449" customWidth="1"/>
    <col min="15887" max="15895" width="9.109375" style="449" customWidth="1"/>
    <col min="15896" max="16135" width="8.88671875" style="449"/>
    <col min="16136" max="16137" width="3" style="449" customWidth="1"/>
    <col min="16138" max="16138" width="5.109375" style="449" customWidth="1"/>
    <col min="16139" max="16139" width="3" style="449" customWidth="1"/>
    <col min="16140" max="16141" width="9.109375" style="449" customWidth="1"/>
    <col min="16142" max="16142" width="10.44140625" style="449" customWidth="1"/>
    <col min="16143" max="16151" width="9.109375" style="449" customWidth="1"/>
    <col min="16152" max="16384" width="8.88671875" style="449"/>
  </cols>
  <sheetData>
    <row r="1" spans="1:30" ht="15.6" x14ac:dyDescent="0.3">
      <c r="A1" s="1304" t="str">
        <f>'e-w'!A1:X1</f>
        <v>ROSHNABAD BARRAGE</v>
      </c>
      <c r="B1" s="1304"/>
      <c r="C1" s="1304"/>
      <c r="D1" s="1304"/>
      <c r="E1" s="1304"/>
      <c r="F1" s="1304"/>
      <c r="G1" s="1304"/>
      <c r="H1" s="1304"/>
      <c r="I1" s="1304"/>
      <c r="J1" s="1304"/>
      <c r="K1" s="1304"/>
      <c r="L1" s="1304"/>
      <c r="M1" s="1304"/>
      <c r="N1" s="1304"/>
      <c r="O1" s="569"/>
      <c r="P1" s="569"/>
      <c r="Q1" s="569"/>
      <c r="R1" s="569"/>
      <c r="S1" s="569"/>
      <c r="T1" s="569"/>
      <c r="U1" s="569"/>
      <c r="V1" s="569"/>
      <c r="W1" s="569"/>
      <c r="X1" s="569"/>
      <c r="Y1" s="1305" t="s">
        <v>461</v>
      </c>
      <c r="Z1" s="1306"/>
      <c r="AA1" s="1309" t="s">
        <v>462</v>
      </c>
    </row>
    <row r="2" spans="1:30" ht="14.4" x14ac:dyDescent="0.3">
      <c r="A2" s="697" t="str">
        <f>'Abt (3)'!A2:B2</f>
        <v>TEHSIL :-SIDHI</v>
      </c>
      <c r="B2" s="698"/>
      <c r="C2" s="698"/>
      <c r="D2" s="699"/>
      <c r="E2" s="698"/>
      <c r="F2" s="569"/>
      <c r="G2" s="569"/>
      <c r="H2" s="700"/>
      <c r="I2" s="701"/>
      <c r="J2" s="700"/>
      <c r="K2" s="702"/>
      <c r="L2" s="1311" t="str">
        <f>'Abt (3)'!F2</f>
        <v>DISTRICT :SINGRAULI</v>
      </c>
      <c r="M2" s="1311"/>
      <c r="N2" s="1311"/>
      <c r="O2" s="569"/>
      <c r="P2" s="569"/>
      <c r="Q2" s="569"/>
      <c r="R2" s="569"/>
      <c r="S2" s="569"/>
      <c r="T2" s="569"/>
      <c r="U2" s="569"/>
      <c r="V2" s="569"/>
      <c r="W2" s="569"/>
      <c r="X2" s="569"/>
      <c r="Y2" s="1307"/>
      <c r="Z2" s="1308"/>
      <c r="AA2" s="1310"/>
    </row>
    <row r="3" spans="1:30" ht="15.6" x14ac:dyDescent="0.3">
      <c r="A3" s="1312" t="s">
        <v>463</v>
      </c>
      <c r="B3" s="1312"/>
      <c r="C3" s="1312"/>
      <c r="D3" s="1312"/>
      <c r="E3" s="1312"/>
      <c r="F3" s="1312"/>
      <c r="G3" s="1312"/>
      <c r="H3" s="1312"/>
      <c r="I3" s="1312"/>
      <c r="J3" s="1312"/>
      <c r="K3" s="1312"/>
      <c r="L3" s="1312"/>
      <c r="M3" s="1312"/>
      <c r="N3" s="1312"/>
      <c r="O3" s="704"/>
      <c r="P3" s="704"/>
      <c r="Q3" s="704"/>
      <c r="R3" s="704"/>
      <c r="S3" s="704"/>
      <c r="T3" s="704"/>
      <c r="U3" s="704"/>
      <c r="V3" s="704"/>
      <c r="W3" s="704"/>
      <c r="X3" s="704"/>
      <c r="Y3" s="705"/>
      <c r="Z3" s="706"/>
      <c r="AA3" s="707"/>
    </row>
    <row r="4" spans="1:30" ht="13.8" x14ac:dyDescent="0.3">
      <c r="A4" s="569"/>
      <c r="B4" s="569" t="s">
        <v>464</v>
      </c>
      <c r="C4" s="708">
        <v>595</v>
      </c>
      <c r="D4" s="569"/>
      <c r="E4" s="569"/>
      <c r="F4" s="569"/>
      <c r="G4" s="569"/>
      <c r="H4" s="700"/>
      <c r="I4" s="701"/>
      <c r="J4" s="700"/>
      <c r="K4" s="702"/>
      <c r="L4" s="569"/>
      <c r="M4" s="569"/>
      <c r="N4" s="569"/>
      <c r="O4" s="709"/>
      <c r="P4" s="710"/>
      <c r="Q4" s="569"/>
      <c r="R4" s="569"/>
      <c r="S4" s="569"/>
      <c r="T4" s="569"/>
      <c r="U4" s="569"/>
      <c r="V4" s="569"/>
      <c r="W4" s="569"/>
      <c r="X4" s="569"/>
      <c r="Y4" s="711">
        <v>0</v>
      </c>
      <c r="Z4" s="712">
        <v>9</v>
      </c>
      <c r="AA4" s="713">
        <v>6</v>
      </c>
      <c r="AB4" s="1313" t="s">
        <v>465</v>
      </c>
      <c r="AC4" s="714" t="e">
        <f>#REF!</f>
        <v>#REF!</v>
      </c>
      <c r="AD4" s="715" t="e">
        <f>IF(AND(AC4&gt;=$Y$4,AC4&lt;=$Z$4),$AA$4,IF(AND(AC4&gt;$Y$5,AC4&lt;=$Z$5),$AA$5,$AA$6))</f>
        <v>#REF!</v>
      </c>
    </row>
    <row r="5" spans="1:30" ht="41.4" x14ac:dyDescent="0.3">
      <c r="A5" s="716" t="s">
        <v>466</v>
      </c>
      <c r="B5" s="716" t="s">
        <v>467</v>
      </c>
      <c r="C5" s="716" t="s">
        <v>468</v>
      </c>
      <c r="D5" s="716" t="s">
        <v>469</v>
      </c>
      <c r="E5" s="716" t="s">
        <v>470</v>
      </c>
      <c r="F5" s="716" t="s">
        <v>471</v>
      </c>
      <c r="G5" s="716" t="s">
        <v>472</v>
      </c>
      <c r="H5" s="1315" t="s">
        <v>473</v>
      </c>
      <c r="I5" s="1316"/>
      <c r="J5" s="1315" t="s">
        <v>474</v>
      </c>
      <c r="K5" s="1316"/>
      <c r="L5" s="716" t="s">
        <v>475</v>
      </c>
      <c r="M5" s="716" t="s">
        <v>476</v>
      </c>
      <c r="N5" s="716" t="s">
        <v>477</v>
      </c>
      <c r="O5" s="569"/>
      <c r="P5" s="717" t="s">
        <v>478</v>
      </c>
      <c r="Q5" s="717" t="s">
        <v>479</v>
      </c>
      <c r="R5" s="716" t="s">
        <v>472</v>
      </c>
      <c r="S5" s="569"/>
      <c r="T5" s="569"/>
      <c r="U5" s="569"/>
      <c r="V5" s="569"/>
      <c r="W5" s="569"/>
      <c r="X5" s="569"/>
      <c r="Y5" s="718">
        <v>9</v>
      </c>
      <c r="Z5" s="719">
        <v>15</v>
      </c>
      <c r="AA5" s="720">
        <v>6</v>
      </c>
      <c r="AB5" s="1314"/>
      <c r="AC5" s="721"/>
      <c r="AD5" s="720"/>
    </row>
    <row r="6" spans="1:30" ht="13.8" x14ac:dyDescent="0.3">
      <c r="A6" s="722">
        <v>1</v>
      </c>
      <c r="B6" s="722">
        <v>2</v>
      </c>
      <c r="C6" s="722">
        <v>3</v>
      </c>
      <c r="D6" s="722">
        <v>4</v>
      </c>
      <c r="E6" s="722">
        <v>5</v>
      </c>
      <c r="F6" s="722">
        <v>6</v>
      </c>
      <c r="G6" s="722">
        <v>7</v>
      </c>
      <c r="H6" s="1317">
        <v>8</v>
      </c>
      <c r="I6" s="1318"/>
      <c r="J6" s="1317">
        <v>9</v>
      </c>
      <c r="K6" s="1318"/>
      <c r="L6" s="722">
        <v>10</v>
      </c>
      <c r="M6" s="722">
        <v>11</v>
      </c>
      <c r="N6" s="722">
        <v>12</v>
      </c>
      <c r="O6" s="569"/>
      <c r="P6" s="723"/>
      <c r="Q6" s="723"/>
      <c r="R6" s="569"/>
      <c r="S6" s="569"/>
      <c r="T6" s="569"/>
      <c r="U6" s="569"/>
      <c r="V6" s="569"/>
      <c r="W6" s="569"/>
      <c r="X6" s="569"/>
      <c r="Y6" s="724" t="s">
        <v>480</v>
      </c>
      <c r="Z6" s="725">
        <v>15</v>
      </c>
      <c r="AA6" s="725">
        <v>0.15</v>
      </c>
      <c r="AB6" s="1314"/>
      <c r="AC6" s="721"/>
      <c r="AD6" s="719"/>
    </row>
    <row r="7" spans="1:30" s="615" customFormat="1" ht="15.6" x14ac:dyDescent="0.3">
      <c r="A7" s="726">
        <f>'e-w'!B31</f>
        <v>0</v>
      </c>
      <c r="B7" s="727">
        <v>0</v>
      </c>
      <c r="C7" s="728">
        <f>'e-w'!C31</f>
        <v>477.834</v>
      </c>
      <c r="D7" s="729">
        <f>IF(C7&gt;0,$C$4,0)</f>
        <v>595</v>
      </c>
      <c r="E7" s="728">
        <f t="shared" ref="E7:E8" si="0">IF(C7&gt;D7,0,D7-C7)</f>
        <v>117.166</v>
      </c>
      <c r="F7" s="728">
        <f t="shared" ref="F7:F8" si="1">IF(C7&lt;D7,ROUND((((D7-C7)*$AA$6)+C7),3),0)</f>
        <v>495.40899999999999</v>
      </c>
      <c r="G7" s="728">
        <f t="shared" ref="G7:G8" si="2">(R7)</f>
        <v>4</v>
      </c>
      <c r="H7" s="730">
        <f t="shared" ref="H7:H8" si="3">IF(G7&gt;0,1,0)</f>
        <v>1</v>
      </c>
      <c r="I7" s="731" t="str">
        <f t="shared" ref="I7:I8" si="4">IF(H7&gt;0,":1"," ")</f>
        <v>:1</v>
      </c>
      <c r="J7" s="732">
        <f>'Toe Drain Quantity'!C9</f>
        <v>2.5</v>
      </c>
      <c r="K7" s="733" t="str">
        <f t="shared" ref="K7:K8" si="5">IF(J7&gt;0,":1"," ")</f>
        <v>:1</v>
      </c>
      <c r="L7" s="728">
        <f t="shared" ref="L7:L8" si="6">(H7+J7)*G7*G7/2</f>
        <v>28</v>
      </c>
      <c r="M7" s="728"/>
      <c r="N7" s="728"/>
      <c r="O7" s="569"/>
      <c r="P7" s="734">
        <f t="shared" ref="P7:P19" si="7">G7*H7+G7*J7</f>
        <v>14</v>
      </c>
      <c r="Q7" s="734">
        <f t="shared" ref="Q7:Q19" si="8">SQRT(G7^2+(G7*J7)^2)</f>
        <v>10.770329614269007</v>
      </c>
      <c r="R7" s="569">
        <f t="shared" ref="R7:R19" si="9">IF(C7&lt;=0,0,IF(C7&gt;F7,0,(MAX(MIN((F7-C7),4),1))))</f>
        <v>4</v>
      </c>
      <c r="S7" s="659"/>
      <c r="T7" s="659"/>
      <c r="U7" s="659"/>
      <c r="V7" s="660"/>
      <c r="W7" s="660"/>
      <c r="X7" s="660"/>
      <c r="Y7" s="660"/>
      <c r="Z7" s="661"/>
      <c r="AA7" s="661"/>
    </row>
    <row r="8" spans="1:30" s="615" customFormat="1" ht="15.6" x14ac:dyDescent="0.3">
      <c r="A8" s="726">
        <f>'e-w'!B32</f>
        <v>20</v>
      </c>
      <c r="B8" s="727">
        <f t="shared" ref="B8" si="10">IF(A8-A7&gt;0,A8-A7,0)</f>
        <v>20</v>
      </c>
      <c r="C8" s="728">
        <f>'e-w'!C32</f>
        <v>477.37495931758531</v>
      </c>
      <c r="D8" s="729">
        <f t="shared" ref="D8" si="11">IF(C8&gt;0,$C$4,0)</f>
        <v>595</v>
      </c>
      <c r="E8" s="728">
        <f t="shared" si="0"/>
        <v>117.62504068241469</v>
      </c>
      <c r="F8" s="728">
        <f t="shared" si="1"/>
        <v>495.01900000000001</v>
      </c>
      <c r="G8" s="728">
        <f t="shared" si="2"/>
        <v>4</v>
      </c>
      <c r="H8" s="730">
        <f t="shared" si="3"/>
        <v>1</v>
      </c>
      <c r="I8" s="731" t="str">
        <f t="shared" si="4"/>
        <v>:1</v>
      </c>
      <c r="J8" s="732">
        <f>'Toe Drain Quantity'!C10</f>
        <v>2.5</v>
      </c>
      <c r="K8" s="733" t="str">
        <f t="shared" si="5"/>
        <v>:1</v>
      </c>
      <c r="L8" s="728">
        <f t="shared" si="6"/>
        <v>28</v>
      </c>
      <c r="M8" s="728">
        <f t="shared" ref="M8" si="12">ROUND((L7+L8)/2,3)</f>
        <v>28</v>
      </c>
      <c r="N8" s="728">
        <f t="shared" ref="N8" si="13">ROUND(M8*B8,3)</f>
        <v>560</v>
      </c>
      <c r="O8" s="569"/>
      <c r="P8" s="734">
        <f t="shared" si="7"/>
        <v>14</v>
      </c>
      <c r="Q8" s="734">
        <f t="shared" si="8"/>
        <v>10.770329614269007</v>
      </c>
      <c r="R8" s="569">
        <f t="shared" si="9"/>
        <v>4</v>
      </c>
      <c r="S8" s="659"/>
      <c r="T8" s="659"/>
      <c r="U8" s="659"/>
      <c r="V8" s="660"/>
      <c r="W8" s="660"/>
      <c r="X8" s="660"/>
      <c r="Y8" s="660"/>
      <c r="Z8" s="661"/>
      <c r="AA8" s="661"/>
    </row>
    <row r="9" spans="1:30" s="615" customFormat="1" ht="15.6" x14ac:dyDescent="0.3">
      <c r="A9" s="726">
        <f>'e-w'!B33</f>
        <v>40</v>
      </c>
      <c r="B9" s="727">
        <f t="shared" ref="B9:B44" si="14">IF(A9-A8&gt;0,A9-A8,0)</f>
        <v>20</v>
      </c>
      <c r="C9" s="728">
        <f>'e-w'!C33</f>
        <v>476.60178899082564</v>
      </c>
      <c r="D9" s="729">
        <f t="shared" ref="D9:D44" si="15">IF(C9&gt;0,$C$4,0)</f>
        <v>595</v>
      </c>
      <c r="E9" s="728">
        <f t="shared" ref="E9:E44" si="16">IF(C9&gt;D9,0,D9-C9)</f>
        <v>118.39821100917436</v>
      </c>
      <c r="F9" s="728">
        <f t="shared" ref="F9:F44" si="17">IF(C9&lt;D9,ROUND((((D9-C9)*$AA$6)+C9),3),0)</f>
        <v>494.36200000000002</v>
      </c>
      <c r="G9" s="728">
        <f t="shared" ref="G9:G44" si="18">(R9)</f>
        <v>4</v>
      </c>
      <c r="H9" s="730">
        <f t="shared" ref="H9:H44" si="19">IF(G9&gt;0,1,0)</f>
        <v>1</v>
      </c>
      <c r="I9" s="731" t="str">
        <f t="shared" ref="I9:I44" si="20">IF(H9&gt;0,":1"," ")</f>
        <v>:1</v>
      </c>
      <c r="J9" s="732">
        <f>'Toe Drain Quantity'!C11</f>
        <v>2.5</v>
      </c>
      <c r="K9" s="733" t="str">
        <f t="shared" ref="K9:K44" si="21">IF(J9&gt;0,":1"," ")</f>
        <v>:1</v>
      </c>
      <c r="L9" s="728">
        <f t="shared" ref="L9:L44" si="22">(H9+J9)*G9*G9/2</f>
        <v>28</v>
      </c>
      <c r="M9" s="728">
        <f t="shared" ref="M9:M44" si="23">ROUND((L8+L9)/2,3)</f>
        <v>28</v>
      </c>
      <c r="N9" s="728">
        <f t="shared" ref="N9:N44" si="24">ROUND(M9*B9,3)</f>
        <v>560</v>
      </c>
      <c r="O9" s="569"/>
      <c r="P9" s="734">
        <f t="shared" si="7"/>
        <v>14</v>
      </c>
      <c r="Q9" s="734">
        <f t="shared" si="8"/>
        <v>10.770329614269007</v>
      </c>
      <c r="R9" s="569">
        <f t="shared" si="9"/>
        <v>4</v>
      </c>
      <c r="S9" s="659"/>
      <c r="T9" s="659"/>
      <c r="U9" s="659"/>
      <c r="V9" s="660"/>
      <c r="W9" s="660"/>
      <c r="X9" s="660"/>
      <c r="Y9" s="660"/>
      <c r="Z9" s="661"/>
      <c r="AA9" s="661"/>
    </row>
    <row r="10" spans="1:30" s="615" customFormat="1" ht="15.6" x14ac:dyDescent="0.3">
      <c r="A10" s="726">
        <f>'e-w'!B34</f>
        <v>60</v>
      </c>
      <c r="B10" s="727">
        <f t="shared" si="14"/>
        <v>20</v>
      </c>
      <c r="C10" s="728">
        <f>'e-w'!C34</f>
        <v>476.11086614173229</v>
      </c>
      <c r="D10" s="729">
        <f t="shared" si="15"/>
        <v>595</v>
      </c>
      <c r="E10" s="728">
        <f t="shared" si="16"/>
        <v>118.88913385826771</v>
      </c>
      <c r="F10" s="728">
        <f t="shared" si="17"/>
        <v>493.94400000000002</v>
      </c>
      <c r="G10" s="728">
        <f t="shared" si="18"/>
        <v>4</v>
      </c>
      <c r="H10" s="730">
        <f t="shared" si="19"/>
        <v>1</v>
      </c>
      <c r="I10" s="731" t="str">
        <f t="shared" si="20"/>
        <v>:1</v>
      </c>
      <c r="J10" s="732">
        <f>'Toe Drain Quantity'!C12</f>
        <v>2.5</v>
      </c>
      <c r="K10" s="733" t="str">
        <f t="shared" si="21"/>
        <v>:1</v>
      </c>
      <c r="L10" s="728">
        <f t="shared" si="22"/>
        <v>28</v>
      </c>
      <c r="M10" s="728">
        <f t="shared" si="23"/>
        <v>28</v>
      </c>
      <c r="N10" s="728">
        <f t="shared" si="24"/>
        <v>560</v>
      </c>
      <c r="O10" s="569"/>
      <c r="P10" s="734">
        <f t="shared" si="7"/>
        <v>14</v>
      </c>
      <c r="Q10" s="734">
        <f t="shared" si="8"/>
        <v>10.770329614269007</v>
      </c>
      <c r="R10" s="569">
        <f t="shared" si="9"/>
        <v>4</v>
      </c>
      <c r="S10" s="659"/>
      <c r="T10" s="659"/>
      <c r="U10" s="659"/>
      <c r="V10" s="660"/>
      <c r="W10" s="660"/>
      <c r="X10" s="660"/>
      <c r="Y10" s="660"/>
      <c r="Z10" s="661"/>
      <c r="AA10" s="661"/>
    </row>
    <row r="11" spans="1:30" s="615" customFormat="1" ht="15.6" x14ac:dyDescent="0.3">
      <c r="A11" s="726">
        <f>'e-w'!B35</f>
        <v>80</v>
      </c>
      <c r="B11" s="727">
        <f t="shared" si="14"/>
        <v>20</v>
      </c>
      <c r="C11" s="728">
        <f>'e-w'!C35</f>
        <v>475.51279921259845</v>
      </c>
      <c r="D11" s="729">
        <f t="shared" si="15"/>
        <v>595</v>
      </c>
      <c r="E11" s="728">
        <f t="shared" si="16"/>
        <v>119.48720078740155</v>
      </c>
      <c r="F11" s="728">
        <f t="shared" si="17"/>
        <v>493.43599999999998</v>
      </c>
      <c r="G11" s="728">
        <f t="shared" si="18"/>
        <v>4</v>
      </c>
      <c r="H11" s="730">
        <f t="shared" si="19"/>
        <v>1</v>
      </c>
      <c r="I11" s="731" t="str">
        <f t="shared" si="20"/>
        <v>:1</v>
      </c>
      <c r="J11" s="732">
        <f>'Toe Drain Quantity'!C13</f>
        <v>2.5</v>
      </c>
      <c r="K11" s="733" t="str">
        <f t="shared" si="21"/>
        <v>:1</v>
      </c>
      <c r="L11" s="728">
        <f t="shared" si="22"/>
        <v>28</v>
      </c>
      <c r="M11" s="728">
        <f t="shared" si="23"/>
        <v>28</v>
      </c>
      <c r="N11" s="728">
        <f t="shared" si="24"/>
        <v>560</v>
      </c>
      <c r="O11" s="569"/>
      <c r="P11" s="734">
        <f t="shared" si="7"/>
        <v>14</v>
      </c>
      <c r="Q11" s="734">
        <f t="shared" si="8"/>
        <v>10.770329614269007</v>
      </c>
      <c r="R11" s="569">
        <f t="shared" si="9"/>
        <v>4</v>
      </c>
      <c r="S11" s="659"/>
      <c r="T11" s="659"/>
      <c r="U11" s="659"/>
      <c r="V11" s="660"/>
      <c r="W11" s="660"/>
      <c r="X11" s="660"/>
      <c r="Y11" s="660"/>
      <c r="Z11" s="661"/>
      <c r="AA11" s="661"/>
    </row>
    <row r="12" spans="1:30" s="615" customFormat="1" ht="15.6" x14ac:dyDescent="0.3">
      <c r="A12" s="726">
        <f>'e-w'!B36</f>
        <v>100</v>
      </c>
      <c r="B12" s="727">
        <f t="shared" si="14"/>
        <v>20</v>
      </c>
      <c r="C12" s="728">
        <f>'e-w'!C36</f>
        <v>474.85713612565439</v>
      </c>
      <c r="D12" s="729">
        <f t="shared" si="15"/>
        <v>595</v>
      </c>
      <c r="E12" s="728">
        <f t="shared" si="16"/>
        <v>120.14286387434561</v>
      </c>
      <c r="F12" s="728">
        <f t="shared" si="17"/>
        <v>492.87900000000002</v>
      </c>
      <c r="G12" s="728">
        <f t="shared" si="18"/>
        <v>4</v>
      </c>
      <c r="H12" s="730">
        <f t="shared" si="19"/>
        <v>1</v>
      </c>
      <c r="I12" s="731" t="str">
        <f t="shared" si="20"/>
        <v>:1</v>
      </c>
      <c r="J12" s="732">
        <f>'Toe Drain Quantity'!C14</f>
        <v>2.5</v>
      </c>
      <c r="K12" s="733" t="str">
        <f t="shared" si="21"/>
        <v>:1</v>
      </c>
      <c r="L12" s="728">
        <f t="shared" si="22"/>
        <v>28</v>
      </c>
      <c r="M12" s="728">
        <f t="shared" si="23"/>
        <v>28</v>
      </c>
      <c r="N12" s="728">
        <f t="shared" si="24"/>
        <v>560</v>
      </c>
      <c r="O12" s="569"/>
      <c r="P12" s="734">
        <f t="shared" si="7"/>
        <v>14</v>
      </c>
      <c r="Q12" s="734">
        <f t="shared" si="8"/>
        <v>10.770329614269007</v>
      </c>
      <c r="R12" s="569">
        <f t="shared" si="9"/>
        <v>4</v>
      </c>
      <c r="S12" s="659"/>
      <c r="T12" s="659"/>
      <c r="U12" s="659"/>
      <c r="V12" s="660"/>
      <c r="W12" s="660"/>
      <c r="X12" s="660"/>
      <c r="Y12" s="660"/>
      <c r="Z12" s="661"/>
      <c r="AA12" s="661"/>
    </row>
    <row r="13" spans="1:30" s="615" customFormat="1" ht="15.6" x14ac:dyDescent="0.3">
      <c r="A13" s="726">
        <f>'e-w'!B37</f>
        <v>120</v>
      </c>
      <c r="B13" s="727">
        <f t="shared" si="14"/>
        <v>20</v>
      </c>
      <c r="C13" s="728">
        <f>'e-w'!C37</f>
        <v>474.7220789473684</v>
      </c>
      <c r="D13" s="729">
        <f t="shared" si="15"/>
        <v>595</v>
      </c>
      <c r="E13" s="728">
        <f t="shared" si="16"/>
        <v>120.2779210526316</v>
      </c>
      <c r="F13" s="728">
        <f t="shared" si="17"/>
        <v>492.76400000000001</v>
      </c>
      <c r="G13" s="728">
        <f t="shared" si="18"/>
        <v>4</v>
      </c>
      <c r="H13" s="730">
        <f t="shared" si="19"/>
        <v>1</v>
      </c>
      <c r="I13" s="731" t="str">
        <f t="shared" si="20"/>
        <v>:1</v>
      </c>
      <c r="J13" s="732">
        <f>'Toe Drain Quantity'!C15</f>
        <v>2.5</v>
      </c>
      <c r="K13" s="733" t="str">
        <f t="shared" si="21"/>
        <v>:1</v>
      </c>
      <c r="L13" s="728">
        <f t="shared" si="22"/>
        <v>28</v>
      </c>
      <c r="M13" s="728">
        <f t="shared" si="23"/>
        <v>28</v>
      </c>
      <c r="N13" s="728">
        <f t="shared" si="24"/>
        <v>560</v>
      </c>
      <c r="O13" s="569"/>
      <c r="P13" s="734">
        <f t="shared" si="7"/>
        <v>14</v>
      </c>
      <c r="Q13" s="734">
        <f t="shared" si="8"/>
        <v>10.770329614269007</v>
      </c>
      <c r="R13" s="569">
        <f t="shared" si="9"/>
        <v>4</v>
      </c>
      <c r="S13" s="659"/>
      <c r="T13" s="659"/>
      <c r="U13" s="659"/>
      <c r="V13" s="660"/>
      <c r="W13" s="660"/>
      <c r="X13" s="660"/>
      <c r="Y13" s="660"/>
      <c r="Z13" s="661"/>
      <c r="AA13" s="661"/>
    </row>
    <row r="14" spans="1:30" s="615" customFormat="1" ht="15.6" x14ac:dyDescent="0.3">
      <c r="A14" s="726">
        <f>'e-w'!B38</f>
        <v>140</v>
      </c>
      <c r="B14" s="727">
        <f t="shared" si="14"/>
        <v>20</v>
      </c>
      <c r="C14" s="728">
        <f>'e-w'!C38</f>
        <v>474.76499999999999</v>
      </c>
      <c r="D14" s="729">
        <f t="shared" si="15"/>
        <v>595</v>
      </c>
      <c r="E14" s="728">
        <f t="shared" si="16"/>
        <v>120.23500000000001</v>
      </c>
      <c r="F14" s="728">
        <f t="shared" si="17"/>
        <v>492.8</v>
      </c>
      <c r="G14" s="728">
        <f t="shared" si="18"/>
        <v>4</v>
      </c>
      <c r="H14" s="730">
        <f t="shared" si="19"/>
        <v>1</v>
      </c>
      <c r="I14" s="731" t="str">
        <f t="shared" si="20"/>
        <v>:1</v>
      </c>
      <c r="J14" s="732">
        <f>'Toe Drain Quantity'!C16</f>
        <v>2.5</v>
      </c>
      <c r="K14" s="733" t="str">
        <f t="shared" si="21"/>
        <v>:1</v>
      </c>
      <c r="L14" s="728">
        <f t="shared" si="22"/>
        <v>28</v>
      </c>
      <c r="M14" s="728">
        <f t="shared" si="23"/>
        <v>28</v>
      </c>
      <c r="N14" s="728">
        <f t="shared" si="24"/>
        <v>560</v>
      </c>
      <c r="O14" s="569"/>
      <c r="P14" s="734">
        <f t="shared" si="7"/>
        <v>14</v>
      </c>
      <c r="Q14" s="734">
        <f t="shared" si="8"/>
        <v>10.770329614269007</v>
      </c>
      <c r="R14" s="569">
        <f t="shared" si="9"/>
        <v>4</v>
      </c>
      <c r="S14" s="659"/>
      <c r="T14" s="659"/>
      <c r="U14" s="659"/>
      <c r="V14" s="660"/>
      <c r="W14" s="660"/>
      <c r="X14" s="660"/>
      <c r="Y14" s="660"/>
      <c r="Z14" s="661"/>
      <c r="AA14" s="661"/>
    </row>
    <row r="15" spans="1:30" s="615" customFormat="1" ht="15.6" x14ac:dyDescent="0.3">
      <c r="A15" s="726">
        <f>'e-w'!B39</f>
        <v>160</v>
      </c>
      <c r="B15" s="727">
        <f t="shared" si="14"/>
        <v>20</v>
      </c>
      <c r="C15" s="728">
        <f>'e-w'!C39</f>
        <v>474.62121052631579</v>
      </c>
      <c r="D15" s="729">
        <f t="shared" si="15"/>
        <v>595</v>
      </c>
      <c r="E15" s="728">
        <f t="shared" si="16"/>
        <v>120.37878947368421</v>
      </c>
      <c r="F15" s="728">
        <f t="shared" si="17"/>
        <v>492.678</v>
      </c>
      <c r="G15" s="728">
        <f t="shared" si="18"/>
        <v>4</v>
      </c>
      <c r="H15" s="730">
        <f t="shared" si="19"/>
        <v>1</v>
      </c>
      <c r="I15" s="731" t="str">
        <f t="shared" si="20"/>
        <v>:1</v>
      </c>
      <c r="J15" s="732">
        <f>'Toe Drain Quantity'!C17</f>
        <v>2.5</v>
      </c>
      <c r="K15" s="733" t="str">
        <f t="shared" si="21"/>
        <v>:1</v>
      </c>
      <c r="L15" s="728">
        <f t="shared" si="22"/>
        <v>28</v>
      </c>
      <c r="M15" s="728">
        <f t="shared" si="23"/>
        <v>28</v>
      </c>
      <c r="N15" s="728">
        <f t="shared" si="24"/>
        <v>560</v>
      </c>
      <c r="O15" s="569"/>
      <c r="P15" s="734">
        <f t="shared" si="7"/>
        <v>14</v>
      </c>
      <c r="Q15" s="734">
        <f t="shared" si="8"/>
        <v>10.770329614269007</v>
      </c>
      <c r="R15" s="569">
        <f t="shared" si="9"/>
        <v>4</v>
      </c>
      <c r="S15" s="659"/>
      <c r="T15" s="659"/>
      <c r="U15" s="659"/>
      <c r="V15" s="660"/>
      <c r="W15" s="660"/>
      <c r="X15" s="660"/>
      <c r="Y15" s="660"/>
      <c r="Z15" s="661"/>
      <c r="AA15" s="661"/>
    </row>
    <row r="16" spans="1:30" s="615" customFormat="1" ht="15.6" x14ac:dyDescent="0.3">
      <c r="A16" s="726">
        <f>'e-w'!B40</f>
        <v>180</v>
      </c>
      <c r="B16" s="727">
        <f t="shared" si="14"/>
        <v>20</v>
      </c>
      <c r="C16" s="728">
        <f>'e-w'!C40</f>
        <v>474.47307894736844</v>
      </c>
      <c r="D16" s="729">
        <f t="shared" si="15"/>
        <v>595</v>
      </c>
      <c r="E16" s="728">
        <f t="shared" si="16"/>
        <v>120.52692105263156</v>
      </c>
      <c r="F16" s="728">
        <f t="shared" si="17"/>
        <v>492.55200000000002</v>
      </c>
      <c r="G16" s="728">
        <f t="shared" si="18"/>
        <v>4</v>
      </c>
      <c r="H16" s="730">
        <f t="shared" si="19"/>
        <v>1</v>
      </c>
      <c r="I16" s="731" t="str">
        <f t="shared" si="20"/>
        <v>:1</v>
      </c>
      <c r="J16" s="732">
        <f>'Toe Drain Quantity'!C18</f>
        <v>2.5</v>
      </c>
      <c r="K16" s="733" t="str">
        <f t="shared" si="21"/>
        <v>:1</v>
      </c>
      <c r="L16" s="728">
        <f t="shared" si="22"/>
        <v>28</v>
      </c>
      <c r="M16" s="728">
        <f t="shared" si="23"/>
        <v>28</v>
      </c>
      <c r="N16" s="728">
        <f t="shared" si="24"/>
        <v>560</v>
      </c>
      <c r="O16" s="569"/>
      <c r="P16" s="734">
        <f t="shared" si="7"/>
        <v>14</v>
      </c>
      <c r="Q16" s="734">
        <f t="shared" si="8"/>
        <v>10.770329614269007</v>
      </c>
      <c r="R16" s="569">
        <f t="shared" si="9"/>
        <v>4</v>
      </c>
      <c r="S16" s="659"/>
      <c r="T16" s="659"/>
      <c r="U16" s="659"/>
      <c r="V16" s="660"/>
      <c r="W16" s="660"/>
      <c r="X16" s="660"/>
      <c r="Y16" s="660"/>
      <c r="Z16" s="661"/>
      <c r="AA16" s="661"/>
    </row>
    <row r="17" spans="1:27" s="615" customFormat="1" ht="15.6" x14ac:dyDescent="0.3">
      <c r="A17" s="726">
        <f>'e-w'!B41</f>
        <v>200</v>
      </c>
      <c r="B17" s="727">
        <f t="shared" si="14"/>
        <v>20</v>
      </c>
      <c r="C17" s="728">
        <f>'e-w'!C41</f>
        <v>474.26559210526312</v>
      </c>
      <c r="D17" s="729">
        <f t="shared" si="15"/>
        <v>595</v>
      </c>
      <c r="E17" s="728">
        <f t="shared" si="16"/>
        <v>120.73440789473688</v>
      </c>
      <c r="F17" s="728">
        <f t="shared" si="17"/>
        <v>492.37599999999998</v>
      </c>
      <c r="G17" s="728">
        <f t="shared" si="18"/>
        <v>4</v>
      </c>
      <c r="H17" s="730">
        <f t="shared" si="19"/>
        <v>1</v>
      </c>
      <c r="I17" s="731" t="str">
        <f t="shared" si="20"/>
        <v>:1</v>
      </c>
      <c r="J17" s="732">
        <f>'Toe Drain Quantity'!C19</f>
        <v>2.5</v>
      </c>
      <c r="K17" s="733" t="str">
        <f t="shared" si="21"/>
        <v>:1</v>
      </c>
      <c r="L17" s="728">
        <f t="shared" si="22"/>
        <v>28</v>
      </c>
      <c r="M17" s="728">
        <f t="shared" si="23"/>
        <v>28</v>
      </c>
      <c r="N17" s="728">
        <f t="shared" si="24"/>
        <v>560</v>
      </c>
      <c r="O17" s="569"/>
      <c r="P17" s="734">
        <f t="shared" si="7"/>
        <v>14</v>
      </c>
      <c r="Q17" s="734">
        <f t="shared" si="8"/>
        <v>10.770329614269007</v>
      </c>
      <c r="R17" s="569">
        <f t="shared" si="9"/>
        <v>4</v>
      </c>
      <c r="S17" s="659"/>
      <c r="T17" s="659"/>
      <c r="U17" s="659"/>
      <c r="V17" s="660"/>
      <c r="W17" s="660"/>
      <c r="X17" s="660"/>
      <c r="Y17" s="660"/>
      <c r="Z17" s="661"/>
      <c r="AA17" s="661"/>
    </row>
    <row r="18" spans="1:27" s="615" customFormat="1" ht="15.6" x14ac:dyDescent="0.3">
      <c r="A18" s="726">
        <f>'e-w'!B42</f>
        <v>220</v>
      </c>
      <c r="B18" s="727">
        <f t="shared" si="14"/>
        <v>20</v>
      </c>
      <c r="C18" s="728">
        <f>'e-w'!C42</f>
        <v>470.31336842105264</v>
      </c>
      <c r="D18" s="729">
        <f t="shared" si="15"/>
        <v>595</v>
      </c>
      <c r="E18" s="728">
        <f t="shared" si="16"/>
        <v>124.68663157894736</v>
      </c>
      <c r="F18" s="728">
        <f t="shared" si="17"/>
        <v>489.01600000000002</v>
      </c>
      <c r="G18" s="728">
        <f t="shared" si="18"/>
        <v>4</v>
      </c>
      <c r="H18" s="730">
        <f t="shared" si="19"/>
        <v>1</v>
      </c>
      <c r="I18" s="731" t="str">
        <f t="shared" si="20"/>
        <v>:1</v>
      </c>
      <c r="J18" s="732">
        <f>'Toe Drain Quantity'!C20</f>
        <v>2.5</v>
      </c>
      <c r="K18" s="733" t="str">
        <f t="shared" si="21"/>
        <v>:1</v>
      </c>
      <c r="L18" s="728">
        <f t="shared" si="22"/>
        <v>28</v>
      </c>
      <c r="M18" s="728">
        <f t="shared" si="23"/>
        <v>28</v>
      </c>
      <c r="N18" s="728">
        <f t="shared" si="24"/>
        <v>560</v>
      </c>
      <c r="O18" s="569"/>
      <c r="P18" s="734">
        <f t="shared" si="7"/>
        <v>14</v>
      </c>
      <c r="Q18" s="734">
        <f t="shared" si="8"/>
        <v>10.770329614269007</v>
      </c>
      <c r="R18" s="569">
        <f t="shared" si="9"/>
        <v>4</v>
      </c>
      <c r="S18" s="659"/>
      <c r="T18" s="659"/>
      <c r="U18" s="659"/>
      <c r="V18" s="660"/>
      <c r="W18" s="660"/>
      <c r="X18" s="660"/>
      <c r="Y18" s="660"/>
      <c r="Z18" s="661"/>
      <c r="AA18" s="661"/>
    </row>
    <row r="19" spans="1:27" s="615" customFormat="1" ht="15.6" x14ac:dyDescent="0.3">
      <c r="A19" s="726">
        <f>'e-w'!B43</f>
        <v>240</v>
      </c>
      <c r="B19" s="727">
        <f t="shared" si="14"/>
        <v>20</v>
      </c>
      <c r="C19" s="728">
        <f>'e-w'!C43</f>
        <v>469.86581578947369</v>
      </c>
      <c r="D19" s="729">
        <f t="shared" si="15"/>
        <v>595</v>
      </c>
      <c r="E19" s="728">
        <f t="shared" si="16"/>
        <v>125.13418421052631</v>
      </c>
      <c r="F19" s="728">
        <f t="shared" si="17"/>
        <v>488.63600000000002</v>
      </c>
      <c r="G19" s="728">
        <f t="shared" si="18"/>
        <v>4</v>
      </c>
      <c r="H19" s="730">
        <f t="shared" si="19"/>
        <v>1</v>
      </c>
      <c r="I19" s="731" t="str">
        <f t="shared" si="20"/>
        <v>:1</v>
      </c>
      <c r="J19" s="732">
        <f>'Toe Drain Quantity'!C21</f>
        <v>2.5</v>
      </c>
      <c r="K19" s="733" t="str">
        <f t="shared" si="21"/>
        <v>:1</v>
      </c>
      <c r="L19" s="728">
        <f t="shared" si="22"/>
        <v>28</v>
      </c>
      <c r="M19" s="728">
        <f t="shared" si="23"/>
        <v>28</v>
      </c>
      <c r="N19" s="728">
        <f t="shared" si="24"/>
        <v>560</v>
      </c>
      <c r="O19" s="569"/>
      <c r="P19" s="734">
        <f t="shared" si="7"/>
        <v>14</v>
      </c>
      <c r="Q19" s="734">
        <f t="shared" si="8"/>
        <v>10.770329614269007</v>
      </c>
      <c r="R19" s="569">
        <f t="shared" si="9"/>
        <v>4</v>
      </c>
      <c r="S19" s="659"/>
      <c r="T19" s="659"/>
      <c r="U19" s="659"/>
      <c r="V19" s="660"/>
      <c r="W19" s="660"/>
      <c r="X19" s="660"/>
      <c r="Y19" s="660"/>
      <c r="Z19" s="661"/>
      <c r="AA19" s="661"/>
    </row>
    <row r="20" spans="1:27" s="615" customFormat="1" ht="15.6" x14ac:dyDescent="0.3">
      <c r="A20" s="726">
        <f>'e-w'!B44</f>
        <v>260</v>
      </c>
      <c r="B20" s="727">
        <f t="shared" si="14"/>
        <v>20</v>
      </c>
      <c r="C20" s="728">
        <f>'e-w'!C44</f>
        <v>469.42184210526324</v>
      </c>
      <c r="D20" s="729">
        <f t="shared" si="15"/>
        <v>595</v>
      </c>
      <c r="E20" s="728">
        <f t="shared" si="16"/>
        <v>125.57815789473676</v>
      </c>
      <c r="F20" s="728">
        <f t="shared" si="17"/>
        <v>488.25900000000001</v>
      </c>
      <c r="G20" s="728">
        <f t="shared" si="18"/>
        <v>4</v>
      </c>
      <c r="H20" s="730">
        <f t="shared" si="19"/>
        <v>1</v>
      </c>
      <c r="I20" s="731" t="str">
        <f t="shared" si="20"/>
        <v>:1</v>
      </c>
      <c r="J20" s="732">
        <f>'Toe Drain Quantity'!C22</f>
        <v>2.5</v>
      </c>
      <c r="K20" s="733" t="str">
        <f t="shared" si="21"/>
        <v>:1</v>
      </c>
      <c r="L20" s="728">
        <f t="shared" si="22"/>
        <v>28</v>
      </c>
      <c r="M20" s="728">
        <f t="shared" si="23"/>
        <v>28</v>
      </c>
      <c r="N20" s="728">
        <f t="shared" si="24"/>
        <v>560</v>
      </c>
      <c r="O20" s="569"/>
      <c r="P20" s="734">
        <f t="shared" ref="P20:P30" si="25">G20*H20+G20*J20</f>
        <v>14</v>
      </c>
      <c r="Q20" s="734">
        <f t="shared" ref="Q20:Q30" si="26">SQRT(G20^2+(G20*J20)^2)</f>
        <v>10.770329614269007</v>
      </c>
      <c r="R20" s="569">
        <f t="shared" ref="R20:R30" si="27">IF(C20&lt;=0,0,IF(C20&gt;F20,0,(MAX(MIN((F20-C20),4),1))))</f>
        <v>4</v>
      </c>
      <c r="S20" s="659"/>
      <c r="T20" s="659"/>
      <c r="U20" s="659"/>
      <c r="V20" s="660"/>
      <c r="W20" s="660"/>
      <c r="X20" s="660"/>
      <c r="Y20" s="660"/>
      <c r="Z20" s="661"/>
      <c r="AA20" s="661"/>
    </row>
    <row r="21" spans="1:27" s="615" customFormat="1" ht="15.6" x14ac:dyDescent="0.3">
      <c r="A21" s="726">
        <f>'e-w'!B45</f>
        <v>280</v>
      </c>
      <c r="B21" s="727">
        <f t="shared" si="14"/>
        <v>20</v>
      </c>
      <c r="C21" s="728">
        <f>'e-w'!C45</f>
        <v>469.52473684210526</v>
      </c>
      <c r="D21" s="729">
        <f t="shared" si="15"/>
        <v>595</v>
      </c>
      <c r="E21" s="728">
        <f t="shared" si="16"/>
        <v>125.47526315789474</v>
      </c>
      <c r="F21" s="728">
        <f t="shared" si="17"/>
        <v>488.346</v>
      </c>
      <c r="G21" s="728">
        <f t="shared" si="18"/>
        <v>4</v>
      </c>
      <c r="H21" s="730">
        <f t="shared" si="19"/>
        <v>1</v>
      </c>
      <c r="I21" s="731" t="str">
        <f t="shared" si="20"/>
        <v>:1</v>
      </c>
      <c r="J21" s="732">
        <f>'Toe Drain Quantity'!C23</f>
        <v>2.5</v>
      </c>
      <c r="K21" s="733" t="str">
        <f t="shared" si="21"/>
        <v>:1</v>
      </c>
      <c r="L21" s="728">
        <f t="shared" si="22"/>
        <v>28</v>
      </c>
      <c r="M21" s="728">
        <f t="shared" si="23"/>
        <v>28</v>
      </c>
      <c r="N21" s="728">
        <f t="shared" si="24"/>
        <v>560</v>
      </c>
      <c r="O21" s="569"/>
      <c r="P21" s="734">
        <f t="shared" si="25"/>
        <v>14</v>
      </c>
      <c r="Q21" s="734">
        <f t="shared" si="26"/>
        <v>10.770329614269007</v>
      </c>
      <c r="R21" s="569">
        <f t="shared" si="27"/>
        <v>4</v>
      </c>
      <c r="S21" s="659"/>
      <c r="T21" s="659"/>
      <c r="U21" s="659"/>
      <c r="V21" s="660"/>
      <c r="W21" s="660"/>
      <c r="X21" s="660"/>
      <c r="Y21" s="660"/>
      <c r="Z21" s="661"/>
      <c r="AA21" s="661"/>
    </row>
    <row r="22" spans="1:27" s="615" customFormat="1" ht="15.6" x14ac:dyDescent="0.3">
      <c r="A22" s="726">
        <f>'e-w'!B46</f>
        <v>300</v>
      </c>
      <c r="B22" s="727">
        <f t="shared" si="14"/>
        <v>20</v>
      </c>
      <c r="C22" s="728">
        <f>'e-w'!C46</f>
        <v>468.85885526315792</v>
      </c>
      <c r="D22" s="729">
        <f t="shared" si="15"/>
        <v>595</v>
      </c>
      <c r="E22" s="728">
        <f t="shared" si="16"/>
        <v>126.14114473684208</v>
      </c>
      <c r="F22" s="728">
        <f t="shared" si="17"/>
        <v>487.78</v>
      </c>
      <c r="G22" s="728">
        <f t="shared" si="18"/>
        <v>4</v>
      </c>
      <c r="H22" s="730">
        <f t="shared" si="19"/>
        <v>1</v>
      </c>
      <c r="I22" s="731" t="str">
        <f t="shared" si="20"/>
        <v>:1</v>
      </c>
      <c r="J22" s="732">
        <f>'Toe Drain Quantity'!C24</f>
        <v>2.5</v>
      </c>
      <c r="K22" s="733" t="str">
        <f t="shared" si="21"/>
        <v>:1</v>
      </c>
      <c r="L22" s="728">
        <f t="shared" si="22"/>
        <v>28</v>
      </c>
      <c r="M22" s="728">
        <f t="shared" si="23"/>
        <v>28</v>
      </c>
      <c r="N22" s="728">
        <f t="shared" si="24"/>
        <v>560</v>
      </c>
      <c r="O22" s="569"/>
      <c r="P22" s="734">
        <f t="shared" si="25"/>
        <v>14</v>
      </c>
      <c r="Q22" s="734">
        <f t="shared" si="26"/>
        <v>10.770329614269007</v>
      </c>
      <c r="R22" s="569">
        <f t="shared" si="27"/>
        <v>4</v>
      </c>
      <c r="S22" s="659"/>
      <c r="T22" s="659"/>
      <c r="U22" s="659"/>
      <c r="V22" s="660"/>
      <c r="W22" s="660"/>
      <c r="X22" s="660"/>
      <c r="Y22" s="660"/>
      <c r="Z22" s="661"/>
      <c r="AA22" s="661"/>
    </row>
    <row r="23" spans="1:27" s="615" customFormat="1" ht="15.6" x14ac:dyDescent="0.3">
      <c r="A23" s="726">
        <f>'e-w'!B47</f>
        <v>320</v>
      </c>
      <c r="B23" s="727">
        <f t="shared" si="14"/>
        <v>20</v>
      </c>
      <c r="C23" s="728">
        <f>'e-w'!C47</f>
        <v>468.42110526315793</v>
      </c>
      <c r="D23" s="729">
        <f t="shared" si="15"/>
        <v>595</v>
      </c>
      <c r="E23" s="728">
        <f t="shared" si="16"/>
        <v>126.57889473684207</v>
      </c>
      <c r="F23" s="728">
        <f t="shared" si="17"/>
        <v>487.40800000000002</v>
      </c>
      <c r="G23" s="728">
        <f t="shared" si="18"/>
        <v>4</v>
      </c>
      <c r="H23" s="730">
        <f t="shared" si="19"/>
        <v>1</v>
      </c>
      <c r="I23" s="731" t="str">
        <f t="shared" si="20"/>
        <v>:1</v>
      </c>
      <c r="J23" s="732">
        <f>'Toe Drain Quantity'!C25</f>
        <v>2.5</v>
      </c>
      <c r="K23" s="733" t="str">
        <f t="shared" si="21"/>
        <v>:1</v>
      </c>
      <c r="L23" s="728">
        <f t="shared" si="22"/>
        <v>28</v>
      </c>
      <c r="M23" s="728">
        <f t="shared" si="23"/>
        <v>28</v>
      </c>
      <c r="N23" s="728">
        <f t="shared" si="24"/>
        <v>560</v>
      </c>
      <c r="O23" s="569"/>
      <c r="P23" s="734">
        <f t="shared" si="25"/>
        <v>14</v>
      </c>
      <c r="Q23" s="734">
        <f t="shared" si="26"/>
        <v>10.770329614269007</v>
      </c>
      <c r="R23" s="569">
        <f t="shared" si="27"/>
        <v>4</v>
      </c>
      <c r="S23" s="659"/>
      <c r="T23" s="659"/>
      <c r="U23" s="659"/>
      <c r="V23" s="660"/>
      <c r="W23" s="660"/>
      <c r="X23" s="660"/>
      <c r="Y23" s="660"/>
      <c r="Z23" s="661"/>
      <c r="AA23" s="661"/>
    </row>
    <row r="24" spans="1:27" s="615" customFormat="1" ht="15.6" x14ac:dyDescent="0.3">
      <c r="A24" s="726">
        <f>'e-w'!B48</f>
        <v>340</v>
      </c>
      <c r="B24" s="727">
        <f t="shared" si="14"/>
        <v>20</v>
      </c>
      <c r="C24" s="728">
        <f>'e-w'!C48</f>
        <v>468.19992105263151</v>
      </c>
      <c r="D24" s="729">
        <f t="shared" si="15"/>
        <v>595</v>
      </c>
      <c r="E24" s="728">
        <f t="shared" si="16"/>
        <v>126.80007894736849</v>
      </c>
      <c r="F24" s="728">
        <f t="shared" si="17"/>
        <v>487.22</v>
      </c>
      <c r="G24" s="728">
        <f t="shared" si="18"/>
        <v>4</v>
      </c>
      <c r="H24" s="730">
        <f t="shared" si="19"/>
        <v>1</v>
      </c>
      <c r="I24" s="731" t="str">
        <f t="shared" si="20"/>
        <v>:1</v>
      </c>
      <c r="J24" s="732">
        <f>'Toe Drain Quantity'!C26</f>
        <v>2.5</v>
      </c>
      <c r="K24" s="733" t="str">
        <f t="shared" si="21"/>
        <v>:1</v>
      </c>
      <c r="L24" s="728">
        <f t="shared" si="22"/>
        <v>28</v>
      </c>
      <c r="M24" s="728">
        <f t="shared" si="23"/>
        <v>28</v>
      </c>
      <c r="N24" s="728">
        <f t="shared" si="24"/>
        <v>560</v>
      </c>
      <c r="O24" s="569"/>
      <c r="P24" s="734">
        <f t="shared" si="25"/>
        <v>14</v>
      </c>
      <c r="Q24" s="734">
        <f t="shared" si="26"/>
        <v>10.770329614269007</v>
      </c>
      <c r="R24" s="569">
        <f t="shared" si="27"/>
        <v>4</v>
      </c>
      <c r="S24" s="659"/>
      <c r="T24" s="659"/>
      <c r="U24" s="659"/>
      <c r="V24" s="660"/>
      <c r="W24" s="660"/>
      <c r="X24" s="660"/>
      <c r="Y24" s="660"/>
      <c r="Z24" s="661"/>
      <c r="AA24" s="661"/>
    </row>
    <row r="25" spans="1:27" s="615" customFormat="1" ht="15.6" x14ac:dyDescent="0.3">
      <c r="A25" s="726">
        <f>'e-w'!B49</f>
        <v>360</v>
      </c>
      <c r="B25" s="727">
        <f t="shared" si="14"/>
        <v>20</v>
      </c>
      <c r="C25" s="728">
        <f>'e-w'!C49</f>
        <v>462.14211688311696</v>
      </c>
      <c r="D25" s="729">
        <f t="shared" si="15"/>
        <v>595</v>
      </c>
      <c r="E25" s="728">
        <f t="shared" si="16"/>
        <v>132.85788311688304</v>
      </c>
      <c r="F25" s="728">
        <f t="shared" si="17"/>
        <v>482.07100000000003</v>
      </c>
      <c r="G25" s="728">
        <f t="shared" si="18"/>
        <v>4</v>
      </c>
      <c r="H25" s="730">
        <f t="shared" si="19"/>
        <v>1</v>
      </c>
      <c r="I25" s="731" t="str">
        <f t="shared" si="20"/>
        <v>:1</v>
      </c>
      <c r="J25" s="732">
        <f>'Toe Drain Quantity'!C27</f>
        <v>2.5</v>
      </c>
      <c r="K25" s="733" t="str">
        <f t="shared" si="21"/>
        <v>:1</v>
      </c>
      <c r="L25" s="728">
        <f t="shared" si="22"/>
        <v>28</v>
      </c>
      <c r="M25" s="728">
        <f t="shared" si="23"/>
        <v>28</v>
      </c>
      <c r="N25" s="728">
        <f t="shared" si="24"/>
        <v>560</v>
      </c>
      <c r="O25" s="569"/>
      <c r="P25" s="734">
        <f t="shared" si="25"/>
        <v>14</v>
      </c>
      <c r="Q25" s="734">
        <f t="shared" si="26"/>
        <v>10.770329614269007</v>
      </c>
      <c r="R25" s="569">
        <f t="shared" si="27"/>
        <v>4</v>
      </c>
      <c r="S25" s="659"/>
      <c r="T25" s="659"/>
      <c r="U25" s="659"/>
      <c r="V25" s="660"/>
      <c r="W25" s="660"/>
      <c r="X25" s="660"/>
      <c r="Y25" s="660"/>
      <c r="Z25" s="661"/>
      <c r="AA25" s="661"/>
    </row>
    <row r="26" spans="1:27" s="615" customFormat="1" ht="15.6" x14ac:dyDescent="0.3">
      <c r="A26" s="726">
        <f>'e-w'!B50</f>
        <v>380</v>
      </c>
      <c r="B26" s="727">
        <f t="shared" si="14"/>
        <v>20</v>
      </c>
      <c r="C26" s="728">
        <f>'e-w'!C50</f>
        <v>460.22500000000002</v>
      </c>
      <c r="D26" s="729">
        <f t="shared" si="15"/>
        <v>595</v>
      </c>
      <c r="E26" s="728">
        <f t="shared" si="16"/>
        <v>134.77499999999998</v>
      </c>
      <c r="F26" s="728">
        <f t="shared" si="17"/>
        <v>480.44099999999997</v>
      </c>
      <c r="G26" s="728">
        <f t="shared" si="18"/>
        <v>4</v>
      </c>
      <c r="H26" s="730">
        <f t="shared" si="19"/>
        <v>1</v>
      </c>
      <c r="I26" s="731" t="str">
        <f t="shared" si="20"/>
        <v>:1</v>
      </c>
      <c r="J26" s="732">
        <f>'Toe Drain Quantity'!C28</f>
        <v>2.5</v>
      </c>
      <c r="K26" s="733" t="str">
        <f t="shared" si="21"/>
        <v>:1</v>
      </c>
      <c r="L26" s="728">
        <f t="shared" si="22"/>
        <v>28</v>
      </c>
      <c r="M26" s="728">
        <f t="shared" si="23"/>
        <v>28</v>
      </c>
      <c r="N26" s="728">
        <f t="shared" si="24"/>
        <v>560</v>
      </c>
      <c r="O26" s="569"/>
      <c r="P26" s="734">
        <f t="shared" si="25"/>
        <v>14</v>
      </c>
      <c r="Q26" s="734">
        <f t="shared" si="26"/>
        <v>10.770329614269007</v>
      </c>
      <c r="R26" s="569">
        <f t="shared" si="27"/>
        <v>4</v>
      </c>
      <c r="S26" s="659"/>
      <c r="T26" s="659"/>
      <c r="U26" s="659"/>
      <c r="V26" s="660"/>
      <c r="W26" s="660"/>
      <c r="X26" s="660"/>
      <c r="Y26" s="660"/>
      <c r="Z26" s="661"/>
      <c r="AA26" s="661"/>
    </row>
    <row r="27" spans="1:27" s="615" customFormat="1" ht="15.6" x14ac:dyDescent="0.3">
      <c r="A27" s="726">
        <f>'e-w'!B51</f>
        <v>400</v>
      </c>
      <c r="B27" s="727">
        <f t="shared" si="14"/>
        <v>20</v>
      </c>
      <c r="C27" s="728">
        <f>'e-w'!C51</f>
        <v>460.22500000000002</v>
      </c>
      <c r="D27" s="729">
        <f t="shared" si="15"/>
        <v>595</v>
      </c>
      <c r="E27" s="728">
        <f t="shared" si="16"/>
        <v>134.77499999999998</v>
      </c>
      <c r="F27" s="728">
        <f t="shared" si="17"/>
        <v>480.44099999999997</v>
      </c>
      <c r="G27" s="728">
        <f t="shared" si="18"/>
        <v>4</v>
      </c>
      <c r="H27" s="730">
        <f t="shared" si="19"/>
        <v>1</v>
      </c>
      <c r="I27" s="731" t="str">
        <f t="shared" si="20"/>
        <v>:1</v>
      </c>
      <c r="J27" s="732">
        <f>'Toe Drain Quantity'!C29</f>
        <v>2.5</v>
      </c>
      <c r="K27" s="733" t="str">
        <f t="shared" si="21"/>
        <v>:1</v>
      </c>
      <c r="L27" s="728">
        <f t="shared" si="22"/>
        <v>28</v>
      </c>
      <c r="M27" s="728">
        <f t="shared" si="23"/>
        <v>28</v>
      </c>
      <c r="N27" s="728">
        <f t="shared" si="24"/>
        <v>560</v>
      </c>
      <c r="O27" s="569"/>
      <c r="P27" s="734">
        <f t="shared" si="25"/>
        <v>14</v>
      </c>
      <c r="Q27" s="734">
        <f t="shared" si="26"/>
        <v>10.770329614269007</v>
      </c>
      <c r="R27" s="569">
        <f t="shared" si="27"/>
        <v>4</v>
      </c>
      <c r="S27" s="659"/>
      <c r="T27" s="659"/>
      <c r="U27" s="659"/>
      <c r="V27" s="660"/>
      <c r="W27" s="660"/>
      <c r="X27" s="660"/>
      <c r="Y27" s="660"/>
      <c r="Z27" s="661"/>
      <c r="AA27" s="661"/>
    </row>
    <row r="28" spans="1:27" s="615" customFormat="1" ht="15.6" x14ac:dyDescent="0.3">
      <c r="A28" s="726">
        <f>'e-w'!B52</f>
        <v>420</v>
      </c>
      <c r="B28" s="727">
        <f t="shared" si="14"/>
        <v>20</v>
      </c>
      <c r="C28" s="728">
        <f>'e-w'!C52</f>
        <v>460.22500000000002</v>
      </c>
      <c r="D28" s="729">
        <f t="shared" si="15"/>
        <v>595</v>
      </c>
      <c r="E28" s="728">
        <f t="shared" si="16"/>
        <v>134.77499999999998</v>
      </c>
      <c r="F28" s="728">
        <f t="shared" si="17"/>
        <v>480.44099999999997</v>
      </c>
      <c r="G28" s="728">
        <f t="shared" si="18"/>
        <v>4</v>
      </c>
      <c r="H28" s="730">
        <f t="shared" si="19"/>
        <v>1</v>
      </c>
      <c r="I28" s="731" t="str">
        <f t="shared" si="20"/>
        <v>:1</v>
      </c>
      <c r="J28" s="732">
        <f>'Toe Drain Quantity'!C30</f>
        <v>2.5</v>
      </c>
      <c r="K28" s="733" t="str">
        <f t="shared" si="21"/>
        <v>:1</v>
      </c>
      <c r="L28" s="728">
        <f t="shared" si="22"/>
        <v>28</v>
      </c>
      <c r="M28" s="728">
        <f t="shared" si="23"/>
        <v>28</v>
      </c>
      <c r="N28" s="728">
        <f t="shared" si="24"/>
        <v>560</v>
      </c>
      <c r="O28" s="569"/>
      <c r="P28" s="734">
        <f t="shared" si="25"/>
        <v>14</v>
      </c>
      <c r="Q28" s="734">
        <f t="shared" si="26"/>
        <v>10.770329614269007</v>
      </c>
      <c r="R28" s="569">
        <f t="shared" si="27"/>
        <v>4</v>
      </c>
      <c r="S28" s="659"/>
      <c r="T28" s="659"/>
      <c r="U28" s="659"/>
      <c r="V28" s="660"/>
      <c r="W28" s="660"/>
      <c r="X28" s="660"/>
      <c r="Y28" s="660"/>
      <c r="Z28" s="661"/>
      <c r="AA28" s="661"/>
    </row>
    <row r="29" spans="1:27" s="615" customFormat="1" ht="15.6" x14ac:dyDescent="0.3">
      <c r="A29" s="726">
        <f>'e-w'!B53</f>
        <v>440</v>
      </c>
      <c r="B29" s="727">
        <f t="shared" si="14"/>
        <v>20</v>
      </c>
      <c r="C29" s="728">
        <f>'e-w'!C53</f>
        <v>464.81158441558438</v>
      </c>
      <c r="D29" s="729">
        <f t="shared" si="15"/>
        <v>595</v>
      </c>
      <c r="E29" s="728">
        <f t="shared" si="16"/>
        <v>130.18841558441562</v>
      </c>
      <c r="F29" s="728">
        <f t="shared" si="17"/>
        <v>484.34</v>
      </c>
      <c r="G29" s="728">
        <f t="shared" si="18"/>
        <v>4</v>
      </c>
      <c r="H29" s="730">
        <f t="shared" si="19"/>
        <v>1</v>
      </c>
      <c r="I29" s="731" t="str">
        <f t="shared" si="20"/>
        <v>:1</v>
      </c>
      <c r="J29" s="732">
        <f>'Toe Drain Quantity'!C31</f>
        <v>2.5</v>
      </c>
      <c r="K29" s="733" t="str">
        <f t="shared" si="21"/>
        <v>:1</v>
      </c>
      <c r="L29" s="728">
        <f t="shared" si="22"/>
        <v>28</v>
      </c>
      <c r="M29" s="728">
        <f t="shared" si="23"/>
        <v>28</v>
      </c>
      <c r="N29" s="728">
        <f t="shared" si="24"/>
        <v>560</v>
      </c>
      <c r="O29" s="569"/>
      <c r="P29" s="734">
        <f t="shared" si="25"/>
        <v>14</v>
      </c>
      <c r="Q29" s="734">
        <f t="shared" si="26"/>
        <v>10.770329614269007</v>
      </c>
      <c r="R29" s="569">
        <f t="shared" si="27"/>
        <v>4</v>
      </c>
      <c r="S29" s="659"/>
      <c r="T29" s="659"/>
      <c r="U29" s="659"/>
      <c r="V29" s="660"/>
      <c r="W29" s="660"/>
      <c r="X29" s="660"/>
      <c r="Y29" s="660"/>
      <c r="Z29" s="661"/>
      <c r="AA29" s="661"/>
    </row>
    <row r="30" spans="1:27" s="615" customFormat="1" ht="15.6" x14ac:dyDescent="0.3">
      <c r="A30" s="726">
        <f>'e-w'!B54</f>
        <v>460</v>
      </c>
      <c r="B30" s="727">
        <f t="shared" si="14"/>
        <v>20</v>
      </c>
      <c r="C30" s="728">
        <f>'e-w'!C54</f>
        <v>467.01165789473686</v>
      </c>
      <c r="D30" s="729">
        <f t="shared" si="15"/>
        <v>595</v>
      </c>
      <c r="E30" s="728">
        <f t="shared" si="16"/>
        <v>127.98834210526314</v>
      </c>
      <c r="F30" s="728">
        <f t="shared" si="17"/>
        <v>486.21</v>
      </c>
      <c r="G30" s="728">
        <f t="shared" si="18"/>
        <v>4</v>
      </c>
      <c r="H30" s="730">
        <f t="shared" si="19"/>
        <v>1</v>
      </c>
      <c r="I30" s="731" t="str">
        <f t="shared" si="20"/>
        <v>:1</v>
      </c>
      <c r="J30" s="732">
        <f>'Toe Drain Quantity'!C32</f>
        <v>2.5</v>
      </c>
      <c r="K30" s="733" t="str">
        <f t="shared" si="21"/>
        <v>:1</v>
      </c>
      <c r="L30" s="728">
        <f t="shared" si="22"/>
        <v>28</v>
      </c>
      <c r="M30" s="728">
        <f t="shared" si="23"/>
        <v>28</v>
      </c>
      <c r="N30" s="728">
        <f t="shared" si="24"/>
        <v>560</v>
      </c>
      <c r="O30" s="569"/>
      <c r="P30" s="734">
        <f t="shared" si="25"/>
        <v>14</v>
      </c>
      <c r="Q30" s="734">
        <f t="shared" si="26"/>
        <v>10.770329614269007</v>
      </c>
      <c r="R30" s="569">
        <f t="shared" si="27"/>
        <v>4</v>
      </c>
      <c r="S30" s="659"/>
      <c r="T30" s="659"/>
      <c r="U30" s="659"/>
      <c r="V30" s="660"/>
      <c r="W30" s="660"/>
      <c r="X30" s="660"/>
      <c r="Y30" s="660"/>
      <c r="Z30" s="661"/>
      <c r="AA30" s="661"/>
    </row>
    <row r="31" spans="1:27" s="615" customFormat="1" ht="15.6" x14ac:dyDescent="0.3">
      <c r="A31" s="726">
        <f>'e-w'!B55</f>
        <v>480</v>
      </c>
      <c r="B31" s="727">
        <f t="shared" si="14"/>
        <v>20</v>
      </c>
      <c r="C31" s="728">
        <f>'e-w'!C55</f>
        <v>468.48202597402599</v>
      </c>
      <c r="D31" s="729">
        <f t="shared" si="15"/>
        <v>595</v>
      </c>
      <c r="E31" s="728">
        <f t="shared" si="16"/>
        <v>126.51797402597401</v>
      </c>
      <c r="F31" s="728">
        <f t="shared" si="17"/>
        <v>487.46</v>
      </c>
      <c r="G31" s="728">
        <f t="shared" si="18"/>
        <v>4</v>
      </c>
      <c r="H31" s="730">
        <f t="shared" si="19"/>
        <v>1</v>
      </c>
      <c r="I31" s="731" t="str">
        <f t="shared" si="20"/>
        <v>:1</v>
      </c>
      <c r="J31" s="732">
        <f>'Toe Drain Quantity'!C33</f>
        <v>2.5</v>
      </c>
      <c r="K31" s="733" t="str">
        <f t="shared" si="21"/>
        <v>:1</v>
      </c>
      <c r="L31" s="728">
        <f t="shared" si="22"/>
        <v>28</v>
      </c>
      <c r="M31" s="728">
        <f t="shared" si="23"/>
        <v>28</v>
      </c>
      <c r="N31" s="728">
        <f t="shared" si="24"/>
        <v>560</v>
      </c>
      <c r="O31" s="569"/>
      <c r="P31" s="734">
        <f t="shared" ref="P31:P41" si="28">G31*H31+G31*J31</f>
        <v>14</v>
      </c>
      <c r="Q31" s="734">
        <f t="shared" ref="Q31:Q41" si="29">SQRT(G31^2+(G31*J31)^2)</f>
        <v>10.770329614269007</v>
      </c>
      <c r="R31" s="569">
        <f t="shared" ref="R31:R41" si="30">IF(C31&lt;=0,0,IF(C31&gt;F31,0,(MAX(MIN((F31-C31),4),1))))</f>
        <v>4</v>
      </c>
      <c r="S31" s="659"/>
      <c r="T31" s="659"/>
      <c r="U31" s="659"/>
      <c r="V31" s="660"/>
      <c r="W31" s="660"/>
      <c r="X31" s="660"/>
      <c r="Y31" s="660"/>
      <c r="Z31" s="661"/>
      <c r="AA31" s="661"/>
    </row>
    <row r="32" spans="1:27" s="615" customFormat="1" ht="15.6" x14ac:dyDescent="0.3">
      <c r="A32" s="726">
        <f>'e-w'!B56</f>
        <v>500</v>
      </c>
      <c r="B32" s="727">
        <f t="shared" si="14"/>
        <v>20</v>
      </c>
      <c r="C32" s="728">
        <f>'e-w'!C56</f>
        <v>471.3044210526316</v>
      </c>
      <c r="D32" s="729">
        <f t="shared" si="15"/>
        <v>595</v>
      </c>
      <c r="E32" s="728">
        <f t="shared" si="16"/>
        <v>123.6955789473684</v>
      </c>
      <c r="F32" s="728">
        <f t="shared" si="17"/>
        <v>489.85899999999998</v>
      </c>
      <c r="G32" s="728">
        <f t="shared" si="18"/>
        <v>4</v>
      </c>
      <c r="H32" s="730">
        <f t="shared" si="19"/>
        <v>1</v>
      </c>
      <c r="I32" s="731" t="str">
        <f t="shared" si="20"/>
        <v>:1</v>
      </c>
      <c r="J32" s="732">
        <f>'Toe Drain Quantity'!C34</f>
        <v>2.5</v>
      </c>
      <c r="K32" s="733" t="str">
        <f t="shared" si="21"/>
        <v>:1</v>
      </c>
      <c r="L32" s="728">
        <f t="shared" si="22"/>
        <v>28</v>
      </c>
      <c r="M32" s="728">
        <f t="shared" si="23"/>
        <v>28</v>
      </c>
      <c r="N32" s="728">
        <f t="shared" si="24"/>
        <v>560</v>
      </c>
      <c r="O32" s="569"/>
      <c r="P32" s="734">
        <f t="shared" si="28"/>
        <v>14</v>
      </c>
      <c r="Q32" s="734">
        <f t="shared" si="29"/>
        <v>10.770329614269007</v>
      </c>
      <c r="R32" s="569">
        <f t="shared" si="30"/>
        <v>4</v>
      </c>
      <c r="S32" s="659"/>
      <c r="T32" s="659"/>
      <c r="U32" s="659"/>
      <c r="V32" s="660"/>
      <c r="W32" s="660"/>
      <c r="X32" s="660"/>
      <c r="Y32" s="660"/>
      <c r="Z32" s="661"/>
      <c r="AA32" s="661"/>
    </row>
    <row r="33" spans="1:27" s="615" customFormat="1" ht="15.6" x14ac:dyDescent="0.3">
      <c r="A33" s="726">
        <f>'e-w'!B57</f>
        <v>520</v>
      </c>
      <c r="B33" s="727">
        <f t="shared" si="14"/>
        <v>20</v>
      </c>
      <c r="C33" s="728">
        <f>'e-w'!C57</f>
        <v>470.79352631578945</v>
      </c>
      <c r="D33" s="729">
        <f t="shared" si="15"/>
        <v>595</v>
      </c>
      <c r="E33" s="728">
        <f t="shared" si="16"/>
        <v>124.20647368421055</v>
      </c>
      <c r="F33" s="728">
        <f t="shared" si="17"/>
        <v>489.42399999999998</v>
      </c>
      <c r="G33" s="728">
        <f t="shared" si="18"/>
        <v>4</v>
      </c>
      <c r="H33" s="730">
        <f t="shared" si="19"/>
        <v>1</v>
      </c>
      <c r="I33" s="731" t="str">
        <f t="shared" si="20"/>
        <v>:1</v>
      </c>
      <c r="J33" s="732">
        <f>'Toe Drain Quantity'!C35</f>
        <v>2.5</v>
      </c>
      <c r="K33" s="733" t="str">
        <f t="shared" si="21"/>
        <v>:1</v>
      </c>
      <c r="L33" s="728">
        <f t="shared" si="22"/>
        <v>28</v>
      </c>
      <c r="M33" s="728">
        <f t="shared" si="23"/>
        <v>28</v>
      </c>
      <c r="N33" s="728">
        <f t="shared" si="24"/>
        <v>560</v>
      </c>
      <c r="O33" s="569"/>
      <c r="P33" s="734">
        <f t="shared" si="28"/>
        <v>14</v>
      </c>
      <c r="Q33" s="734">
        <f t="shared" si="29"/>
        <v>10.770329614269007</v>
      </c>
      <c r="R33" s="569">
        <f t="shared" si="30"/>
        <v>4</v>
      </c>
      <c r="S33" s="659"/>
      <c r="T33" s="659"/>
      <c r="U33" s="659"/>
      <c r="V33" s="660"/>
      <c r="W33" s="660"/>
      <c r="X33" s="660"/>
      <c r="Y33" s="660"/>
      <c r="Z33" s="661"/>
      <c r="AA33" s="661"/>
    </row>
    <row r="34" spans="1:27" s="615" customFormat="1" ht="15.6" x14ac:dyDescent="0.3">
      <c r="A34" s="726">
        <f>'e-w'!B58</f>
        <v>540</v>
      </c>
      <c r="B34" s="727">
        <f t="shared" si="14"/>
        <v>20</v>
      </c>
      <c r="C34" s="728">
        <f>'e-w'!C58</f>
        <v>467.65193421052629</v>
      </c>
      <c r="D34" s="729">
        <f t="shared" si="15"/>
        <v>595</v>
      </c>
      <c r="E34" s="728">
        <f t="shared" si="16"/>
        <v>127.34806578947371</v>
      </c>
      <c r="F34" s="728">
        <f t="shared" si="17"/>
        <v>486.75400000000002</v>
      </c>
      <c r="G34" s="728">
        <f t="shared" si="18"/>
        <v>4</v>
      </c>
      <c r="H34" s="730">
        <f t="shared" si="19"/>
        <v>1</v>
      </c>
      <c r="I34" s="731" t="str">
        <f t="shared" si="20"/>
        <v>:1</v>
      </c>
      <c r="J34" s="732">
        <f>'Toe Drain Quantity'!C36</f>
        <v>2.5</v>
      </c>
      <c r="K34" s="733" t="str">
        <f t="shared" si="21"/>
        <v>:1</v>
      </c>
      <c r="L34" s="728">
        <f t="shared" si="22"/>
        <v>28</v>
      </c>
      <c r="M34" s="728">
        <f t="shared" si="23"/>
        <v>28</v>
      </c>
      <c r="N34" s="728">
        <f t="shared" si="24"/>
        <v>560</v>
      </c>
      <c r="O34" s="569"/>
      <c r="P34" s="734">
        <f t="shared" si="28"/>
        <v>14</v>
      </c>
      <c r="Q34" s="734">
        <f t="shared" si="29"/>
        <v>10.770329614269007</v>
      </c>
      <c r="R34" s="569">
        <f t="shared" si="30"/>
        <v>4</v>
      </c>
      <c r="S34" s="659"/>
      <c r="T34" s="659"/>
      <c r="U34" s="659"/>
      <c r="V34" s="660"/>
      <c r="W34" s="660"/>
      <c r="X34" s="660"/>
      <c r="Y34" s="660"/>
      <c r="Z34" s="661"/>
      <c r="AA34" s="661"/>
    </row>
    <row r="35" spans="1:27" s="615" customFormat="1" ht="15.6" x14ac:dyDescent="0.3">
      <c r="A35" s="726">
        <f>'e-w'!B59</f>
        <v>560</v>
      </c>
      <c r="B35" s="727">
        <f t="shared" si="14"/>
        <v>20</v>
      </c>
      <c r="C35" s="728">
        <f>'e-w'!C59</f>
        <v>468.157974025974</v>
      </c>
      <c r="D35" s="729">
        <f t="shared" si="15"/>
        <v>595</v>
      </c>
      <c r="E35" s="728">
        <f t="shared" si="16"/>
        <v>126.842025974026</v>
      </c>
      <c r="F35" s="728">
        <f t="shared" si="17"/>
        <v>487.18400000000003</v>
      </c>
      <c r="G35" s="728">
        <f t="shared" si="18"/>
        <v>4</v>
      </c>
      <c r="H35" s="730">
        <f t="shared" si="19"/>
        <v>1</v>
      </c>
      <c r="I35" s="731" t="str">
        <f t="shared" si="20"/>
        <v>:1</v>
      </c>
      <c r="J35" s="732">
        <f>'Toe Drain Quantity'!C37</f>
        <v>2.5</v>
      </c>
      <c r="K35" s="733" t="str">
        <f t="shared" si="21"/>
        <v>:1</v>
      </c>
      <c r="L35" s="728">
        <f t="shared" si="22"/>
        <v>28</v>
      </c>
      <c r="M35" s="728">
        <f t="shared" si="23"/>
        <v>28</v>
      </c>
      <c r="N35" s="728">
        <f t="shared" si="24"/>
        <v>560</v>
      </c>
      <c r="O35" s="569"/>
      <c r="P35" s="734">
        <f t="shared" si="28"/>
        <v>14</v>
      </c>
      <c r="Q35" s="734">
        <f t="shared" si="29"/>
        <v>10.770329614269007</v>
      </c>
      <c r="R35" s="569">
        <f t="shared" si="30"/>
        <v>4</v>
      </c>
      <c r="S35" s="659"/>
      <c r="T35" s="659"/>
      <c r="U35" s="659"/>
      <c r="V35" s="660"/>
      <c r="W35" s="660"/>
      <c r="X35" s="660"/>
      <c r="Y35" s="660"/>
      <c r="Z35" s="661"/>
      <c r="AA35" s="661"/>
    </row>
    <row r="36" spans="1:27" s="615" customFormat="1" ht="15.6" x14ac:dyDescent="0.3">
      <c r="A36" s="726">
        <f>'e-w'!B60</f>
        <v>580</v>
      </c>
      <c r="B36" s="727">
        <f t="shared" si="14"/>
        <v>20</v>
      </c>
      <c r="C36" s="728">
        <f>'e-w'!C60</f>
        <v>471.00294736842108</v>
      </c>
      <c r="D36" s="729">
        <f t="shared" si="15"/>
        <v>595</v>
      </c>
      <c r="E36" s="728">
        <f t="shared" si="16"/>
        <v>123.99705263157892</v>
      </c>
      <c r="F36" s="728">
        <f t="shared" si="17"/>
        <v>489.60300000000001</v>
      </c>
      <c r="G36" s="728">
        <f t="shared" si="18"/>
        <v>4</v>
      </c>
      <c r="H36" s="730">
        <f t="shared" si="19"/>
        <v>1</v>
      </c>
      <c r="I36" s="731" t="str">
        <f t="shared" si="20"/>
        <v>:1</v>
      </c>
      <c r="J36" s="732">
        <f>'Toe Drain Quantity'!C38</f>
        <v>2.5</v>
      </c>
      <c r="K36" s="733" t="str">
        <f t="shared" si="21"/>
        <v>:1</v>
      </c>
      <c r="L36" s="728">
        <f t="shared" si="22"/>
        <v>28</v>
      </c>
      <c r="M36" s="728">
        <f t="shared" si="23"/>
        <v>28</v>
      </c>
      <c r="N36" s="728">
        <f t="shared" si="24"/>
        <v>560</v>
      </c>
      <c r="O36" s="569"/>
      <c r="P36" s="734">
        <f t="shared" si="28"/>
        <v>14</v>
      </c>
      <c r="Q36" s="734">
        <f t="shared" si="29"/>
        <v>10.770329614269007</v>
      </c>
      <c r="R36" s="569">
        <f t="shared" si="30"/>
        <v>4</v>
      </c>
      <c r="S36" s="659"/>
      <c r="T36" s="659"/>
      <c r="U36" s="659"/>
      <c r="V36" s="660"/>
      <c r="W36" s="660"/>
      <c r="X36" s="660"/>
      <c r="Y36" s="660"/>
      <c r="Z36" s="661"/>
      <c r="AA36" s="661"/>
    </row>
    <row r="37" spans="1:27" s="615" customFormat="1" ht="15.6" x14ac:dyDescent="0.3">
      <c r="A37" s="726">
        <f>'e-w'!B61</f>
        <v>600</v>
      </c>
      <c r="B37" s="727">
        <f t="shared" si="14"/>
        <v>20</v>
      </c>
      <c r="C37" s="728">
        <f>'e-w'!C61</f>
        <v>470.72336842105267</v>
      </c>
      <c r="D37" s="729">
        <f t="shared" si="15"/>
        <v>595</v>
      </c>
      <c r="E37" s="728">
        <f t="shared" si="16"/>
        <v>124.27663157894733</v>
      </c>
      <c r="F37" s="728">
        <f t="shared" si="17"/>
        <v>489.36500000000001</v>
      </c>
      <c r="G37" s="728">
        <f t="shared" si="18"/>
        <v>4</v>
      </c>
      <c r="H37" s="730">
        <f t="shared" si="19"/>
        <v>1</v>
      </c>
      <c r="I37" s="731" t="str">
        <f t="shared" si="20"/>
        <v>:1</v>
      </c>
      <c r="J37" s="732">
        <f>'Toe Drain Quantity'!C39</f>
        <v>2.5</v>
      </c>
      <c r="K37" s="733" t="str">
        <f t="shared" si="21"/>
        <v>:1</v>
      </c>
      <c r="L37" s="728">
        <f t="shared" si="22"/>
        <v>28</v>
      </c>
      <c r="M37" s="728">
        <f t="shared" si="23"/>
        <v>28</v>
      </c>
      <c r="N37" s="728">
        <f t="shared" si="24"/>
        <v>560</v>
      </c>
      <c r="O37" s="569"/>
      <c r="P37" s="734">
        <f t="shared" si="28"/>
        <v>14</v>
      </c>
      <c r="Q37" s="734">
        <f t="shared" si="29"/>
        <v>10.770329614269007</v>
      </c>
      <c r="R37" s="569">
        <f t="shared" si="30"/>
        <v>4</v>
      </c>
      <c r="S37" s="659"/>
      <c r="T37" s="659"/>
      <c r="U37" s="659"/>
      <c r="V37" s="660"/>
      <c r="W37" s="660"/>
      <c r="X37" s="660"/>
      <c r="Y37" s="660"/>
      <c r="Z37" s="661"/>
      <c r="AA37" s="661"/>
    </row>
    <row r="38" spans="1:27" s="615" customFormat="1" ht="15.6" x14ac:dyDescent="0.3">
      <c r="A38" s="726">
        <f>'e-w'!B62</f>
        <v>620</v>
      </c>
      <c r="B38" s="727">
        <f t="shared" si="14"/>
        <v>20</v>
      </c>
      <c r="C38" s="728">
        <f>'e-w'!C62</f>
        <v>472.39347368421051</v>
      </c>
      <c r="D38" s="729">
        <f t="shared" si="15"/>
        <v>595</v>
      </c>
      <c r="E38" s="728">
        <f t="shared" si="16"/>
        <v>122.60652631578949</v>
      </c>
      <c r="F38" s="728">
        <f t="shared" si="17"/>
        <v>490.78399999999999</v>
      </c>
      <c r="G38" s="728">
        <f t="shared" si="18"/>
        <v>4</v>
      </c>
      <c r="H38" s="730">
        <f t="shared" si="19"/>
        <v>1</v>
      </c>
      <c r="I38" s="731" t="str">
        <f t="shared" si="20"/>
        <v>:1</v>
      </c>
      <c r="J38" s="732">
        <f>'Toe Drain Quantity'!C40</f>
        <v>2.5</v>
      </c>
      <c r="K38" s="733" t="str">
        <f t="shared" si="21"/>
        <v>:1</v>
      </c>
      <c r="L38" s="728">
        <f t="shared" si="22"/>
        <v>28</v>
      </c>
      <c r="M38" s="728">
        <f t="shared" si="23"/>
        <v>28</v>
      </c>
      <c r="N38" s="728">
        <f t="shared" si="24"/>
        <v>560</v>
      </c>
      <c r="O38" s="569"/>
      <c r="P38" s="734">
        <f t="shared" si="28"/>
        <v>14</v>
      </c>
      <c r="Q38" s="734">
        <f t="shared" si="29"/>
        <v>10.770329614269007</v>
      </c>
      <c r="R38" s="569">
        <f t="shared" si="30"/>
        <v>4</v>
      </c>
      <c r="S38" s="659"/>
      <c r="T38" s="659"/>
      <c r="U38" s="659"/>
      <c r="V38" s="660"/>
      <c r="W38" s="660"/>
      <c r="X38" s="660"/>
      <c r="Y38" s="660"/>
      <c r="Z38" s="661"/>
      <c r="AA38" s="661"/>
    </row>
    <row r="39" spans="1:27" s="615" customFormat="1" ht="15.6" x14ac:dyDescent="0.3">
      <c r="A39" s="726">
        <f>'e-w'!B63</f>
        <v>640</v>
      </c>
      <c r="B39" s="727">
        <f t="shared" si="14"/>
        <v>20</v>
      </c>
      <c r="C39" s="728">
        <f>'e-w'!C63</f>
        <v>473.79128947368423</v>
      </c>
      <c r="D39" s="729">
        <f t="shared" si="15"/>
        <v>595</v>
      </c>
      <c r="E39" s="728">
        <f t="shared" si="16"/>
        <v>121.20871052631577</v>
      </c>
      <c r="F39" s="728">
        <f t="shared" si="17"/>
        <v>491.97300000000001</v>
      </c>
      <c r="G39" s="728">
        <f t="shared" si="18"/>
        <v>4</v>
      </c>
      <c r="H39" s="730">
        <f t="shared" si="19"/>
        <v>1</v>
      </c>
      <c r="I39" s="731" t="str">
        <f t="shared" si="20"/>
        <v>:1</v>
      </c>
      <c r="J39" s="732">
        <f>'Toe Drain Quantity'!C41</f>
        <v>2.5</v>
      </c>
      <c r="K39" s="733" t="str">
        <f t="shared" si="21"/>
        <v>:1</v>
      </c>
      <c r="L39" s="728">
        <f t="shared" si="22"/>
        <v>28</v>
      </c>
      <c r="M39" s="728">
        <f t="shared" si="23"/>
        <v>28</v>
      </c>
      <c r="N39" s="728">
        <f t="shared" si="24"/>
        <v>560</v>
      </c>
      <c r="O39" s="569"/>
      <c r="P39" s="734">
        <f t="shared" si="28"/>
        <v>14</v>
      </c>
      <c r="Q39" s="734">
        <f t="shared" si="29"/>
        <v>10.770329614269007</v>
      </c>
      <c r="R39" s="569">
        <f t="shared" si="30"/>
        <v>4</v>
      </c>
      <c r="S39" s="659"/>
      <c r="T39" s="659"/>
      <c r="U39" s="659"/>
      <c r="V39" s="660"/>
      <c r="W39" s="660"/>
      <c r="X39" s="660"/>
      <c r="Y39" s="660"/>
      <c r="Z39" s="661"/>
      <c r="AA39" s="661"/>
    </row>
    <row r="40" spans="1:27" s="615" customFormat="1" ht="15.6" x14ac:dyDescent="0.3">
      <c r="A40" s="726">
        <f>'e-w'!B64</f>
        <v>660</v>
      </c>
      <c r="B40" s="727">
        <f t="shared" si="14"/>
        <v>20</v>
      </c>
      <c r="C40" s="728">
        <f>'e-w'!C64</f>
        <v>473.54386842105259</v>
      </c>
      <c r="D40" s="729">
        <f t="shared" si="15"/>
        <v>595</v>
      </c>
      <c r="E40" s="728">
        <f t="shared" si="16"/>
        <v>121.45613157894741</v>
      </c>
      <c r="F40" s="728">
        <f t="shared" si="17"/>
        <v>491.762</v>
      </c>
      <c r="G40" s="728">
        <f t="shared" si="18"/>
        <v>4</v>
      </c>
      <c r="H40" s="730">
        <f t="shared" si="19"/>
        <v>1</v>
      </c>
      <c r="I40" s="731" t="str">
        <f t="shared" si="20"/>
        <v>:1</v>
      </c>
      <c r="J40" s="732">
        <f>'Toe Drain Quantity'!C42</f>
        <v>2.5</v>
      </c>
      <c r="K40" s="733" t="str">
        <f t="shared" si="21"/>
        <v>:1</v>
      </c>
      <c r="L40" s="728">
        <f t="shared" si="22"/>
        <v>28</v>
      </c>
      <c r="M40" s="728">
        <f t="shared" si="23"/>
        <v>28</v>
      </c>
      <c r="N40" s="728">
        <f t="shared" si="24"/>
        <v>560</v>
      </c>
      <c r="O40" s="569"/>
      <c r="P40" s="734">
        <f t="shared" si="28"/>
        <v>14</v>
      </c>
      <c r="Q40" s="734">
        <f t="shared" si="29"/>
        <v>10.770329614269007</v>
      </c>
      <c r="R40" s="569">
        <f t="shared" si="30"/>
        <v>4</v>
      </c>
      <c r="S40" s="659"/>
      <c r="T40" s="659"/>
      <c r="U40" s="659"/>
      <c r="V40" s="660"/>
      <c r="W40" s="660"/>
      <c r="X40" s="660"/>
      <c r="Y40" s="660"/>
      <c r="Z40" s="661"/>
      <c r="AA40" s="661"/>
    </row>
    <row r="41" spans="1:27" s="615" customFormat="1" ht="15.6" x14ac:dyDescent="0.3">
      <c r="A41" s="726">
        <f>'e-w'!B65</f>
        <v>680</v>
      </c>
      <c r="B41" s="727">
        <f t="shared" si="14"/>
        <v>20</v>
      </c>
      <c r="C41" s="728">
        <f>'e-w'!C65</f>
        <v>476.3522631578947</v>
      </c>
      <c r="D41" s="729">
        <f t="shared" si="15"/>
        <v>595</v>
      </c>
      <c r="E41" s="728">
        <f t="shared" si="16"/>
        <v>118.6477368421053</v>
      </c>
      <c r="F41" s="728">
        <f t="shared" si="17"/>
        <v>494.149</v>
      </c>
      <c r="G41" s="728">
        <f t="shared" si="18"/>
        <v>4</v>
      </c>
      <c r="H41" s="730">
        <f t="shared" si="19"/>
        <v>1</v>
      </c>
      <c r="I41" s="731" t="str">
        <f t="shared" si="20"/>
        <v>:1</v>
      </c>
      <c r="J41" s="732">
        <f>'Toe Drain Quantity'!C43</f>
        <v>2.5</v>
      </c>
      <c r="K41" s="733" t="str">
        <f t="shared" si="21"/>
        <v>:1</v>
      </c>
      <c r="L41" s="728">
        <f t="shared" si="22"/>
        <v>28</v>
      </c>
      <c r="M41" s="728">
        <f t="shared" si="23"/>
        <v>28</v>
      </c>
      <c r="N41" s="728">
        <f t="shared" si="24"/>
        <v>560</v>
      </c>
      <c r="O41" s="569"/>
      <c r="P41" s="734">
        <f t="shared" si="28"/>
        <v>14</v>
      </c>
      <c r="Q41" s="734">
        <f t="shared" si="29"/>
        <v>10.770329614269007</v>
      </c>
      <c r="R41" s="569">
        <f t="shared" si="30"/>
        <v>4</v>
      </c>
      <c r="S41" s="659"/>
      <c r="T41" s="659"/>
      <c r="U41" s="659"/>
      <c r="V41" s="660"/>
      <c r="W41" s="660"/>
      <c r="X41" s="660"/>
      <c r="Y41" s="660"/>
      <c r="Z41" s="661"/>
      <c r="AA41" s="661"/>
    </row>
    <row r="42" spans="1:27" s="615" customFormat="1" ht="15.6" x14ac:dyDescent="0.3">
      <c r="A42" s="726">
        <f>'e-w'!B66</f>
        <v>700</v>
      </c>
      <c r="B42" s="727">
        <f t="shared" si="14"/>
        <v>20</v>
      </c>
      <c r="C42" s="728">
        <f>'e-w'!C66</f>
        <v>476.68867105263155</v>
      </c>
      <c r="D42" s="729">
        <f t="shared" si="15"/>
        <v>595</v>
      </c>
      <c r="E42" s="728">
        <f t="shared" si="16"/>
        <v>118.31132894736845</v>
      </c>
      <c r="F42" s="728">
        <f t="shared" si="17"/>
        <v>494.435</v>
      </c>
      <c r="G42" s="728">
        <f t="shared" si="18"/>
        <v>4</v>
      </c>
      <c r="H42" s="730">
        <f t="shared" si="19"/>
        <v>1</v>
      </c>
      <c r="I42" s="731" t="str">
        <f t="shared" si="20"/>
        <v>:1</v>
      </c>
      <c r="J42" s="732">
        <f>'Toe Drain Quantity'!C44</f>
        <v>2.5</v>
      </c>
      <c r="K42" s="733" t="str">
        <f t="shared" si="21"/>
        <v>:1</v>
      </c>
      <c r="L42" s="728">
        <f t="shared" si="22"/>
        <v>28</v>
      </c>
      <c r="M42" s="728">
        <f t="shared" si="23"/>
        <v>28</v>
      </c>
      <c r="N42" s="728">
        <f t="shared" si="24"/>
        <v>560</v>
      </c>
      <c r="O42" s="569"/>
      <c r="P42" s="734">
        <f t="shared" ref="P42:P44" si="31">G42*H42+G42*J42</f>
        <v>14</v>
      </c>
      <c r="Q42" s="734">
        <f t="shared" ref="Q42:Q44" si="32">SQRT(G42^2+(G42*J42)^2)</f>
        <v>10.770329614269007</v>
      </c>
      <c r="R42" s="569">
        <f t="shared" ref="R42:R44" si="33">IF(C42&lt;=0,0,IF(C42&gt;F42,0,(MAX(MIN((F42-C42),4),1))))</f>
        <v>4</v>
      </c>
      <c r="S42" s="659"/>
      <c r="T42" s="659"/>
      <c r="U42" s="659"/>
      <c r="V42" s="660"/>
      <c r="W42" s="660"/>
      <c r="X42" s="660"/>
      <c r="Y42" s="660"/>
      <c r="Z42" s="661"/>
      <c r="AA42" s="661"/>
    </row>
    <row r="43" spans="1:27" s="615" customFormat="1" ht="15.6" x14ac:dyDescent="0.3">
      <c r="A43" s="726">
        <f>'e-w'!B67</f>
        <v>720</v>
      </c>
      <c r="B43" s="727">
        <f t="shared" si="14"/>
        <v>20</v>
      </c>
      <c r="C43" s="728">
        <f>'e-w'!C67</f>
        <v>476.85950000000003</v>
      </c>
      <c r="D43" s="729">
        <f t="shared" si="15"/>
        <v>595</v>
      </c>
      <c r="E43" s="728">
        <f t="shared" si="16"/>
        <v>118.14049999999997</v>
      </c>
      <c r="F43" s="728">
        <f t="shared" si="17"/>
        <v>494.58100000000002</v>
      </c>
      <c r="G43" s="728">
        <f t="shared" si="18"/>
        <v>4</v>
      </c>
      <c r="H43" s="730">
        <f t="shared" si="19"/>
        <v>1</v>
      </c>
      <c r="I43" s="731" t="str">
        <f t="shared" si="20"/>
        <v>:1</v>
      </c>
      <c r="J43" s="732">
        <f>'Toe Drain Quantity'!C45</f>
        <v>2.5</v>
      </c>
      <c r="K43" s="733" t="str">
        <f t="shared" si="21"/>
        <v>:1</v>
      </c>
      <c r="L43" s="728">
        <f t="shared" si="22"/>
        <v>28</v>
      </c>
      <c r="M43" s="728">
        <f t="shared" si="23"/>
        <v>28</v>
      </c>
      <c r="N43" s="728">
        <f t="shared" si="24"/>
        <v>560</v>
      </c>
      <c r="O43" s="569"/>
      <c r="P43" s="734">
        <f t="shared" si="31"/>
        <v>14</v>
      </c>
      <c r="Q43" s="734">
        <f t="shared" si="32"/>
        <v>10.770329614269007</v>
      </c>
      <c r="R43" s="569">
        <f t="shared" si="33"/>
        <v>4</v>
      </c>
      <c r="S43" s="659"/>
      <c r="T43" s="659"/>
      <c r="U43" s="659"/>
      <c r="V43" s="660"/>
      <c r="W43" s="660"/>
      <c r="X43" s="660"/>
      <c r="Y43" s="660"/>
      <c r="Z43" s="661"/>
      <c r="AA43" s="661"/>
    </row>
    <row r="44" spans="1:27" s="615" customFormat="1" ht="15.6" x14ac:dyDescent="0.3">
      <c r="A44" s="726">
        <f>'e-w'!B68</f>
        <v>740</v>
      </c>
      <c r="B44" s="727">
        <f t="shared" si="14"/>
        <v>20</v>
      </c>
      <c r="C44" s="728">
        <f>'e-w'!C68</f>
        <v>477.35500000000002</v>
      </c>
      <c r="D44" s="729">
        <f t="shared" si="15"/>
        <v>595</v>
      </c>
      <c r="E44" s="728">
        <f t="shared" si="16"/>
        <v>117.64499999999998</v>
      </c>
      <c r="F44" s="728">
        <f t="shared" si="17"/>
        <v>495.00200000000001</v>
      </c>
      <c r="G44" s="728">
        <f t="shared" si="18"/>
        <v>4</v>
      </c>
      <c r="H44" s="730">
        <f t="shared" si="19"/>
        <v>1</v>
      </c>
      <c r="I44" s="731" t="str">
        <f t="shared" si="20"/>
        <v>:1</v>
      </c>
      <c r="J44" s="732">
        <f>'Toe Drain Quantity'!C46</f>
        <v>2.5</v>
      </c>
      <c r="K44" s="733" t="str">
        <f t="shared" si="21"/>
        <v>:1</v>
      </c>
      <c r="L44" s="728">
        <f t="shared" si="22"/>
        <v>28</v>
      </c>
      <c r="M44" s="728">
        <f t="shared" si="23"/>
        <v>28</v>
      </c>
      <c r="N44" s="728">
        <f t="shared" si="24"/>
        <v>560</v>
      </c>
      <c r="O44" s="569"/>
      <c r="P44" s="734">
        <f t="shared" si="31"/>
        <v>14</v>
      </c>
      <c r="Q44" s="734">
        <f t="shared" si="32"/>
        <v>10.770329614269007</v>
      </c>
      <c r="R44" s="569">
        <f t="shared" si="33"/>
        <v>4</v>
      </c>
      <c r="S44" s="659"/>
      <c r="T44" s="659"/>
      <c r="U44" s="659"/>
      <c r="V44" s="660"/>
      <c r="W44" s="660"/>
      <c r="X44" s="660"/>
      <c r="Y44" s="660"/>
      <c r="Z44" s="661"/>
      <c r="AA44" s="661"/>
    </row>
    <row r="45" spans="1:27" ht="14.4" customHeight="1" x14ac:dyDescent="0.3">
      <c r="A45" s="735"/>
      <c r="B45" s="736"/>
      <c r="C45" s="735"/>
      <c r="D45" s="735"/>
      <c r="E45" s="735"/>
      <c r="F45" s="735"/>
      <c r="G45" s="735"/>
      <c r="H45" s="737"/>
      <c r="I45" s="738"/>
      <c r="J45" s="739"/>
      <c r="K45" s="740"/>
      <c r="L45" s="741" t="s">
        <v>481</v>
      </c>
      <c r="M45" s="1301">
        <f>SUM(N7:N44)</f>
        <v>20720</v>
      </c>
      <c r="N45" s="1302"/>
      <c r="O45" s="569"/>
      <c r="P45" s="742"/>
      <c r="Q45" s="743"/>
      <c r="R45" s="743"/>
      <c r="S45" s="569"/>
      <c r="T45" s="569"/>
      <c r="U45" s="569"/>
      <c r="V45" s="569"/>
      <c r="W45" s="569"/>
      <c r="X45" s="569"/>
    </row>
    <row r="46" spans="1:27" ht="13.8" x14ac:dyDescent="0.3">
      <c r="A46" s="744"/>
      <c r="B46" s="736"/>
      <c r="C46" s="745"/>
      <c r="D46" s="745"/>
      <c r="E46" s="745"/>
      <c r="F46" s="745"/>
      <c r="G46" s="745"/>
      <c r="H46" s="746"/>
      <c r="I46" s="747"/>
      <c r="J46" s="746"/>
      <c r="K46" s="748"/>
      <c r="L46" s="745"/>
      <c r="M46" s="745"/>
      <c r="N46" s="745"/>
      <c r="O46" s="569"/>
      <c r="P46" s="742"/>
      <c r="Q46" s="743"/>
      <c r="R46" s="743"/>
      <c r="S46" s="569"/>
      <c r="T46" s="569"/>
      <c r="U46" s="569"/>
      <c r="V46" s="569"/>
      <c r="W46" s="569"/>
      <c r="X46" s="569"/>
    </row>
    <row r="47" spans="1:27" ht="13.8" x14ac:dyDescent="0.3">
      <c r="A47" s="741" t="s">
        <v>482</v>
      </c>
      <c r="B47" s="749" t="s">
        <v>483</v>
      </c>
      <c r="C47" s="569"/>
      <c r="D47" s="750"/>
      <c r="E47" s="750"/>
      <c r="F47" s="750"/>
      <c r="G47" s="741" t="s">
        <v>114</v>
      </c>
      <c r="H47" s="1303">
        <f>M45</f>
        <v>20720</v>
      </c>
      <c r="I47" s="1303"/>
      <c r="J47" s="1303"/>
      <c r="K47" s="1303"/>
      <c r="L47" s="1303"/>
      <c r="M47" s="1303"/>
      <c r="N47" s="751"/>
      <c r="O47" s="749"/>
      <c r="P47" s="569"/>
      <c r="Q47" s="569"/>
      <c r="R47" s="569"/>
      <c r="S47" s="569"/>
      <c r="T47" s="569"/>
      <c r="U47" s="569"/>
      <c r="V47" s="569"/>
      <c r="W47" s="569"/>
      <c r="X47" s="569"/>
    </row>
    <row r="51" spans="3:11" x14ac:dyDescent="0.25">
      <c r="C51" s="752"/>
      <c r="D51" s="753"/>
      <c r="E51" s="753"/>
      <c r="F51" s="753"/>
      <c r="G51" s="753"/>
      <c r="H51" s="752"/>
      <c r="I51" s="753"/>
      <c r="J51" s="753"/>
      <c r="K51" s="753"/>
    </row>
    <row r="52" spans="3:11" x14ac:dyDescent="0.25">
      <c r="C52" s="752"/>
      <c r="D52" s="753"/>
      <c r="E52" s="753"/>
      <c r="F52" s="753"/>
      <c r="G52" s="753"/>
      <c r="H52" s="752"/>
      <c r="I52" s="753"/>
      <c r="J52" s="753"/>
      <c r="K52" s="753"/>
    </row>
    <row r="53" spans="3:11" x14ac:dyDescent="0.25">
      <c r="C53" s="752"/>
      <c r="D53" s="753"/>
      <c r="E53" s="753"/>
      <c r="F53" s="753"/>
      <c r="G53" s="753"/>
      <c r="H53" s="752"/>
      <c r="I53" s="753"/>
      <c r="J53" s="753"/>
      <c r="K53" s="753"/>
    </row>
  </sheetData>
  <protectedRanges>
    <protectedRange sqref="G7:G44" name="Range1"/>
  </protectedRanges>
  <customSheetViews>
    <customSheetView guid="{5161B42F-120B-436B-80F4-9BB578173AD5}" scale="70">
      <selection activeCell="C4" sqref="C4"/>
      <colBreaks count="1" manualBreakCount="1">
        <brk id="14" max="1048575" man="1"/>
      </colBreaks>
      <pageMargins left="0.70866141732283505" right="0.70866141732283505" top="0.74803149606299202" bottom="0.74803149606299202" header="0.31496062992126" footer="0.31496062992126"/>
      <printOptions horizontalCentered="1"/>
      <pageSetup scale="93" orientation="portrait" r:id="rId1"/>
      <headerFooter>
        <oddFooter>&amp;R&amp;P</oddFooter>
      </headerFooter>
    </customSheetView>
  </customSheetViews>
  <mergeCells count="12">
    <mergeCell ref="AB4:AB6"/>
    <mergeCell ref="H5:I5"/>
    <mergeCell ref="J5:K5"/>
    <mergeCell ref="H6:I6"/>
    <mergeCell ref="J6:K6"/>
    <mergeCell ref="M45:N45"/>
    <mergeCell ref="H47:M47"/>
    <mergeCell ref="A1:N1"/>
    <mergeCell ref="Y1:Z2"/>
    <mergeCell ref="AA1:AA2"/>
    <mergeCell ref="L2:N2"/>
    <mergeCell ref="A3:N3"/>
  </mergeCells>
  <printOptions horizontalCentered="1"/>
  <pageMargins left="0.7" right="0.7" top="0.75" bottom="0.75" header="0.3" footer="0.3"/>
  <pageSetup paperSize="9" scale="88" fitToHeight="0" orientation="portrait" r:id="rId2"/>
  <headerFooter>
    <oddFooter>&amp;R&amp;P</oddFooter>
  </headerFooter>
  <colBreaks count="1" manualBreakCount="1">
    <brk id="14" max="1048575" man="1"/>
  </col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VW98"/>
  <sheetViews>
    <sheetView view="pageBreakPreview" zoomScale="60" zoomScaleNormal="85" workbookViewId="0">
      <selection activeCell="K46" sqref="K46"/>
    </sheetView>
  </sheetViews>
  <sheetFormatPr defaultRowHeight="13.2" x14ac:dyDescent="0.25"/>
  <cols>
    <col min="1" max="1" width="5.109375" style="449" customWidth="1"/>
    <col min="2" max="2" width="9.33203125" style="449" customWidth="1"/>
    <col min="3" max="3" width="9.6640625" style="449" bestFit="1" customWidth="1"/>
    <col min="4" max="4" width="8.109375" style="449" customWidth="1"/>
    <col min="5" max="5" width="7.109375" style="449" customWidth="1"/>
    <col min="6" max="6" width="2" style="449" hidden="1" customWidth="1"/>
    <col min="7" max="7" width="13.5546875" style="449" hidden="1" customWidth="1"/>
    <col min="8" max="8" width="7.88671875" style="449" customWidth="1"/>
    <col min="9" max="9" width="9.6640625" style="449" bestFit="1" customWidth="1"/>
    <col min="10" max="10" width="10.21875" style="449" customWidth="1"/>
    <col min="11" max="11" width="8.44140625" style="449" customWidth="1"/>
    <col min="12" max="12" width="10.109375" style="449" customWidth="1"/>
    <col min="13" max="13" width="8.6640625" style="449" customWidth="1"/>
    <col min="14" max="14" width="12.44140625" style="449" hidden="1" customWidth="1"/>
    <col min="15" max="15" width="14.109375" style="449" hidden="1" customWidth="1"/>
    <col min="16" max="16" width="9.44140625" style="449" bestFit="1" customWidth="1"/>
    <col min="17" max="17" width="9.88671875" style="449" bestFit="1" customWidth="1"/>
    <col min="18" max="256" width="8.88671875" style="449"/>
    <col min="257" max="257" width="5.109375" style="449" customWidth="1"/>
    <col min="258" max="258" width="13.6640625" style="449" customWidth="1"/>
    <col min="259" max="259" width="9.5546875" style="449" bestFit="1" customWidth="1"/>
    <col min="260" max="260" width="8.109375" style="449" customWidth="1"/>
    <col min="261" max="261" width="10.109375" style="449" bestFit="1" customWidth="1"/>
    <col min="262" max="263" width="8.88671875" style="449" hidden="1" customWidth="1"/>
    <col min="264" max="265" width="9.5546875" style="449" bestFit="1" customWidth="1"/>
    <col min="266" max="266" width="8.6640625" style="449" customWidth="1"/>
    <col min="267" max="267" width="8.44140625" style="449" customWidth="1"/>
    <col min="268" max="268" width="11.88671875" style="449" customWidth="1"/>
    <col min="269" max="269" width="9.88671875" style="449" customWidth="1"/>
    <col min="270" max="271" width="8.88671875" style="449" hidden="1" customWidth="1"/>
    <col min="272" max="272" width="9.44140625" style="449" bestFit="1" customWidth="1"/>
    <col min="273" max="273" width="9.6640625" style="449" bestFit="1" customWidth="1"/>
    <col min="274" max="512" width="8.88671875" style="449"/>
    <col min="513" max="513" width="5.109375" style="449" customWidth="1"/>
    <col min="514" max="514" width="13.6640625" style="449" customWidth="1"/>
    <col min="515" max="515" width="9.5546875" style="449" bestFit="1" customWidth="1"/>
    <col min="516" max="516" width="8.109375" style="449" customWidth="1"/>
    <col min="517" max="517" width="10.109375" style="449" bestFit="1" customWidth="1"/>
    <col min="518" max="519" width="8.88671875" style="449" hidden="1" customWidth="1"/>
    <col min="520" max="521" width="9.5546875" style="449" bestFit="1" customWidth="1"/>
    <col min="522" max="522" width="8.6640625" style="449" customWidth="1"/>
    <col min="523" max="523" width="8.44140625" style="449" customWidth="1"/>
    <col min="524" max="524" width="11.88671875" style="449" customWidth="1"/>
    <col min="525" max="525" width="9.88671875" style="449" customWidth="1"/>
    <col min="526" max="527" width="8.88671875" style="449" hidden="1" customWidth="1"/>
    <col min="528" max="528" width="9.44140625" style="449" bestFit="1" customWidth="1"/>
    <col min="529" max="529" width="9.6640625" style="449" bestFit="1" customWidth="1"/>
    <col min="530" max="768" width="8.88671875" style="449"/>
    <col min="769" max="769" width="5.109375" style="449" customWidth="1"/>
    <col min="770" max="770" width="13.6640625" style="449" customWidth="1"/>
    <col min="771" max="771" width="9.5546875" style="449" bestFit="1" customWidth="1"/>
    <col min="772" max="772" width="8.109375" style="449" customWidth="1"/>
    <col min="773" max="773" width="10.109375" style="449" bestFit="1" customWidth="1"/>
    <col min="774" max="775" width="8.88671875" style="449" hidden="1" customWidth="1"/>
    <col min="776" max="777" width="9.5546875" style="449" bestFit="1" customWidth="1"/>
    <col min="778" max="778" width="8.6640625" style="449" customWidth="1"/>
    <col min="779" max="779" width="8.44140625" style="449" customWidth="1"/>
    <col min="780" max="780" width="11.88671875" style="449" customWidth="1"/>
    <col min="781" max="781" width="9.88671875" style="449" customWidth="1"/>
    <col min="782" max="783" width="8.88671875" style="449" hidden="1" customWidth="1"/>
    <col min="784" max="784" width="9.44140625" style="449" bestFit="1" customWidth="1"/>
    <col min="785" max="785" width="9.6640625" style="449" bestFit="1" customWidth="1"/>
    <col min="786" max="1024" width="8.88671875" style="449"/>
    <col min="1025" max="1025" width="5.109375" style="449" customWidth="1"/>
    <col min="1026" max="1026" width="13.6640625" style="449" customWidth="1"/>
    <col min="1027" max="1027" width="9.5546875" style="449" bestFit="1" customWidth="1"/>
    <col min="1028" max="1028" width="8.109375" style="449" customWidth="1"/>
    <col min="1029" max="1029" width="10.109375" style="449" bestFit="1" customWidth="1"/>
    <col min="1030" max="1031" width="8.88671875" style="449" hidden="1" customWidth="1"/>
    <col min="1032" max="1033" width="9.5546875" style="449" bestFit="1" customWidth="1"/>
    <col min="1034" max="1034" width="8.6640625" style="449" customWidth="1"/>
    <col min="1035" max="1035" width="8.44140625" style="449" customWidth="1"/>
    <col min="1036" max="1036" width="11.88671875" style="449" customWidth="1"/>
    <col min="1037" max="1037" width="9.88671875" style="449" customWidth="1"/>
    <col min="1038" max="1039" width="8.88671875" style="449" hidden="1" customWidth="1"/>
    <col min="1040" max="1040" width="9.44140625" style="449" bestFit="1" customWidth="1"/>
    <col min="1041" max="1041" width="9.6640625" style="449" bestFit="1" customWidth="1"/>
    <col min="1042" max="1280" width="8.88671875" style="449"/>
    <col min="1281" max="1281" width="5.109375" style="449" customWidth="1"/>
    <col min="1282" max="1282" width="13.6640625" style="449" customWidth="1"/>
    <col min="1283" max="1283" width="9.5546875" style="449" bestFit="1" customWidth="1"/>
    <col min="1284" max="1284" width="8.109375" style="449" customWidth="1"/>
    <col min="1285" max="1285" width="10.109375" style="449" bestFit="1" customWidth="1"/>
    <col min="1286" max="1287" width="8.88671875" style="449" hidden="1" customWidth="1"/>
    <col min="1288" max="1289" width="9.5546875" style="449" bestFit="1" customWidth="1"/>
    <col min="1290" max="1290" width="8.6640625" style="449" customWidth="1"/>
    <col min="1291" max="1291" width="8.44140625" style="449" customWidth="1"/>
    <col min="1292" max="1292" width="11.88671875" style="449" customWidth="1"/>
    <col min="1293" max="1293" width="9.88671875" style="449" customWidth="1"/>
    <col min="1294" max="1295" width="8.88671875" style="449" hidden="1" customWidth="1"/>
    <col min="1296" max="1296" width="9.44140625" style="449" bestFit="1" customWidth="1"/>
    <col min="1297" max="1297" width="9.6640625" style="449" bestFit="1" customWidth="1"/>
    <col min="1298" max="1536" width="8.88671875" style="449"/>
    <col min="1537" max="1537" width="5.109375" style="449" customWidth="1"/>
    <col min="1538" max="1538" width="13.6640625" style="449" customWidth="1"/>
    <col min="1539" max="1539" width="9.5546875" style="449" bestFit="1" customWidth="1"/>
    <col min="1540" max="1540" width="8.109375" style="449" customWidth="1"/>
    <col min="1541" max="1541" width="10.109375" style="449" bestFit="1" customWidth="1"/>
    <col min="1542" max="1543" width="8.88671875" style="449" hidden="1" customWidth="1"/>
    <col min="1544" max="1545" width="9.5546875" style="449" bestFit="1" customWidth="1"/>
    <col min="1546" max="1546" width="8.6640625" style="449" customWidth="1"/>
    <col min="1547" max="1547" width="8.44140625" style="449" customWidth="1"/>
    <col min="1548" max="1548" width="11.88671875" style="449" customWidth="1"/>
    <col min="1549" max="1549" width="9.88671875" style="449" customWidth="1"/>
    <col min="1550" max="1551" width="8.88671875" style="449" hidden="1" customWidth="1"/>
    <col min="1552" max="1552" width="9.44140625" style="449" bestFit="1" customWidth="1"/>
    <col min="1553" max="1553" width="9.6640625" style="449" bestFit="1" customWidth="1"/>
    <col min="1554" max="1792" width="8.88671875" style="449"/>
    <col min="1793" max="1793" width="5.109375" style="449" customWidth="1"/>
    <col min="1794" max="1794" width="13.6640625" style="449" customWidth="1"/>
    <col min="1795" max="1795" width="9.5546875" style="449" bestFit="1" customWidth="1"/>
    <col min="1796" max="1796" width="8.109375" style="449" customWidth="1"/>
    <col min="1797" max="1797" width="10.109375" style="449" bestFit="1" customWidth="1"/>
    <col min="1798" max="1799" width="8.88671875" style="449" hidden="1" customWidth="1"/>
    <col min="1800" max="1801" width="9.5546875" style="449" bestFit="1" customWidth="1"/>
    <col min="1802" max="1802" width="8.6640625" style="449" customWidth="1"/>
    <col min="1803" max="1803" width="8.44140625" style="449" customWidth="1"/>
    <col min="1804" max="1804" width="11.88671875" style="449" customWidth="1"/>
    <col min="1805" max="1805" width="9.88671875" style="449" customWidth="1"/>
    <col min="1806" max="1807" width="8.88671875" style="449" hidden="1" customWidth="1"/>
    <col min="1808" max="1808" width="9.44140625" style="449" bestFit="1" customWidth="1"/>
    <col min="1809" max="1809" width="9.6640625" style="449" bestFit="1" customWidth="1"/>
    <col min="1810" max="2048" width="8.88671875" style="449"/>
    <col min="2049" max="2049" width="5.109375" style="449" customWidth="1"/>
    <col min="2050" max="2050" width="13.6640625" style="449" customWidth="1"/>
    <col min="2051" max="2051" width="9.5546875" style="449" bestFit="1" customWidth="1"/>
    <col min="2052" max="2052" width="8.109375" style="449" customWidth="1"/>
    <col min="2053" max="2053" width="10.109375" style="449" bestFit="1" customWidth="1"/>
    <col min="2054" max="2055" width="8.88671875" style="449" hidden="1" customWidth="1"/>
    <col min="2056" max="2057" width="9.5546875" style="449" bestFit="1" customWidth="1"/>
    <col min="2058" max="2058" width="8.6640625" style="449" customWidth="1"/>
    <col min="2059" max="2059" width="8.44140625" style="449" customWidth="1"/>
    <col min="2060" max="2060" width="11.88671875" style="449" customWidth="1"/>
    <col min="2061" max="2061" width="9.88671875" style="449" customWidth="1"/>
    <col min="2062" max="2063" width="8.88671875" style="449" hidden="1" customWidth="1"/>
    <col min="2064" max="2064" width="9.44140625" style="449" bestFit="1" customWidth="1"/>
    <col min="2065" max="2065" width="9.6640625" style="449" bestFit="1" customWidth="1"/>
    <col min="2066" max="2304" width="8.88671875" style="449"/>
    <col min="2305" max="2305" width="5.109375" style="449" customWidth="1"/>
    <col min="2306" max="2306" width="13.6640625" style="449" customWidth="1"/>
    <col min="2307" max="2307" width="9.5546875" style="449" bestFit="1" customWidth="1"/>
    <col min="2308" max="2308" width="8.109375" style="449" customWidth="1"/>
    <col min="2309" max="2309" width="10.109375" style="449" bestFit="1" customWidth="1"/>
    <col min="2310" max="2311" width="8.88671875" style="449" hidden="1" customWidth="1"/>
    <col min="2312" max="2313" width="9.5546875" style="449" bestFit="1" customWidth="1"/>
    <col min="2314" max="2314" width="8.6640625" style="449" customWidth="1"/>
    <col min="2315" max="2315" width="8.44140625" style="449" customWidth="1"/>
    <col min="2316" max="2316" width="11.88671875" style="449" customWidth="1"/>
    <col min="2317" max="2317" width="9.88671875" style="449" customWidth="1"/>
    <col min="2318" max="2319" width="8.88671875" style="449" hidden="1" customWidth="1"/>
    <col min="2320" max="2320" width="9.44140625" style="449" bestFit="1" customWidth="1"/>
    <col min="2321" max="2321" width="9.6640625" style="449" bestFit="1" customWidth="1"/>
    <col min="2322" max="2560" width="8.88671875" style="449"/>
    <col min="2561" max="2561" width="5.109375" style="449" customWidth="1"/>
    <col min="2562" max="2562" width="13.6640625" style="449" customWidth="1"/>
    <col min="2563" max="2563" width="9.5546875" style="449" bestFit="1" customWidth="1"/>
    <col min="2564" max="2564" width="8.109375" style="449" customWidth="1"/>
    <col min="2565" max="2565" width="10.109375" style="449" bestFit="1" customWidth="1"/>
    <col min="2566" max="2567" width="8.88671875" style="449" hidden="1" customWidth="1"/>
    <col min="2568" max="2569" width="9.5546875" style="449" bestFit="1" customWidth="1"/>
    <col min="2570" max="2570" width="8.6640625" style="449" customWidth="1"/>
    <col min="2571" max="2571" width="8.44140625" style="449" customWidth="1"/>
    <col min="2572" max="2572" width="11.88671875" style="449" customWidth="1"/>
    <col min="2573" max="2573" width="9.88671875" style="449" customWidth="1"/>
    <col min="2574" max="2575" width="8.88671875" style="449" hidden="1" customWidth="1"/>
    <col min="2576" max="2576" width="9.44140625" style="449" bestFit="1" customWidth="1"/>
    <col min="2577" max="2577" width="9.6640625" style="449" bestFit="1" customWidth="1"/>
    <col min="2578" max="2816" width="8.88671875" style="449"/>
    <col min="2817" max="2817" width="5.109375" style="449" customWidth="1"/>
    <col min="2818" max="2818" width="13.6640625" style="449" customWidth="1"/>
    <col min="2819" max="2819" width="9.5546875" style="449" bestFit="1" customWidth="1"/>
    <col min="2820" max="2820" width="8.109375" style="449" customWidth="1"/>
    <col min="2821" max="2821" width="10.109375" style="449" bestFit="1" customWidth="1"/>
    <col min="2822" max="2823" width="8.88671875" style="449" hidden="1" customWidth="1"/>
    <col min="2824" max="2825" width="9.5546875" style="449" bestFit="1" customWidth="1"/>
    <col min="2826" max="2826" width="8.6640625" style="449" customWidth="1"/>
    <col min="2827" max="2827" width="8.44140625" style="449" customWidth="1"/>
    <col min="2828" max="2828" width="11.88671875" style="449" customWidth="1"/>
    <col min="2829" max="2829" width="9.88671875" style="449" customWidth="1"/>
    <col min="2830" max="2831" width="8.88671875" style="449" hidden="1" customWidth="1"/>
    <col min="2832" max="2832" width="9.44140625" style="449" bestFit="1" customWidth="1"/>
    <col min="2833" max="2833" width="9.6640625" style="449" bestFit="1" customWidth="1"/>
    <col min="2834" max="3072" width="8.88671875" style="449"/>
    <col min="3073" max="3073" width="5.109375" style="449" customWidth="1"/>
    <col min="3074" max="3074" width="13.6640625" style="449" customWidth="1"/>
    <col min="3075" max="3075" width="9.5546875" style="449" bestFit="1" customWidth="1"/>
    <col min="3076" max="3076" width="8.109375" style="449" customWidth="1"/>
    <col min="3077" max="3077" width="10.109375" style="449" bestFit="1" customWidth="1"/>
    <col min="3078" max="3079" width="8.88671875" style="449" hidden="1" customWidth="1"/>
    <col min="3080" max="3081" width="9.5546875" style="449" bestFit="1" customWidth="1"/>
    <col min="3082" max="3082" width="8.6640625" style="449" customWidth="1"/>
    <col min="3083" max="3083" width="8.44140625" style="449" customWidth="1"/>
    <col min="3084" max="3084" width="11.88671875" style="449" customWidth="1"/>
    <col min="3085" max="3085" width="9.88671875" style="449" customWidth="1"/>
    <col min="3086" max="3087" width="8.88671875" style="449" hidden="1" customWidth="1"/>
    <col min="3088" max="3088" width="9.44140625" style="449" bestFit="1" customWidth="1"/>
    <col min="3089" max="3089" width="9.6640625" style="449" bestFit="1" customWidth="1"/>
    <col min="3090" max="3328" width="8.88671875" style="449"/>
    <col min="3329" max="3329" width="5.109375" style="449" customWidth="1"/>
    <col min="3330" max="3330" width="13.6640625" style="449" customWidth="1"/>
    <col min="3331" max="3331" width="9.5546875" style="449" bestFit="1" customWidth="1"/>
    <col min="3332" max="3332" width="8.109375" style="449" customWidth="1"/>
    <col min="3333" max="3333" width="10.109375" style="449" bestFit="1" customWidth="1"/>
    <col min="3334" max="3335" width="8.88671875" style="449" hidden="1" customWidth="1"/>
    <col min="3336" max="3337" width="9.5546875" style="449" bestFit="1" customWidth="1"/>
    <col min="3338" max="3338" width="8.6640625" style="449" customWidth="1"/>
    <col min="3339" max="3339" width="8.44140625" style="449" customWidth="1"/>
    <col min="3340" max="3340" width="11.88671875" style="449" customWidth="1"/>
    <col min="3341" max="3341" width="9.88671875" style="449" customWidth="1"/>
    <col min="3342" max="3343" width="8.88671875" style="449" hidden="1" customWidth="1"/>
    <col min="3344" max="3344" width="9.44140625" style="449" bestFit="1" customWidth="1"/>
    <col min="3345" max="3345" width="9.6640625" style="449" bestFit="1" customWidth="1"/>
    <col min="3346" max="3584" width="8.88671875" style="449"/>
    <col min="3585" max="3585" width="5.109375" style="449" customWidth="1"/>
    <col min="3586" max="3586" width="13.6640625" style="449" customWidth="1"/>
    <col min="3587" max="3587" width="9.5546875" style="449" bestFit="1" customWidth="1"/>
    <col min="3588" max="3588" width="8.109375" style="449" customWidth="1"/>
    <col min="3589" max="3589" width="10.109375" style="449" bestFit="1" customWidth="1"/>
    <col min="3590" max="3591" width="8.88671875" style="449" hidden="1" customWidth="1"/>
    <col min="3592" max="3593" width="9.5546875" style="449" bestFit="1" customWidth="1"/>
    <col min="3594" max="3594" width="8.6640625" style="449" customWidth="1"/>
    <col min="3595" max="3595" width="8.44140625" style="449" customWidth="1"/>
    <col min="3596" max="3596" width="11.88671875" style="449" customWidth="1"/>
    <col min="3597" max="3597" width="9.88671875" style="449" customWidth="1"/>
    <col min="3598" max="3599" width="8.88671875" style="449" hidden="1" customWidth="1"/>
    <col min="3600" max="3600" width="9.44140625" style="449" bestFit="1" customWidth="1"/>
    <col min="3601" max="3601" width="9.6640625" style="449" bestFit="1" customWidth="1"/>
    <col min="3602" max="3840" width="8.88671875" style="449"/>
    <col min="3841" max="3841" width="5.109375" style="449" customWidth="1"/>
    <col min="3842" max="3842" width="13.6640625" style="449" customWidth="1"/>
    <col min="3843" max="3843" width="9.5546875" style="449" bestFit="1" customWidth="1"/>
    <col min="3844" max="3844" width="8.109375" style="449" customWidth="1"/>
    <col min="3845" max="3845" width="10.109375" style="449" bestFit="1" customWidth="1"/>
    <col min="3846" max="3847" width="8.88671875" style="449" hidden="1" customWidth="1"/>
    <col min="3848" max="3849" width="9.5546875" style="449" bestFit="1" customWidth="1"/>
    <col min="3850" max="3850" width="8.6640625" style="449" customWidth="1"/>
    <col min="3851" max="3851" width="8.44140625" style="449" customWidth="1"/>
    <col min="3852" max="3852" width="11.88671875" style="449" customWidth="1"/>
    <col min="3853" max="3853" width="9.88671875" style="449" customWidth="1"/>
    <col min="3854" max="3855" width="8.88671875" style="449" hidden="1" customWidth="1"/>
    <col min="3856" max="3856" width="9.44140625" style="449" bestFit="1" customWidth="1"/>
    <col min="3857" max="3857" width="9.6640625" style="449" bestFit="1" customWidth="1"/>
    <col min="3858" max="4096" width="8.88671875" style="449"/>
    <col min="4097" max="4097" width="5.109375" style="449" customWidth="1"/>
    <col min="4098" max="4098" width="13.6640625" style="449" customWidth="1"/>
    <col min="4099" max="4099" width="9.5546875" style="449" bestFit="1" customWidth="1"/>
    <col min="4100" max="4100" width="8.109375" style="449" customWidth="1"/>
    <col min="4101" max="4101" width="10.109375" style="449" bestFit="1" customWidth="1"/>
    <col min="4102" max="4103" width="8.88671875" style="449" hidden="1" customWidth="1"/>
    <col min="4104" max="4105" width="9.5546875" style="449" bestFit="1" customWidth="1"/>
    <col min="4106" max="4106" width="8.6640625" style="449" customWidth="1"/>
    <col min="4107" max="4107" width="8.44140625" style="449" customWidth="1"/>
    <col min="4108" max="4108" width="11.88671875" style="449" customWidth="1"/>
    <col min="4109" max="4109" width="9.88671875" style="449" customWidth="1"/>
    <col min="4110" max="4111" width="8.88671875" style="449" hidden="1" customWidth="1"/>
    <col min="4112" max="4112" width="9.44140625" style="449" bestFit="1" customWidth="1"/>
    <col min="4113" max="4113" width="9.6640625" style="449" bestFit="1" customWidth="1"/>
    <col min="4114" max="4352" width="8.88671875" style="449"/>
    <col min="4353" max="4353" width="5.109375" style="449" customWidth="1"/>
    <col min="4354" max="4354" width="13.6640625" style="449" customWidth="1"/>
    <col min="4355" max="4355" width="9.5546875" style="449" bestFit="1" customWidth="1"/>
    <col min="4356" max="4356" width="8.109375" style="449" customWidth="1"/>
    <col min="4357" max="4357" width="10.109375" style="449" bestFit="1" customWidth="1"/>
    <col min="4358" max="4359" width="8.88671875" style="449" hidden="1" customWidth="1"/>
    <col min="4360" max="4361" width="9.5546875" style="449" bestFit="1" customWidth="1"/>
    <col min="4362" max="4362" width="8.6640625" style="449" customWidth="1"/>
    <col min="4363" max="4363" width="8.44140625" style="449" customWidth="1"/>
    <col min="4364" max="4364" width="11.88671875" style="449" customWidth="1"/>
    <col min="4365" max="4365" width="9.88671875" style="449" customWidth="1"/>
    <col min="4366" max="4367" width="8.88671875" style="449" hidden="1" customWidth="1"/>
    <col min="4368" max="4368" width="9.44140625" style="449" bestFit="1" customWidth="1"/>
    <col min="4369" max="4369" width="9.6640625" style="449" bestFit="1" customWidth="1"/>
    <col min="4370" max="4608" width="8.88671875" style="449"/>
    <col min="4609" max="4609" width="5.109375" style="449" customWidth="1"/>
    <col min="4610" max="4610" width="13.6640625" style="449" customWidth="1"/>
    <col min="4611" max="4611" width="9.5546875" style="449" bestFit="1" customWidth="1"/>
    <col min="4612" max="4612" width="8.109375" style="449" customWidth="1"/>
    <col min="4613" max="4613" width="10.109375" style="449" bestFit="1" customWidth="1"/>
    <col min="4614" max="4615" width="8.88671875" style="449" hidden="1" customWidth="1"/>
    <col min="4616" max="4617" width="9.5546875" style="449" bestFit="1" customWidth="1"/>
    <col min="4618" max="4618" width="8.6640625" style="449" customWidth="1"/>
    <col min="4619" max="4619" width="8.44140625" style="449" customWidth="1"/>
    <col min="4620" max="4620" width="11.88671875" style="449" customWidth="1"/>
    <col min="4621" max="4621" width="9.88671875" style="449" customWidth="1"/>
    <col min="4622" max="4623" width="8.88671875" style="449" hidden="1" customWidth="1"/>
    <col min="4624" max="4624" width="9.44140625" style="449" bestFit="1" customWidth="1"/>
    <col min="4625" max="4625" width="9.6640625" style="449" bestFit="1" customWidth="1"/>
    <col min="4626" max="4864" width="8.88671875" style="449"/>
    <col min="4865" max="4865" width="5.109375" style="449" customWidth="1"/>
    <col min="4866" max="4866" width="13.6640625" style="449" customWidth="1"/>
    <col min="4867" max="4867" width="9.5546875" style="449" bestFit="1" customWidth="1"/>
    <col min="4868" max="4868" width="8.109375" style="449" customWidth="1"/>
    <col min="4869" max="4869" width="10.109375" style="449" bestFit="1" customWidth="1"/>
    <col min="4870" max="4871" width="8.88671875" style="449" hidden="1" customWidth="1"/>
    <col min="4872" max="4873" width="9.5546875" style="449" bestFit="1" customWidth="1"/>
    <col min="4874" max="4874" width="8.6640625" style="449" customWidth="1"/>
    <col min="4875" max="4875" width="8.44140625" style="449" customWidth="1"/>
    <col min="4876" max="4876" width="11.88671875" style="449" customWidth="1"/>
    <col min="4877" max="4877" width="9.88671875" style="449" customWidth="1"/>
    <col min="4878" max="4879" width="8.88671875" style="449" hidden="1" customWidth="1"/>
    <col min="4880" max="4880" width="9.44140625" style="449" bestFit="1" customWidth="1"/>
    <col min="4881" max="4881" width="9.6640625" style="449" bestFit="1" customWidth="1"/>
    <col min="4882" max="5120" width="8.88671875" style="449"/>
    <col min="5121" max="5121" width="5.109375" style="449" customWidth="1"/>
    <col min="5122" max="5122" width="13.6640625" style="449" customWidth="1"/>
    <col min="5123" max="5123" width="9.5546875" style="449" bestFit="1" customWidth="1"/>
    <col min="5124" max="5124" width="8.109375" style="449" customWidth="1"/>
    <col min="5125" max="5125" width="10.109375" style="449" bestFit="1" customWidth="1"/>
    <col min="5126" max="5127" width="8.88671875" style="449" hidden="1" customWidth="1"/>
    <col min="5128" max="5129" width="9.5546875" style="449" bestFit="1" customWidth="1"/>
    <col min="5130" max="5130" width="8.6640625" style="449" customWidth="1"/>
    <col min="5131" max="5131" width="8.44140625" style="449" customWidth="1"/>
    <col min="5132" max="5132" width="11.88671875" style="449" customWidth="1"/>
    <col min="5133" max="5133" width="9.88671875" style="449" customWidth="1"/>
    <col min="5134" max="5135" width="8.88671875" style="449" hidden="1" customWidth="1"/>
    <col min="5136" max="5136" width="9.44140625" style="449" bestFit="1" customWidth="1"/>
    <col min="5137" max="5137" width="9.6640625" style="449" bestFit="1" customWidth="1"/>
    <col min="5138" max="5376" width="8.88671875" style="449"/>
    <col min="5377" max="5377" width="5.109375" style="449" customWidth="1"/>
    <col min="5378" max="5378" width="13.6640625" style="449" customWidth="1"/>
    <col min="5379" max="5379" width="9.5546875" style="449" bestFit="1" customWidth="1"/>
    <col min="5380" max="5380" width="8.109375" style="449" customWidth="1"/>
    <col min="5381" max="5381" width="10.109375" style="449" bestFit="1" customWidth="1"/>
    <col min="5382" max="5383" width="8.88671875" style="449" hidden="1" customWidth="1"/>
    <col min="5384" max="5385" width="9.5546875" style="449" bestFit="1" customWidth="1"/>
    <col min="5386" max="5386" width="8.6640625" style="449" customWidth="1"/>
    <col min="5387" max="5387" width="8.44140625" style="449" customWidth="1"/>
    <col min="5388" max="5388" width="11.88671875" style="449" customWidth="1"/>
    <col min="5389" max="5389" width="9.88671875" style="449" customWidth="1"/>
    <col min="5390" max="5391" width="8.88671875" style="449" hidden="1" customWidth="1"/>
    <col min="5392" max="5392" width="9.44140625" style="449" bestFit="1" customWidth="1"/>
    <col min="5393" max="5393" width="9.6640625" style="449" bestFit="1" customWidth="1"/>
    <col min="5394" max="5632" width="8.88671875" style="449"/>
    <col min="5633" max="5633" width="5.109375" style="449" customWidth="1"/>
    <col min="5634" max="5634" width="13.6640625" style="449" customWidth="1"/>
    <col min="5635" max="5635" width="9.5546875" style="449" bestFit="1" customWidth="1"/>
    <col min="5636" max="5636" width="8.109375" style="449" customWidth="1"/>
    <col min="5637" max="5637" width="10.109375" style="449" bestFit="1" customWidth="1"/>
    <col min="5638" max="5639" width="8.88671875" style="449" hidden="1" customWidth="1"/>
    <col min="5640" max="5641" width="9.5546875" style="449" bestFit="1" customWidth="1"/>
    <col min="5642" max="5642" width="8.6640625" style="449" customWidth="1"/>
    <col min="5643" max="5643" width="8.44140625" style="449" customWidth="1"/>
    <col min="5644" max="5644" width="11.88671875" style="449" customWidth="1"/>
    <col min="5645" max="5645" width="9.88671875" style="449" customWidth="1"/>
    <col min="5646" max="5647" width="8.88671875" style="449" hidden="1" customWidth="1"/>
    <col min="5648" max="5648" width="9.44140625" style="449" bestFit="1" customWidth="1"/>
    <col min="5649" max="5649" width="9.6640625" style="449" bestFit="1" customWidth="1"/>
    <col min="5650" max="5888" width="8.88671875" style="449"/>
    <col min="5889" max="5889" width="5.109375" style="449" customWidth="1"/>
    <col min="5890" max="5890" width="13.6640625" style="449" customWidth="1"/>
    <col min="5891" max="5891" width="9.5546875" style="449" bestFit="1" customWidth="1"/>
    <col min="5892" max="5892" width="8.109375" style="449" customWidth="1"/>
    <col min="5893" max="5893" width="10.109375" style="449" bestFit="1" customWidth="1"/>
    <col min="5894" max="5895" width="8.88671875" style="449" hidden="1" customWidth="1"/>
    <col min="5896" max="5897" width="9.5546875" style="449" bestFit="1" customWidth="1"/>
    <col min="5898" max="5898" width="8.6640625" style="449" customWidth="1"/>
    <col min="5899" max="5899" width="8.44140625" style="449" customWidth="1"/>
    <col min="5900" max="5900" width="11.88671875" style="449" customWidth="1"/>
    <col min="5901" max="5901" width="9.88671875" style="449" customWidth="1"/>
    <col min="5902" max="5903" width="8.88671875" style="449" hidden="1" customWidth="1"/>
    <col min="5904" max="5904" width="9.44140625" style="449" bestFit="1" customWidth="1"/>
    <col min="5905" max="5905" width="9.6640625" style="449" bestFit="1" customWidth="1"/>
    <col min="5906" max="6144" width="8.88671875" style="449"/>
    <col min="6145" max="6145" width="5.109375" style="449" customWidth="1"/>
    <col min="6146" max="6146" width="13.6640625" style="449" customWidth="1"/>
    <col min="6147" max="6147" width="9.5546875" style="449" bestFit="1" customWidth="1"/>
    <col min="6148" max="6148" width="8.109375" style="449" customWidth="1"/>
    <col min="6149" max="6149" width="10.109375" style="449" bestFit="1" customWidth="1"/>
    <col min="6150" max="6151" width="8.88671875" style="449" hidden="1" customWidth="1"/>
    <col min="6152" max="6153" width="9.5546875" style="449" bestFit="1" customWidth="1"/>
    <col min="6154" max="6154" width="8.6640625" style="449" customWidth="1"/>
    <col min="6155" max="6155" width="8.44140625" style="449" customWidth="1"/>
    <col min="6156" max="6156" width="11.88671875" style="449" customWidth="1"/>
    <col min="6157" max="6157" width="9.88671875" style="449" customWidth="1"/>
    <col min="6158" max="6159" width="8.88671875" style="449" hidden="1" customWidth="1"/>
    <col min="6160" max="6160" width="9.44140625" style="449" bestFit="1" customWidth="1"/>
    <col min="6161" max="6161" width="9.6640625" style="449" bestFit="1" customWidth="1"/>
    <col min="6162" max="6400" width="8.88671875" style="449"/>
    <col min="6401" max="6401" width="5.109375" style="449" customWidth="1"/>
    <col min="6402" max="6402" width="13.6640625" style="449" customWidth="1"/>
    <col min="6403" max="6403" width="9.5546875" style="449" bestFit="1" customWidth="1"/>
    <col min="6404" max="6404" width="8.109375" style="449" customWidth="1"/>
    <col min="6405" max="6405" width="10.109375" style="449" bestFit="1" customWidth="1"/>
    <col min="6406" max="6407" width="8.88671875" style="449" hidden="1" customWidth="1"/>
    <col min="6408" max="6409" width="9.5546875" style="449" bestFit="1" customWidth="1"/>
    <col min="6410" max="6410" width="8.6640625" style="449" customWidth="1"/>
    <col min="6411" max="6411" width="8.44140625" style="449" customWidth="1"/>
    <col min="6412" max="6412" width="11.88671875" style="449" customWidth="1"/>
    <col min="6413" max="6413" width="9.88671875" style="449" customWidth="1"/>
    <col min="6414" max="6415" width="8.88671875" style="449" hidden="1" customWidth="1"/>
    <col min="6416" max="6416" width="9.44140625" style="449" bestFit="1" customWidth="1"/>
    <col min="6417" max="6417" width="9.6640625" style="449" bestFit="1" customWidth="1"/>
    <col min="6418" max="6656" width="8.88671875" style="449"/>
    <col min="6657" max="6657" width="5.109375" style="449" customWidth="1"/>
    <col min="6658" max="6658" width="13.6640625" style="449" customWidth="1"/>
    <col min="6659" max="6659" width="9.5546875" style="449" bestFit="1" customWidth="1"/>
    <col min="6660" max="6660" width="8.109375" style="449" customWidth="1"/>
    <col min="6661" max="6661" width="10.109375" style="449" bestFit="1" customWidth="1"/>
    <col min="6662" max="6663" width="8.88671875" style="449" hidden="1" customWidth="1"/>
    <col min="6664" max="6665" width="9.5546875" style="449" bestFit="1" customWidth="1"/>
    <col min="6666" max="6666" width="8.6640625" style="449" customWidth="1"/>
    <col min="6667" max="6667" width="8.44140625" style="449" customWidth="1"/>
    <col min="6668" max="6668" width="11.88671875" style="449" customWidth="1"/>
    <col min="6669" max="6669" width="9.88671875" style="449" customWidth="1"/>
    <col min="6670" max="6671" width="8.88671875" style="449" hidden="1" customWidth="1"/>
    <col min="6672" max="6672" width="9.44140625" style="449" bestFit="1" customWidth="1"/>
    <col min="6673" max="6673" width="9.6640625" style="449" bestFit="1" customWidth="1"/>
    <col min="6674" max="6912" width="8.88671875" style="449"/>
    <col min="6913" max="6913" width="5.109375" style="449" customWidth="1"/>
    <col min="6914" max="6914" width="13.6640625" style="449" customWidth="1"/>
    <col min="6915" max="6915" width="9.5546875" style="449" bestFit="1" customWidth="1"/>
    <col min="6916" max="6916" width="8.109375" style="449" customWidth="1"/>
    <col min="6917" max="6917" width="10.109375" style="449" bestFit="1" customWidth="1"/>
    <col min="6918" max="6919" width="8.88671875" style="449" hidden="1" customWidth="1"/>
    <col min="6920" max="6921" width="9.5546875" style="449" bestFit="1" customWidth="1"/>
    <col min="6922" max="6922" width="8.6640625" style="449" customWidth="1"/>
    <col min="6923" max="6923" width="8.44140625" style="449" customWidth="1"/>
    <col min="6924" max="6924" width="11.88671875" style="449" customWidth="1"/>
    <col min="6925" max="6925" width="9.88671875" style="449" customWidth="1"/>
    <col min="6926" max="6927" width="8.88671875" style="449" hidden="1" customWidth="1"/>
    <col min="6928" max="6928" width="9.44140625" style="449" bestFit="1" customWidth="1"/>
    <col min="6929" max="6929" width="9.6640625" style="449" bestFit="1" customWidth="1"/>
    <col min="6930" max="7168" width="8.88671875" style="449"/>
    <col min="7169" max="7169" width="5.109375" style="449" customWidth="1"/>
    <col min="7170" max="7170" width="13.6640625" style="449" customWidth="1"/>
    <col min="7171" max="7171" width="9.5546875" style="449" bestFit="1" customWidth="1"/>
    <col min="7172" max="7172" width="8.109375" style="449" customWidth="1"/>
    <col min="7173" max="7173" width="10.109375" style="449" bestFit="1" customWidth="1"/>
    <col min="7174" max="7175" width="8.88671875" style="449" hidden="1" customWidth="1"/>
    <col min="7176" max="7177" width="9.5546875" style="449" bestFit="1" customWidth="1"/>
    <col min="7178" max="7178" width="8.6640625" style="449" customWidth="1"/>
    <col min="7179" max="7179" width="8.44140625" style="449" customWidth="1"/>
    <col min="7180" max="7180" width="11.88671875" style="449" customWidth="1"/>
    <col min="7181" max="7181" width="9.88671875" style="449" customWidth="1"/>
    <col min="7182" max="7183" width="8.88671875" style="449" hidden="1" customWidth="1"/>
    <col min="7184" max="7184" width="9.44140625" style="449" bestFit="1" customWidth="1"/>
    <col min="7185" max="7185" width="9.6640625" style="449" bestFit="1" customWidth="1"/>
    <col min="7186" max="7424" width="8.88671875" style="449"/>
    <col min="7425" max="7425" width="5.109375" style="449" customWidth="1"/>
    <col min="7426" max="7426" width="13.6640625" style="449" customWidth="1"/>
    <col min="7427" max="7427" width="9.5546875" style="449" bestFit="1" customWidth="1"/>
    <col min="7428" max="7428" width="8.109375" style="449" customWidth="1"/>
    <col min="7429" max="7429" width="10.109375" style="449" bestFit="1" customWidth="1"/>
    <col min="7430" max="7431" width="8.88671875" style="449" hidden="1" customWidth="1"/>
    <col min="7432" max="7433" width="9.5546875" style="449" bestFit="1" customWidth="1"/>
    <col min="7434" max="7434" width="8.6640625" style="449" customWidth="1"/>
    <col min="7435" max="7435" width="8.44140625" style="449" customWidth="1"/>
    <col min="7436" max="7436" width="11.88671875" style="449" customWidth="1"/>
    <col min="7437" max="7437" width="9.88671875" style="449" customWidth="1"/>
    <col min="7438" max="7439" width="8.88671875" style="449" hidden="1" customWidth="1"/>
    <col min="7440" max="7440" width="9.44140625" style="449" bestFit="1" customWidth="1"/>
    <col min="7441" max="7441" width="9.6640625" style="449" bestFit="1" customWidth="1"/>
    <col min="7442" max="7680" width="8.88671875" style="449"/>
    <col min="7681" max="7681" width="5.109375" style="449" customWidth="1"/>
    <col min="7682" max="7682" width="13.6640625" style="449" customWidth="1"/>
    <col min="7683" max="7683" width="9.5546875" style="449" bestFit="1" customWidth="1"/>
    <col min="7684" max="7684" width="8.109375" style="449" customWidth="1"/>
    <col min="7685" max="7685" width="10.109375" style="449" bestFit="1" customWidth="1"/>
    <col min="7686" max="7687" width="8.88671875" style="449" hidden="1" customWidth="1"/>
    <col min="7688" max="7689" width="9.5546875" style="449" bestFit="1" customWidth="1"/>
    <col min="7690" max="7690" width="8.6640625" style="449" customWidth="1"/>
    <col min="7691" max="7691" width="8.44140625" style="449" customWidth="1"/>
    <col min="7692" max="7692" width="11.88671875" style="449" customWidth="1"/>
    <col min="7693" max="7693" width="9.88671875" style="449" customWidth="1"/>
    <col min="7694" max="7695" width="8.88671875" style="449" hidden="1" customWidth="1"/>
    <col min="7696" max="7696" width="9.44140625" style="449" bestFit="1" customWidth="1"/>
    <col min="7697" max="7697" width="9.6640625" style="449" bestFit="1" customWidth="1"/>
    <col min="7698" max="7936" width="8.88671875" style="449"/>
    <col min="7937" max="7937" width="5.109375" style="449" customWidth="1"/>
    <col min="7938" max="7938" width="13.6640625" style="449" customWidth="1"/>
    <col min="7939" max="7939" width="9.5546875" style="449" bestFit="1" customWidth="1"/>
    <col min="7940" max="7940" width="8.109375" style="449" customWidth="1"/>
    <col min="7941" max="7941" width="10.109375" style="449" bestFit="1" customWidth="1"/>
    <col min="7942" max="7943" width="8.88671875" style="449" hidden="1" customWidth="1"/>
    <col min="7944" max="7945" width="9.5546875" style="449" bestFit="1" customWidth="1"/>
    <col min="7946" max="7946" width="8.6640625" style="449" customWidth="1"/>
    <col min="7947" max="7947" width="8.44140625" style="449" customWidth="1"/>
    <col min="7948" max="7948" width="11.88671875" style="449" customWidth="1"/>
    <col min="7949" max="7949" width="9.88671875" style="449" customWidth="1"/>
    <col min="7950" max="7951" width="8.88671875" style="449" hidden="1" customWidth="1"/>
    <col min="7952" max="7952" width="9.44140625" style="449" bestFit="1" customWidth="1"/>
    <col min="7953" max="7953" width="9.6640625" style="449" bestFit="1" customWidth="1"/>
    <col min="7954" max="8192" width="8.88671875" style="449"/>
    <col min="8193" max="8193" width="5.109375" style="449" customWidth="1"/>
    <col min="8194" max="8194" width="13.6640625" style="449" customWidth="1"/>
    <col min="8195" max="8195" width="9.5546875" style="449" bestFit="1" customWidth="1"/>
    <col min="8196" max="8196" width="8.109375" style="449" customWidth="1"/>
    <col min="8197" max="8197" width="10.109375" style="449" bestFit="1" customWidth="1"/>
    <col min="8198" max="8199" width="8.88671875" style="449" hidden="1" customWidth="1"/>
    <col min="8200" max="8201" width="9.5546875" style="449" bestFit="1" customWidth="1"/>
    <col min="8202" max="8202" width="8.6640625" style="449" customWidth="1"/>
    <col min="8203" max="8203" width="8.44140625" style="449" customWidth="1"/>
    <col min="8204" max="8204" width="11.88671875" style="449" customWidth="1"/>
    <col min="8205" max="8205" width="9.88671875" style="449" customWidth="1"/>
    <col min="8206" max="8207" width="8.88671875" style="449" hidden="1" customWidth="1"/>
    <col min="8208" max="8208" width="9.44140625" style="449" bestFit="1" customWidth="1"/>
    <col min="8209" max="8209" width="9.6640625" style="449" bestFit="1" customWidth="1"/>
    <col min="8210" max="8448" width="8.88671875" style="449"/>
    <col min="8449" max="8449" width="5.109375" style="449" customWidth="1"/>
    <col min="8450" max="8450" width="13.6640625" style="449" customWidth="1"/>
    <col min="8451" max="8451" width="9.5546875" style="449" bestFit="1" customWidth="1"/>
    <col min="8452" max="8452" width="8.109375" style="449" customWidth="1"/>
    <col min="8453" max="8453" width="10.109375" style="449" bestFit="1" customWidth="1"/>
    <col min="8454" max="8455" width="8.88671875" style="449" hidden="1" customWidth="1"/>
    <col min="8456" max="8457" width="9.5546875" style="449" bestFit="1" customWidth="1"/>
    <col min="8458" max="8458" width="8.6640625" style="449" customWidth="1"/>
    <col min="8459" max="8459" width="8.44140625" style="449" customWidth="1"/>
    <col min="8460" max="8460" width="11.88671875" style="449" customWidth="1"/>
    <col min="8461" max="8461" width="9.88671875" style="449" customWidth="1"/>
    <col min="8462" max="8463" width="8.88671875" style="449" hidden="1" customWidth="1"/>
    <col min="8464" max="8464" width="9.44140625" style="449" bestFit="1" customWidth="1"/>
    <col min="8465" max="8465" width="9.6640625" style="449" bestFit="1" customWidth="1"/>
    <col min="8466" max="8704" width="8.88671875" style="449"/>
    <col min="8705" max="8705" width="5.109375" style="449" customWidth="1"/>
    <col min="8706" max="8706" width="13.6640625" style="449" customWidth="1"/>
    <col min="8707" max="8707" width="9.5546875" style="449" bestFit="1" customWidth="1"/>
    <col min="8708" max="8708" width="8.109375" style="449" customWidth="1"/>
    <col min="8709" max="8709" width="10.109375" style="449" bestFit="1" customWidth="1"/>
    <col min="8710" max="8711" width="8.88671875" style="449" hidden="1" customWidth="1"/>
    <col min="8712" max="8713" width="9.5546875" style="449" bestFit="1" customWidth="1"/>
    <col min="8714" max="8714" width="8.6640625" style="449" customWidth="1"/>
    <col min="8715" max="8715" width="8.44140625" style="449" customWidth="1"/>
    <col min="8716" max="8716" width="11.88671875" style="449" customWidth="1"/>
    <col min="8717" max="8717" width="9.88671875" style="449" customWidth="1"/>
    <col min="8718" max="8719" width="8.88671875" style="449" hidden="1" customWidth="1"/>
    <col min="8720" max="8720" width="9.44140625" style="449" bestFit="1" customWidth="1"/>
    <col min="8721" max="8721" width="9.6640625" style="449" bestFit="1" customWidth="1"/>
    <col min="8722" max="8960" width="8.88671875" style="449"/>
    <col min="8961" max="8961" width="5.109375" style="449" customWidth="1"/>
    <col min="8962" max="8962" width="13.6640625" style="449" customWidth="1"/>
    <col min="8963" max="8963" width="9.5546875" style="449" bestFit="1" customWidth="1"/>
    <col min="8964" max="8964" width="8.109375" style="449" customWidth="1"/>
    <col min="8965" max="8965" width="10.109375" style="449" bestFit="1" customWidth="1"/>
    <col min="8966" max="8967" width="8.88671875" style="449" hidden="1" customWidth="1"/>
    <col min="8968" max="8969" width="9.5546875" style="449" bestFit="1" customWidth="1"/>
    <col min="8970" max="8970" width="8.6640625" style="449" customWidth="1"/>
    <col min="8971" max="8971" width="8.44140625" style="449" customWidth="1"/>
    <col min="8972" max="8972" width="11.88671875" style="449" customWidth="1"/>
    <col min="8973" max="8973" width="9.88671875" style="449" customWidth="1"/>
    <col min="8974" max="8975" width="8.88671875" style="449" hidden="1" customWidth="1"/>
    <col min="8976" max="8976" width="9.44140625" style="449" bestFit="1" customWidth="1"/>
    <col min="8977" max="8977" width="9.6640625" style="449" bestFit="1" customWidth="1"/>
    <col min="8978" max="9216" width="8.88671875" style="449"/>
    <col min="9217" max="9217" width="5.109375" style="449" customWidth="1"/>
    <col min="9218" max="9218" width="13.6640625" style="449" customWidth="1"/>
    <col min="9219" max="9219" width="9.5546875" style="449" bestFit="1" customWidth="1"/>
    <col min="9220" max="9220" width="8.109375" style="449" customWidth="1"/>
    <col min="9221" max="9221" width="10.109375" style="449" bestFit="1" customWidth="1"/>
    <col min="9222" max="9223" width="8.88671875" style="449" hidden="1" customWidth="1"/>
    <col min="9224" max="9225" width="9.5546875" style="449" bestFit="1" customWidth="1"/>
    <col min="9226" max="9226" width="8.6640625" style="449" customWidth="1"/>
    <col min="9227" max="9227" width="8.44140625" style="449" customWidth="1"/>
    <col min="9228" max="9228" width="11.88671875" style="449" customWidth="1"/>
    <col min="9229" max="9229" width="9.88671875" style="449" customWidth="1"/>
    <col min="9230" max="9231" width="8.88671875" style="449" hidden="1" customWidth="1"/>
    <col min="9232" max="9232" width="9.44140625" style="449" bestFit="1" customWidth="1"/>
    <col min="9233" max="9233" width="9.6640625" style="449" bestFit="1" customWidth="1"/>
    <col min="9234" max="9472" width="8.88671875" style="449"/>
    <col min="9473" max="9473" width="5.109375" style="449" customWidth="1"/>
    <col min="9474" max="9474" width="13.6640625" style="449" customWidth="1"/>
    <col min="9475" max="9475" width="9.5546875" style="449" bestFit="1" customWidth="1"/>
    <col min="9476" max="9476" width="8.109375" style="449" customWidth="1"/>
    <col min="9477" max="9477" width="10.109375" style="449" bestFit="1" customWidth="1"/>
    <col min="9478" max="9479" width="8.88671875" style="449" hidden="1" customWidth="1"/>
    <col min="9480" max="9481" width="9.5546875" style="449" bestFit="1" customWidth="1"/>
    <col min="9482" max="9482" width="8.6640625" style="449" customWidth="1"/>
    <col min="9483" max="9483" width="8.44140625" style="449" customWidth="1"/>
    <col min="9484" max="9484" width="11.88671875" style="449" customWidth="1"/>
    <col min="9485" max="9485" width="9.88671875" style="449" customWidth="1"/>
    <col min="9486" max="9487" width="8.88671875" style="449" hidden="1" customWidth="1"/>
    <col min="9488" max="9488" width="9.44140625" style="449" bestFit="1" customWidth="1"/>
    <col min="9489" max="9489" width="9.6640625" style="449" bestFit="1" customWidth="1"/>
    <col min="9490" max="9728" width="8.88671875" style="449"/>
    <col min="9729" max="9729" width="5.109375" style="449" customWidth="1"/>
    <col min="9730" max="9730" width="13.6640625" style="449" customWidth="1"/>
    <col min="9731" max="9731" width="9.5546875" style="449" bestFit="1" customWidth="1"/>
    <col min="9732" max="9732" width="8.109375" style="449" customWidth="1"/>
    <col min="9733" max="9733" width="10.109375" style="449" bestFit="1" customWidth="1"/>
    <col min="9734" max="9735" width="8.88671875" style="449" hidden="1" customWidth="1"/>
    <col min="9736" max="9737" width="9.5546875" style="449" bestFit="1" customWidth="1"/>
    <col min="9738" max="9738" width="8.6640625" style="449" customWidth="1"/>
    <col min="9739" max="9739" width="8.44140625" style="449" customWidth="1"/>
    <col min="9740" max="9740" width="11.88671875" style="449" customWidth="1"/>
    <col min="9741" max="9741" width="9.88671875" style="449" customWidth="1"/>
    <col min="9742" max="9743" width="8.88671875" style="449" hidden="1" customWidth="1"/>
    <col min="9744" max="9744" width="9.44140625" style="449" bestFit="1" customWidth="1"/>
    <col min="9745" max="9745" width="9.6640625" style="449" bestFit="1" customWidth="1"/>
    <col min="9746" max="9984" width="8.88671875" style="449"/>
    <col min="9985" max="9985" width="5.109375" style="449" customWidth="1"/>
    <col min="9986" max="9986" width="13.6640625" style="449" customWidth="1"/>
    <col min="9987" max="9987" width="9.5546875" style="449" bestFit="1" customWidth="1"/>
    <col min="9988" max="9988" width="8.109375" style="449" customWidth="1"/>
    <col min="9989" max="9989" width="10.109375" style="449" bestFit="1" customWidth="1"/>
    <col min="9990" max="9991" width="8.88671875" style="449" hidden="1" customWidth="1"/>
    <col min="9992" max="9993" width="9.5546875" style="449" bestFit="1" customWidth="1"/>
    <col min="9994" max="9994" width="8.6640625" style="449" customWidth="1"/>
    <col min="9995" max="9995" width="8.44140625" style="449" customWidth="1"/>
    <col min="9996" max="9996" width="11.88671875" style="449" customWidth="1"/>
    <col min="9997" max="9997" width="9.88671875" style="449" customWidth="1"/>
    <col min="9998" max="9999" width="8.88671875" style="449" hidden="1" customWidth="1"/>
    <col min="10000" max="10000" width="9.44140625" style="449" bestFit="1" customWidth="1"/>
    <col min="10001" max="10001" width="9.6640625" style="449" bestFit="1" customWidth="1"/>
    <col min="10002" max="10240" width="8.88671875" style="449"/>
    <col min="10241" max="10241" width="5.109375" style="449" customWidth="1"/>
    <col min="10242" max="10242" width="13.6640625" style="449" customWidth="1"/>
    <col min="10243" max="10243" width="9.5546875" style="449" bestFit="1" customWidth="1"/>
    <col min="10244" max="10244" width="8.109375" style="449" customWidth="1"/>
    <col min="10245" max="10245" width="10.109375" style="449" bestFit="1" customWidth="1"/>
    <col min="10246" max="10247" width="8.88671875" style="449" hidden="1" customWidth="1"/>
    <col min="10248" max="10249" width="9.5546875" style="449" bestFit="1" customWidth="1"/>
    <col min="10250" max="10250" width="8.6640625" style="449" customWidth="1"/>
    <col min="10251" max="10251" width="8.44140625" style="449" customWidth="1"/>
    <col min="10252" max="10252" width="11.88671875" style="449" customWidth="1"/>
    <col min="10253" max="10253" width="9.88671875" style="449" customWidth="1"/>
    <col min="10254" max="10255" width="8.88671875" style="449" hidden="1" customWidth="1"/>
    <col min="10256" max="10256" width="9.44140625" style="449" bestFit="1" customWidth="1"/>
    <col min="10257" max="10257" width="9.6640625" style="449" bestFit="1" customWidth="1"/>
    <col min="10258" max="10496" width="8.88671875" style="449"/>
    <col min="10497" max="10497" width="5.109375" style="449" customWidth="1"/>
    <col min="10498" max="10498" width="13.6640625" style="449" customWidth="1"/>
    <col min="10499" max="10499" width="9.5546875" style="449" bestFit="1" customWidth="1"/>
    <col min="10500" max="10500" width="8.109375" style="449" customWidth="1"/>
    <col min="10501" max="10501" width="10.109375" style="449" bestFit="1" customWidth="1"/>
    <col min="10502" max="10503" width="8.88671875" style="449" hidden="1" customWidth="1"/>
    <col min="10504" max="10505" width="9.5546875" style="449" bestFit="1" customWidth="1"/>
    <col min="10506" max="10506" width="8.6640625" style="449" customWidth="1"/>
    <col min="10507" max="10507" width="8.44140625" style="449" customWidth="1"/>
    <col min="10508" max="10508" width="11.88671875" style="449" customWidth="1"/>
    <col min="10509" max="10509" width="9.88671875" style="449" customWidth="1"/>
    <col min="10510" max="10511" width="8.88671875" style="449" hidden="1" customWidth="1"/>
    <col min="10512" max="10512" width="9.44140625" style="449" bestFit="1" customWidth="1"/>
    <col min="10513" max="10513" width="9.6640625" style="449" bestFit="1" customWidth="1"/>
    <col min="10514" max="10752" width="8.88671875" style="449"/>
    <col min="10753" max="10753" width="5.109375" style="449" customWidth="1"/>
    <col min="10754" max="10754" width="13.6640625" style="449" customWidth="1"/>
    <col min="10755" max="10755" width="9.5546875" style="449" bestFit="1" customWidth="1"/>
    <col min="10756" max="10756" width="8.109375" style="449" customWidth="1"/>
    <col min="10757" max="10757" width="10.109375" style="449" bestFit="1" customWidth="1"/>
    <col min="10758" max="10759" width="8.88671875" style="449" hidden="1" customWidth="1"/>
    <col min="10760" max="10761" width="9.5546875" style="449" bestFit="1" customWidth="1"/>
    <col min="10762" max="10762" width="8.6640625" style="449" customWidth="1"/>
    <col min="10763" max="10763" width="8.44140625" style="449" customWidth="1"/>
    <col min="10764" max="10764" width="11.88671875" style="449" customWidth="1"/>
    <col min="10765" max="10765" width="9.88671875" style="449" customWidth="1"/>
    <col min="10766" max="10767" width="8.88671875" style="449" hidden="1" customWidth="1"/>
    <col min="10768" max="10768" width="9.44140625" style="449" bestFit="1" customWidth="1"/>
    <col min="10769" max="10769" width="9.6640625" style="449" bestFit="1" customWidth="1"/>
    <col min="10770" max="11008" width="8.88671875" style="449"/>
    <col min="11009" max="11009" width="5.109375" style="449" customWidth="1"/>
    <col min="11010" max="11010" width="13.6640625" style="449" customWidth="1"/>
    <col min="11011" max="11011" width="9.5546875" style="449" bestFit="1" customWidth="1"/>
    <col min="11012" max="11012" width="8.109375" style="449" customWidth="1"/>
    <col min="11013" max="11013" width="10.109375" style="449" bestFit="1" customWidth="1"/>
    <col min="11014" max="11015" width="8.88671875" style="449" hidden="1" customWidth="1"/>
    <col min="11016" max="11017" width="9.5546875" style="449" bestFit="1" customWidth="1"/>
    <col min="11018" max="11018" width="8.6640625" style="449" customWidth="1"/>
    <col min="11019" max="11019" width="8.44140625" style="449" customWidth="1"/>
    <col min="11020" max="11020" width="11.88671875" style="449" customWidth="1"/>
    <col min="11021" max="11021" width="9.88671875" style="449" customWidth="1"/>
    <col min="11022" max="11023" width="8.88671875" style="449" hidden="1" customWidth="1"/>
    <col min="11024" max="11024" width="9.44140625" style="449" bestFit="1" customWidth="1"/>
    <col min="11025" max="11025" width="9.6640625" style="449" bestFit="1" customWidth="1"/>
    <col min="11026" max="11264" width="8.88671875" style="449"/>
    <col min="11265" max="11265" width="5.109375" style="449" customWidth="1"/>
    <col min="11266" max="11266" width="13.6640625" style="449" customWidth="1"/>
    <col min="11267" max="11267" width="9.5546875" style="449" bestFit="1" customWidth="1"/>
    <col min="11268" max="11268" width="8.109375" style="449" customWidth="1"/>
    <col min="11269" max="11269" width="10.109375" style="449" bestFit="1" customWidth="1"/>
    <col min="11270" max="11271" width="8.88671875" style="449" hidden="1" customWidth="1"/>
    <col min="11272" max="11273" width="9.5546875" style="449" bestFit="1" customWidth="1"/>
    <col min="11274" max="11274" width="8.6640625" style="449" customWidth="1"/>
    <col min="11275" max="11275" width="8.44140625" style="449" customWidth="1"/>
    <col min="11276" max="11276" width="11.88671875" style="449" customWidth="1"/>
    <col min="11277" max="11277" width="9.88671875" style="449" customWidth="1"/>
    <col min="11278" max="11279" width="8.88671875" style="449" hidden="1" customWidth="1"/>
    <col min="11280" max="11280" width="9.44140625" style="449" bestFit="1" customWidth="1"/>
    <col min="11281" max="11281" width="9.6640625" style="449" bestFit="1" customWidth="1"/>
    <col min="11282" max="11520" width="8.88671875" style="449"/>
    <col min="11521" max="11521" width="5.109375" style="449" customWidth="1"/>
    <col min="11522" max="11522" width="13.6640625" style="449" customWidth="1"/>
    <col min="11523" max="11523" width="9.5546875" style="449" bestFit="1" customWidth="1"/>
    <col min="11524" max="11524" width="8.109375" style="449" customWidth="1"/>
    <col min="11525" max="11525" width="10.109375" style="449" bestFit="1" customWidth="1"/>
    <col min="11526" max="11527" width="8.88671875" style="449" hidden="1" customWidth="1"/>
    <col min="11528" max="11529" width="9.5546875" style="449" bestFit="1" customWidth="1"/>
    <col min="11530" max="11530" width="8.6640625" style="449" customWidth="1"/>
    <col min="11531" max="11531" width="8.44140625" style="449" customWidth="1"/>
    <col min="11532" max="11532" width="11.88671875" style="449" customWidth="1"/>
    <col min="11533" max="11533" width="9.88671875" style="449" customWidth="1"/>
    <col min="11534" max="11535" width="8.88671875" style="449" hidden="1" customWidth="1"/>
    <col min="11536" max="11536" width="9.44140625" style="449" bestFit="1" customWidth="1"/>
    <col min="11537" max="11537" width="9.6640625" style="449" bestFit="1" customWidth="1"/>
    <col min="11538" max="11776" width="8.88671875" style="449"/>
    <col min="11777" max="11777" width="5.109375" style="449" customWidth="1"/>
    <col min="11778" max="11778" width="13.6640625" style="449" customWidth="1"/>
    <col min="11779" max="11779" width="9.5546875" style="449" bestFit="1" customWidth="1"/>
    <col min="11780" max="11780" width="8.109375" style="449" customWidth="1"/>
    <col min="11781" max="11781" width="10.109375" style="449" bestFit="1" customWidth="1"/>
    <col min="11782" max="11783" width="8.88671875" style="449" hidden="1" customWidth="1"/>
    <col min="11784" max="11785" width="9.5546875" style="449" bestFit="1" customWidth="1"/>
    <col min="11786" max="11786" width="8.6640625" style="449" customWidth="1"/>
    <col min="11787" max="11787" width="8.44140625" style="449" customWidth="1"/>
    <col min="11788" max="11788" width="11.88671875" style="449" customWidth="1"/>
    <col min="11789" max="11789" width="9.88671875" style="449" customWidth="1"/>
    <col min="11790" max="11791" width="8.88671875" style="449" hidden="1" customWidth="1"/>
    <col min="11792" max="11792" width="9.44140625" style="449" bestFit="1" customWidth="1"/>
    <col min="11793" max="11793" width="9.6640625" style="449" bestFit="1" customWidth="1"/>
    <col min="11794" max="12032" width="8.88671875" style="449"/>
    <col min="12033" max="12033" width="5.109375" style="449" customWidth="1"/>
    <col min="12034" max="12034" width="13.6640625" style="449" customWidth="1"/>
    <col min="12035" max="12035" width="9.5546875" style="449" bestFit="1" customWidth="1"/>
    <col min="12036" max="12036" width="8.109375" style="449" customWidth="1"/>
    <col min="12037" max="12037" width="10.109375" style="449" bestFit="1" customWidth="1"/>
    <col min="12038" max="12039" width="8.88671875" style="449" hidden="1" customWidth="1"/>
    <col min="12040" max="12041" width="9.5546875" style="449" bestFit="1" customWidth="1"/>
    <col min="12042" max="12042" width="8.6640625" style="449" customWidth="1"/>
    <col min="12043" max="12043" width="8.44140625" style="449" customWidth="1"/>
    <col min="12044" max="12044" width="11.88671875" style="449" customWidth="1"/>
    <col min="12045" max="12045" width="9.88671875" style="449" customWidth="1"/>
    <col min="12046" max="12047" width="8.88671875" style="449" hidden="1" customWidth="1"/>
    <col min="12048" max="12048" width="9.44140625" style="449" bestFit="1" customWidth="1"/>
    <col min="12049" max="12049" width="9.6640625" style="449" bestFit="1" customWidth="1"/>
    <col min="12050" max="12288" width="8.88671875" style="449"/>
    <col min="12289" max="12289" width="5.109375" style="449" customWidth="1"/>
    <col min="12290" max="12290" width="13.6640625" style="449" customWidth="1"/>
    <col min="12291" max="12291" width="9.5546875" style="449" bestFit="1" customWidth="1"/>
    <col min="12292" max="12292" width="8.109375" style="449" customWidth="1"/>
    <col min="12293" max="12293" width="10.109375" style="449" bestFit="1" customWidth="1"/>
    <col min="12294" max="12295" width="8.88671875" style="449" hidden="1" customWidth="1"/>
    <col min="12296" max="12297" width="9.5546875" style="449" bestFit="1" customWidth="1"/>
    <col min="12298" max="12298" width="8.6640625" style="449" customWidth="1"/>
    <col min="12299" max="12299" width="8.44140625" style="449" customWidth="1"/>
    <col min="12300" max="12300" width="11.88671875" style="449" customWidth="1"/>
    <col min="12301" max="12301" width="9.88671875" style="449" customWidth="1"/>
    <col min="12302" max="12303" width="8.88671875" style="449" hidden="1" customWidth="1"/>
    <col min="12304" max="12304" width="9.44140625" style="449" bestFit="1" customWidth="1"/>
    <col min="12305" max="12305" width="9.6640625" style="449" bestFit="1" customWidth="1"/>
    <col min="12306" max="12544" width="8.88671875" style="449"/>
    <col min="12545" max="12545" width="5.109375" style="449" customWidth="1"/>
    <col min="12546" max="12546" width="13.6640625" style="449" customWidth="1"/>
    <col min="12547" max="12547" width="9.5546875" style="449" bestFit="1" customWidth="1"/>
    <col min="12548" max="12548" width="8.109375" style="449" customWidth="1"/>
    <col min="12549" max="12549" width="10.109375" style="449" bestFit="1" customWidth="1"/>
    <col min="12550" max="12551" width="8.88671875" style="449" hidden="1" customWidth="1"/>
    <col min="12552" max="12553" width="9.5546875" style="449" bestFit="1" customWidth="1"/>
    <col min="12554" max="12554" width="8.6640625" style="449" customWidth="1"/>
    <col min="12555" max="12555" width="8.44140625" style="449" customWidth="1"/>
    <col min="12556" max="12556" width="11.88671875" style="449" customWidth="1"/>
    <col min="12557" max="12557" width="9.88671875" style="449" customWidth="1"/>
    <col min="12558" max="12559" width="8.88671875" style="449" hidden="1" customWidth="1"/>
    <col min="12560" max="12560" width="9.44140625" style="449" bestFit="1" customWidth="1"/>
    <col min="12561" max="12561" width="9.6640625" style="449" bestFit="1" customWidth="1"/>
    <col min="12562" max="12800" width="8.88671875" style="449"/>
    <col min="12801" max="12801" width="5.109375" style="449" customWidth="1"/>
    <col min="12802" max="12802" width="13.6640625" style="449" customWidth="1"/>
    <col min="12803" max="12803" width="9.5546875" style="449" bestFit="1" customWidth="1"/>
    <col min="12804" max="12804" width="8.109375" style="449" customWidth="1"/>
    <col min="12805" max="12805" width="10.109375" style="449" bestFit="1" customWidth="1"/>
    <col min="12806" max="12807" width="8.88671875" style="449" hidden="1" customWidth="1"/>
    <col min="12808" max="12809" width="9.5546875" style="449" bestFit="1" customWidth="1"/>
    <col min="12810" max="12810" width="8.6640625" style="449" customWidth="1"/>
    <col min="12811" max="12811" width="8.44140625" style="449" customWidth="1"/>
    <col min="12812" max="12812" width="11.88671875" style="449" customWidth="1"/>
    <col min="12813" max="12813" width="9.88671875" style="449" customWidth="1"/>
    <col min="12814" max="12815" width="8.88671875" style="449" hidden="1" customWidth="1"/>
    <col min="12816" max="12816" width="9.44140625" style="449" bestFit="1" customWidth="1"/>
    <col min="12817" max="12817" width="9.6640625" style="449" bestFit="1" customWidth="1"/>
    <col min="12818" max="13056" width="8.88671875" style="449"/>
    <col min="13057" max="13057" width="5.109375" style="449" customWidth="1"/>
    <col min="13058" max="13058" width="13.6640625" style="449" customWidth="1"/>
    <col min="13059" max="13059" width="9.5546875" style="449" bestFit="1" customWidth="1"/>
    <col min="13060" max="13060" width="8.109375" style="449" customWidth="1"/>
    <col min="13061" max="13061" width="10.109375" style="449" bestFit="1" customWidth="1"/>
    <col min="13062" max="13063" width="8.88671875" style="449" hidden="1" customWidth="1"/>
    <col min="13064" max="13065" width="9.5546875" style="449" bestFit="1" customWidth="1"/>
    <col min="13066" max="13066" width="8.6640625" style="449" customWidth="1"/>
    <col min="13067" max="13067" width="8.44140625" style="449" customWidth="1"/>
    <col min="13068" max="13068" width="11.88671875" style="449" customWidth="1"/>
    <col min="13069" max="13069" width="9.88671875" style="449" customWidth="1"/>
    <col min="13070" max="13071" width="8.88671875" style="449" hidden="1" customWidth="1"/>
    <col min="13072" max="13072" width="9.44140625" style="449" bestFit="1" customWidth="1"/>
    <col min="13073" max="13073" width="9.6640625" style="449" bestFit="1" customWidth="1"/>
    <col min="13074" max="13312" width="8.88671875" style="449"/>
    <col min="13313" max="13313" width="5.109375" style="449" customWidth="1"/>
    <col min="13314" max="13314" width="13.6640625" style="449" customWidth="1"/>
    <col min="13315" max="13315" width="9.5546875" style="449" bestFit="1" customWidth="1"/>
    <col min="13316" max="13316" width="8.109375" style="449" customWidth="1"/>
    <col min="13317" max="13317" width="10.109375" style="449" bestFit="1" customWidth="1"/>
    <col min="13318" max="13319" width="8.88671875" style="449" hidden="1" customWidth="1"/>
    <col min="13320" max="13321" width="9.5546875" style="449" bestFit="1" customWidth="1"/>
    <col min="13322" max="13322" width="8.6640625" style="449" customWidth="1"/>
    <col min="13323" max="13323" width="8.44140625" style="449" customWidth="1"/>
    <col min="13324" max="13324" width="11.88671875" style="449" customWidth="1"/>
    <col min="13325" max="13325" width="9.88671875" style="449" customWidth="1"/>
    <col min="13326" max="13327" width="8.88671875" style="449" hidden="1" customWidth="1"/>
    <col min="13328" max="13328" width="9.44140625" style="449" bestFit="1" customWidth="1"/>
    <col min="13329" max="13329" width="9.6640625" style="449" bestFit="1" customWidth="1"/>
    <col min="13330" max="13568" width="8.88671875" style="449"/>
    <col min="13569" max="13569" width="5.109375" style="449" customWidth="1"/>
    <col min="13570" max="13570" width="13.6640625" style="449" customWidth="1"/>
    <col min="13571" max="13571" width="9.5546875" style="449" bestFit="1" customWidth="1"/>
    <col min="13572" max="13572" width="8.109375" style="449" customWidth="1"/>
    <col min="13573" max="13573" width="10.109375" style="449" bestFit="1" customWidth="1"/>
    <col min="13574" max="13575" width="8.88671875" style="449" hidden="1" customWidth="1"/>
    <col min="13576" max="13577" width="9.5546875" style="449" bestFit="1" customWidth="1"/>
    <col min="13578" max="13578" width="8.6640625" style="449" customWidth="1"/>
    <col min="13579" max="13579" width="8.44140625" style="449" customWidth="1"/>
    <col min="13580" max="13580" width="11.88671875" style="449" customWidth="1"/>
    <col min="13581" max="13581" width="9.88671875" style="449" customWidth="1"/>
    <col min="13582" max="13583" width="8.88671875" style="449" hidden="1" customWidth="1"/>
    <col min="13584" max="13584" width="9.44140625" style="449" bestFit="1" customWidth="1"/>
    <col min="13585" max="13585" width="9.6640625" style="449" bestFit="1" customWidth="1"/>
    <col min="13586" max="13824" width="8.88671875" style="449"/>
    <col min="13825" max="13825" width="5.109375" style="449" customWidth="1"/>
    <col min="13826" max="13826" width="13.6640625" style="449" customWidth="1"/>
    <col min="13827" max="13827" width="9.5546875" style="449" bestFit="1" customWidth="1"/>
    <col min="13828" max="13828" width="8.109375" style="449" customWidth="1"/>
    <col min="13829" max="13829" width="10.109375" style="449" bestFit="1" customWidth="1"/>
    <col min="13830" max="13831" width="8.88671875" style="449" hidden="1" customWidth="1"/>
    <col min="13832" max="13833" width="9.5546875" style="449" bestFit="1" customWidth="1"/>
    <col min="13834" max="13834" width="8.6640625" style="449" customWidth="1"/>
    <col min="13835" max="13835" width="8.44140625" style="449" customWidth="1"/>
    <col min="13836" max="13836" width="11.88671875" style="449" customWidth="1"/>
    <col min="13837" max="13837" width="9.88671875" style="449" customWidth="1"/>
    <col min="13838" max="13839" width="8.88671875" style="449" hidden="1" customWidth="1"/>
    <col min="13840" max="13840" width="9.44140625" style="449" bestFit="1" customWidth="1"/>
    <col min="13841" max="13841" width="9.6640625" style="449" bestFit="1" customWidth="1"/>
    <col min="13842" max="14080" width="8.88671875" style="449"/>
    <col min="14081" max="14081" width="5.109375" style="449" customWidth="1"/>
    <col min="14082" max="14082" width="13.6640625" style="449" customWidth="1"/>
    <col min="14083" max="14083" width="9.5546875" style="449" bestFit="1" customWidth="1"/>
    <col min="14084" max="14084" width="8.109375" style="449" customWidth="1"/>
    <col min="14085" max="14085" width="10.109375" style="449" bestFit="1" customWidth="1"/>
    <col min="14086" max="14087" width="8.88671875" style="449" hidden="1" customWidth="1"/>
    <col min="14088" max="14089" width="9.5546875" style="449" bestFit="1" customWidth="1"/>
    <col min="14090" max="14090" width="8.6640625" style="449" customWidth="1"/>
    <col min="14091" max="14091" width="8.44140625" style="449" customWidth="1"/>
    <col min="14092" max="14092" width="11.88671875" style="449" customWidth="1"/>
    <col min="14093" max="14093" width="9.88671875" style="449" customWidth="1"/>
    <col min="14094" max="14095" width="8.88671875" style="449" hidden="1" customWidth="1"/>
    <col min="14096" max="14096" width="9.44140625" style="449" bestFit="1" customWidth="1"/>
    <col min="14097" max="14097" width="9.6640625" style="449" bestFit="1" customWidth="1"/>
    <col min="14098" max="14336" width="8.88671875" style="449"/>
    <col min="14337" max="14337" width="5.109375" style="449" customWidth="1"/>
    <col min="14338" max="14338" width="13.6640625" style="449" customWidth="1"/>
    <col min="14339" max="14339" width="9.5546875" style="449" bestFit="1" customWidth="1"/>
    <col min="14340" max="14340" width="8.109375" style="449" customWidth="1"/>
    <col min="14341" max="14341" width="10.109375" style="449" bestFit="1" customWidth="1"/>
    <col min="14342" max="14343" width="8.88671875" style="449" hidden="1" customWidth="1"/>
    <col min="14344" max="14345" width="9.5546875" style="449" bestFit="1" customWidth="1"/>
    <col min="14346" max="14346" width="8.6640625" style="449" customWidth="1"/>
    <col min="14347" max="14347" width="8.44140625" style="449" customWidth="1"/>
    <col min="14348" max="14348" width="11.88671875" style="449" customWidth="1"/>
    <col min="14349" max="14349" width="9.88671875" style="449" customWidth="1"/>
    <col min="14350" max="14351" width="8.88671875" style="449" hidden="1" customWidth="1"/>
    <col min="14352" max="14352" width="9.44140625" style="449" bestFit="1" customWidth="1"/>
    <col min="14353" max="14353" width="9.6640625" style="449" bestFit="1" customWidth="1"/>
    <col min="14354" max="14592" width="8.88671875" style="449"/>
    <col min="14593" max="14593" width="5.109375" style="449" customWidth="1"/>
    <col min="14594" max="14594" width="13.6640625" style="449" customWidth="1"/>
    <col min="14595" max="14595" width="9.5546875" style="449" bestFit="1" customWidth="1"/>
    <col min="14596" max="14596" width="8.109375" style="449" customWidth="1"/>
    <col min="14597" max="14597" width="10.109375" style="449" bestFit="1" customWidth="1"/>
    <col min="14598" max="14599" width="8.88671875" style="449" hidden="1" customWidth="1"/>
    <col min="14600" max="14601" width="9.5546875" style="449" bestFit="1" customWidth="1"/>
    <col min="14602" max="14602" width="8.6640625" style="449" customWidth="1"/>
    <col min="14603" max="14603" width="8.44140625" style="449" customWidth="1"/>
    <col min="14604" max="14604" width="11.88671875" style="449" customWidth="1"/>
    <col min="14605" max="14605" width="9.88671875" style="449" customWidth="1"/>
    <col min="14606" max="14607" width="8.88671875" style="449" hidden="1" customWidth="1"/>
    <col min="14608" max="14608" width="9.44140625" style="449" bestFit="1" customWidth="1"/>
    <col min="14609" max="14609" width="9.6640625" style="449" bestFit="1" customWidth="1"/>
    <col min="14610" max="14848" width="8.88671875" style="449"/>
    <col min="14849" max="14849" width="5.109375" style="449" customWidth="1"/>
    <col min="14850" max="14850" width="13.6640625" style="449" customWidth="1"/>
    <col min="14851" max="14851" width="9.5546875" style="449" bestFit="1" customWidth="1"/>
    <col min="14852" max="14852" width="8.109375" style="449" customWidth="1"/>
    <col min="14853" max="14853" width="10.109375" style="449" bestFit="1" customWidth="1"/>
    <col min="14854" max="14855" width="8.88671875" style="449" hidden="1" customWidth="1"/>
    <col min="14856" max="14857" width="9.5546875" style="449" bestFit="1" customWidth="1"/>
    <col min="14858" max="14858" width="8.6640625" style="449" customWidth="1"/>
    <col min="14859" max="14859" width="8.44140625" style="449" customWidth="1"/>
    <col min="14860" max="14860" width="11.88671875" style="449" customWidth="1"/>
    <col min="14861" max="14861" width="9.88671875" style="449" customWidth="1"/>
    <col min="14862" max="14863" width="8.88671875" style="449" hidden="1" customWidth="1"/>
    <col min="14864" max="14864" width="9.44140625" style="449" bestFit="1" customWidth="1"/>
    <col min="14865" max="14865" width="9.6640625" style="449" bestFit="1" customWidth="1"/>
    <col min="14866" max="15104" width="8.88671875" style="449"/>
    <col min="15105" max="15105" width="5.109375" style="449" customWidth="1"/>
    <col min="15106" max="15106" width="13.6640625" style="449" customWidth="1"/>
    <col min="15107" max="15107" width="9.5546875" style="449" bestFit="1" customWidth="1"/>
    <col min="15108" max="15108" width="8.109375" style="449" customWidth="1"/>
    <col min="15109" max="15109" width="10.109375" style="449" bestFit="1" customWidth="1"/>
    <col min="15110" max="15111" width="8.88671875" style="449" hidden="1" customWidth="1"/>
    <col min="15112" max="15113" width="9.5546875" style="449" bestFit="1" customWidth="1"/>
    <col min="15114" max="15114" width="8.6640625" style="449" customWidth="1"/>
    <col min="15115" max="15115" width="8.44140625" style="449" customWidth="1"/>
    <col min="15116" max="15116" width="11.88671875" style="449" customWidth="1"/>
    <col min="15117" max="15117" width="9.88671875" style="449" customWidth="1"/>
    <col min="15118" max="15119" width="8.88671875" style="449" hidden="1" customWidth="1"/>
    <col min="15120" max="15120" width="9.44140625" style="449" bestFit="1" customWidth="1"/>
    <col min="15121" max="15121" width="9.6640625" style="449" bestFit="1" customWidth="1"/>
    <col min="15122" max="15360" width="8.88671875" style="449"/>
    <col min="15361" max="15361" width="5.109375" style="449" customWidth="1"/>
    <col min="15362" max="15362" width="13.6640625" style="449" customWidth="1"/>
    <col min="15363" max="15363" width="9.5546875" style="449" bestFit="1" customWidth="1"/>
    <col min="15364" max="15364" width="8.109375" style="449" customWidth="1"/>
    <col min="15365" max="15365" width="10.109375" style="449" bestFit="1" customWidth="1"/>
    <col min="15366" max="15367" width="8.88671875" style="449" hidden="1" customWidth="1"/>
    <col min="15368" max="15369" width="9.5546875" style="449" bestFit="1" customWidth="1"/>
    <col min="15370" max="15370" width="8.6640625" style="449" customWidth="1"/>
    <col min="15371" max="15371" width="8.44140625" style="449" customWidth="1"/>
    <col min="15372" max="15372" width="11.88671875" style="449" customWidth="1"/>
    <col min="15373" max="15373" width="9.88671875" style="449" customWidth="1"/>
    <col min="15374" max="15375" width="8.88671875" style="449" hidden="1" customWidth="1"/>
    <col min="15376" max="15376" width="9.44140625" style="449" bestFit="1" customWidth="1"/>
    <col min="15377" max="15377" width="9.6640625" style="449" bestFit="1" customWidth="1"/>
    <col min="15378" max="15616" width="8.88671875" style="449"/>
    <col min="15617" max="15617" width="5.109375" style="449" customWidth="1"/>
    <col min="15618" max="15618" width="13.6640625" style="449" customWidth="1"/>
    <col min="15619" max="15619" width="9.5546875" style="449" bestFit="1" customWidth="1"/>
    <col min="15620" max="15620" width="8.109375" style="449" customWidth="1"/>
    <col min="15621" max="15621" width="10.109375" style="449" bestFit="1" customWidth="1"/>
    <col min="15622" max="15623" width="8.88671875" style="449" hidden="1" customWidth="1"/>
    <col min="15624" max="15625" width="9.5546875" style="449" bestFit="1" customWidth="1"/>
    <col min="15626" max="15626" width="8.6640625" style="449" customWidth="1"/>
    <col min="15627" max="15627" width="8.44140625" style="449" customWidth="1"/>
    <col min="15628" max="15628" width="11.88671875" style="449" customWidth="1"/>
    <col min="15629" max="15629" width="9.88671875" style="449" customWidth="1"/>
    <col min="15630" max="15631" width="8.88671875" style="449" hidden="1" customWidth="1"/>
    <col min="15632" max="15632" width="9.44140625" style="449" bestFit="1" customWidth="1"/>
    <col min="15633" max="15633" width="9.6640625" style="449" bestFit="1" customWidth="1"/>
    <col min="15634" max="15872" width="8.88671875" style="449"/>
    <col min="15873" max="15873" width="5.109375" style="449" customWidth="1"/>
    <col min="15874" max="15874" width="13.6640625" style="449" customWidth="1"/>
    <col min="15875" max="15875" width="9.5546875" style="449" bestFit="1" customWidth="1"/>
    <col min="15876" max="15876" width="8.109375" style="449" customWidth="1"/>
    <col min="15877" max="15877" width="10.109375" style="449" bestFit="1" customWidth="1"/>
    <col min="15878" max="15879" width="8.88671875" style="449" hidden="1" customWidth="1"/>
    <col min="15880" max="15881" width="9.5546875" style="449" bestFit="1" customWidth="1"/>
    <col min="15882" max="15882" width="8.6640625" style="449" customWidth="1"/>
    <col min="15883" max="15883" width="8.44140625" style="449" customWidth="1"/>
    <col min="15884" max="15884" width="11.88671875" style="449" customWidth="1"/>
    <col min="15885" max="15885" width="9.88671875" style="449" customWidth="1"/>
    <col min="15886" max="15887" width="8.88671875" style="449" hidden="1" customWidth="1"/>
    <col min="15888" max="15888" width="9.44140625" style="449" bestFit="1" customWidth="1"/>
    <col min="15889" max="15889" width="9.6640625" style="449" bestFit="1" customWidth="1"/>
    <col min="15890" max="16128" width="8.88671875" style="449"/>
    <col min="16129" max="16129" width="5.109375" style="449" customWidth="1"/>
    <col min="16130" max="16130" width="13.6640625" style="449" customWidth="1"/>
    <col min="16131" max="16131" width="9.5546875" style="449" bestFit="1" customWidth="1"/>
    <col min="16132" max="16132" width="8.109375" style="449" customWidth="1"/>
    <col min="16133" max="16133" width="10.109375" style="449" bestFit="1" customWidth="1"/>
    <col min="16134" max="16135" width="8.88671875" style="449" hidden="1" customWidth="1"/>
    <col min="16136" max="16137" width="9.5546875" style="449" bestFit="1" customWidth="1"/>
    <col min="16138" max="16138" width="8.6640625" style="449" customWidth="1"/>
    <col min="16139" max="16139" width="8.44140625" style="449" customWidth="1"/>
    <col min="16140" max="16140" width="11.88671875" style="449" customWidth="1"/>
    <col min="16141" max="16141" width="9.88671875" style="449" customWidth="1"/>
    <col min="16142" max="16143" width="8.88671875" style="449" hidden="1" customWidth="1"/>
    <col min="16144" max="16144" width="9.44140625" style="449" bestFit="1" customWidth="1"/>
    <col min="16145" max="16145" width="9.6640625" style="449" bestFit="1" customWidth="1"/>
    <col min="16146" max="16384" width="8.88671875" style="449"/>
  </cols>
  <sheetData>
    <row r="1" spans="1:27" ht="17.399999999999999" x14ac:dyDescent="0.3">
      <c r="A1" s="1328" t="str">
        <f>B.T.!A1</f>
        <v>ROSHNABAD BARRAGE</v>
      </c>
      <c r="B1" s="1329"/>
      <c r="C1" s="1329"/>
      <c r="D1" s="1329"/>
      <c r="E1" s="1329"/>
      <c r="F1" s="1329"/>
      <c r="G1" s="1329"/>
      <c r="H1" s="1329"/>
      <c r="I1" s="1329"/>
      <c r="J1" s="1329"/>
      <c r="K1" s="1329"/>
      <c r="L1" s="1329"/>
      <c r="M1" s="1329"/>
    </row>
    <row r="2" spans="1:27" ht="17.399999999999999" x14ac:dyDescent="0.3">
      <c r="A2" s="1330" t="str">
        <f>B.T.!A2</f>
        <v>TEHSIL :-SIDHI</v>
      </c>
      <c r="B2" s="1331"/>
      <c r="C2" s="1331"/>
      <c r="D2" s="1331"/>
      <c r="E2" s="754"/>
      <c r="F2" s="754"/>
      <c r="G2" s="757"/>
      <c r="H2" s="754"/>
      <c r="I2" s="754"/>
      <c r="J2" s="1332" t="str">
        <f>B.T.!L2</f>
        <v>DISTRICT :SINGRAULI</v>
      </c>
      <c r="K2" s="1333"/>
      <c r="L2" s="1333"/>
      <c r="M2" s="1333"/>
    </row>
    <row r="3" spans="1:27" ht="15.6" x14ac:dyDescent="0.3">
      <c r="A3" s="1331"/>
      <c r="B3" s="1331"/>
      <c r="C3" s="1331"/>
      <c r="D3" s="1331"/>
      <c r="E3" s="755"/>
      <c r="F3" s="756"/>
      <c r="G3" s="758"/>
      <c r="L3" s="759"/>
    </row>
    <row r="4" spans="1:27" x14ac:dyDescent="0.25">
      <c r="A4" s="1334" t="s">
        <v>484</v>
      </c>
      <c r="B4" s="1334"/>
      <c r="C4" s="1334"/>
      <c r="D4" s="1334"/>
      <c r="E4" s="1334"/>
      <c r="F4" s="1334"/>
      <c r="G4" s="1334"/>
      <c r="H4" s="1334"/>
      <c r="I4" s="1334"/>
      <c r="J4" s="1334"/>
      <c r="K4" s="1334"/>
      <c r="L4" s="1334"/>
      <c r="M4" s="1334"/>
      <c r="Q4" s="449" t="s">
        <v>485</v>
      </c>
    </row>
    <row r="5" spans="1:27" ht="13.8" thickBot="1" x14ac:dyDescent="0.3">
      <c r="A5" s="449" t="s">
        <v>486</v>
      </c>
      <c r="D5" s="760">
        <v>4</v>
      </c>
      <c r="E5" s="449" t="s">
        <v>424</v>
      </c>
      <c r="I5" s="449" t="s">
        <v>487</v>
      </c>
      <c r="J5" s="761">
        <v>0.5</v>
      </c>
      <c r="K5" s="762" t="s">
        <v>488</v>
      </c>
      <c r="L5" s="763">
        <f>'e-w'!C4</f>
        <v>597</v>
      </c>
      <c r="M5" s="762" t="s">
        <v>86</v>
      </c>
    </row>
    <row r="6" spans="1:27" ht="54.75" customHeight="1" thickBot="1" x14ac:dyDescent="0.3">
      <c r="A6" s="764" t="s">
        <v>162</v>
      </c>
      <c r="B6" s="765" t="s">
        <v>431</v>
      </c>
      <c r="C6" s="765" t="s">
        <v>432</v>
      </c>
      <c r="D6" s="765" t="s">
        <v>489</v>
      </c>
      <c r="E6" s="765" t="s">
        <v>490</v>
      </c>
      <c r="F6" s="1335" t="s">
        <v>491</v>
      </c>
      <c r="G6" s="1336"/>
      <c r="H6" s="765" t="s">
        <v>492</v>
      </c>
      <c r="I6" s="765" t="s">
        <v>493</v>
      </c>
      <c r="J6" s="765" t="s">
        <v>494</v>
      </c>
      <c r="K6" s="765" t="s">
        <v>438</v>
      </c>
      <c r="L6" s="766" t="s">
        <v>495</v>
      </c>
      <c r="M6" s="767" t="s">
        <v>496</v>
      </c>
      <c r="N6" s="768" t="s">
        <v>497</v>
      </c>
      <c r="O6" s="769" t="s">
        <v>498</v>
      </c>
      <c r="U6" s="770"/>
    </row>
    <row r="7" spans="1:27" ht="13.8" thickBot="1" x14ac:dyDescent="0.3">
      <c r="A7" s="771">
        <v>1</v>
      </c>
      <c r="B7" s="772">
        <v>2</v>
      </c>
      <c r="C7" s="772">
        <v>3</v>
      </c>
      <c r="D7" s="772">
        <v>4</v>
      </c>
      <c r="E7" s="773">
        <v>5</v>
      </c>
      <c r="F7" s="773"/>
      <c r="G7" s="772">
        <v>6</v>
      </c>
      <c r="H7" s="772">
        <v>7</v>
      </c>
      <c r="I7" s="772">
        <v>8</v>
      </c>
      <c r="J7" s="772">
        <v>9</v>
      </c>
      <c r="K7" s="772">
        <v>10</v>
      </c>
      <c r="L7" s="772">
        <v>11</v>
      </c>
      <c r="M7" s="772">
        <v>12</v>
      </c>
      <c r="N7" s="772">
        <v>13</v>
      </c>
      <c r="O7" s="772">
        <v>14</v>
      </c>
      <c r="U7" s="770"/>
    </row>
    <row r="8" spans="1:27" x14ac:dyDescent="0.25">
      <c r="A8" s="774"/>
      <c r="B8" s="775"/>
      <c r="C8" s="775"/>
      <c r="D8" s="775"/>
      <c r="E8" s="776"/>
      <c r="F8" s="776"/>
      <c r="G8" s="775"/>
      <c r="H8" s="775"/>
      <c r="I8" s="775"/>
      <c r="J8" s="775"/>
      <c r="K8" s="775"/>
      <c r="L8" s="775"/>
      <c r="M8" s="775"/>
      <c r="N8" s="775"/>
      <c r="O8" s="776"/>
      <c r="U8" s="770"/>
    </row>
    <row r="9" spans="1:27" s="615" customFormat="1" ht="15.6" x14ac:dyDescent="0.3">
      <c r="A9" s="777">
        <v>1</v>
      </c>
      <c r="B9" s="778">
        <f>'e-w'!B31</f>
        <v>0</v>
      </c>
      <c r="C9" s="778">
        <f>'e-w'!C31</f>
        <v>477.834</v>
      </c>
      <c r="D9" s="779">
        <f>IF(($L$5-C9)&gt;0,($L$5-C9)/2,0)</f>
        <v>59.582999999999998</v>
      </c>
      <c r="E9" s="780">
        <f t="shared" ref="E9:E10" si="0">MAX($D$5,IF(($L$5-C9)*30/100&gt;0,($L$5-C9)*30/100))</f>
        <v>35.7498</v>
      </c>
      <c r="F9" s="780">
        <v>0</v>
      </c>
      <c r="G9" s="781">
        <v>0</v>
      </c>
      <c r="H9" s="780">
        <f t="shared" ref="H9:H10" si="1">E9+(D9*($J$5+$J$5))</f>
        <v>95.332799999999992</v>
      </c>
      <c r="I9" s="780">
        <f t="shared" ref="I9:I10" si="2">((H9+E9)/2)*D9</f>
        <v>3905.1472778999996</v>
      </c>
      <c r="J9" s="780">
        <f>AVERAGE(I9:I9)</f>
        <v>3905.1472778999996</v>
      </c>
      <c r="K9" s="780"/>
      <c r="L9" s="780"/>
      <c r="M9" s="780">
        <f t="shared" ref="M9:M10" si="3">C9-D9</f>
        <v>418.25099999999998</v>
      </c>
      <c r="N9" s="659"/>
      <c r="O9" s="659"/>
      <c r="P9" s="659"/>
      <c r="Q9" s="659"/>
      <c r="R9" s="659">
        <f>IF(($L$5-C9)&gt;0,$L$5-C9,0)</f>
        <v>119.166</v>
      </c>
      <c r="S9" s="659"/>
      <c r="T9" s="659"/>
      <c r="U9" s="659"/>
      <c r="V9" s="660"/>
      <c r="W9" s="660"/>
      <c r="X9" s="660"/>
      <c r="Y9" s="660"/>
      <c r="Z9" s="661"/>
      <c r="AA9" s="661"/>
    </row>
    <row r="10" spans="1:27" s="615" customFormat="1" ht="15.6" x14ac:dyDescent="0.3">
      <c r="A10" s="777">
        <v>2</v>
      </c>
      <c r="B10" s="778">
        <f>'e-w'!B32</f>
        <v>20</v>
      </c>
      <c r="C10" s="778">
        <f>'e-w'!C32</f>
        <v>477.37495931758531</v>
      </c>
      <c r="D10" s="779">
        <f t="shared" ref="D10" si="4">IF(($L$5-C10)&gt;0,($L$5-C10)/2,0)</f>
        <v>59.812520341207346</v>
      </c>
      <c r="E10" s="780">
        <f t="shared" si="0"/>
        <v>35.887512204724409</v>
      </c>
      <c r="F10" s="780">
        <v>0</v>
      </c>
      <c r="G10" s="781">
        <v>0</v>
      </c>
      <c r="H10" s="780">
        <f t="shared" si="1"/>
        <v>95.700032545931748</v>
      </c>
      <c r="I10" s="780">
        <f t="shared" si="2"/>
        <v>3935.2913485240765</v>
      </c>
      <c r="J10" s="780">
        <f t="shared" ref="J10" si="5">AVERAGE(I9:I10)</f>
        <v>3920.2193132120383</v>
      </c>
      <c r="K10" s="780">
        <f t="shared" ref="K10" si="6">B10-B9</f>
        <v>20</v>
      </c>
      <c r="L10" s="780">
        <f t="shared" ref="L10" si="7">J10*K10</f>
        <v>78404.386264240762</v>
      </c>
      <c r="M10" s="780">
        <f t="shared" si="3"/>
        <v>417.56243897637796</v>
      </c>
      <c r="N10" s="659"/>
      <c r="O10" s="659"/>
      <c r="P10" s="659"/>
      <c r="Q10" s="659"/>
      <c r="R10" s="659">
        <f t="shared" ref="R10:R16" si="8">IF(($L$5-C10)&gt;0,$L$5-C10,0)</f>
        <v>119.62504068241469</v>
      </c>
      <c r="S10" s="659"/>
      <c r="T10" s="659"/>
      <c r="U10" s="659"/>
      <c r="V10" s="660"/>
      <c r="W10" s="660"/>
      <c r="X10" s="660"/>
      <c r="Y10" s="660"/>
      <c r="Z10" s="661"/>
      <c r="AA10" s="661"/>
    </row>
    <row r="11" spans="1:27" s="615" customFormat="1" ht="15.6" x14ac:dyDescent="0.3">
      <c r="A11" s="777">
        <v>3</v>
      </c>
      <c r="B11" s="778">
        <f>'e-w'!B33</f>
        <v>40</v>
      </c>
      <c r="C11" s="778">
        <f>'e-w'!C33</f>
        <v>476.60178899082564</v>
      </c>
      <c r="D11" s="779">
        <f t="shared" ref="D11:D46" si="9">IF(($L$5-C11)&gt;0,($L$5-C11)/2,0)</f>
        <v>60.19910550458718</v>
      </c>
      <c r="E11" s="780">
        <f t="shared" ref="E11:E46" si="10">MAX($D$5,IF(($L$5-C11)*30/100&gt;0,($L$5-C11)*30/100))</f>
        <v>36.119463302752308</v>
      </c>
      <c r="F11" s="780">
        <v>0</v>
      </c>
      <c r="G11" s="781">
        <v>0</v>
      </c>
      <c r="H11" s="780">
        <f t="shared" ref="H11:H46" si="11">E11+(D11*($J$5+$J$5))</f>
        <v>96.318568807339489</v>
      </c>
      <c r="I11" s="780">
        <f t="shared" ref="I11:I46" si="12">((H11+E11)/2)*D11</f>
        <v>3986.3255339076604</v>
      </c>
      <c r="J11" s="780">
        <f t="shared" ref="J11:J46" si="13">AVERAGE(I10:I11)</f>
        <v>3960.8084412158687</v>
      </c>
      <c r="K11" s="780">
        <f t="shared" ref="K11:K46" si="14">B11-B10</f>
        <v>20</v>
      </c>
      <c r="L11" s="780">
        <f t="shared" ref="L11:L46" si="15">J11*K11</f>
        <v>79216.16882431737</v>
      </c>
      <c r="M11" s="780">
        <f t="shared" ref="M11:M46" si="16">C11-D11</f>
        <v>416.40268348623846</v>
      </c>
      <c r="N11" s="659"/>
      <c r="O11" s="659"/>
      <c r="P11" s="659"/>
      <c r="Q11" s="659"/>
      <c r="R11" s="659">
        <f t="shared" si="8"/>
        <v>120.39821100917436</v>
      </c>
      <c r="S11" s="659"/>
      <c r="T11" s="659"/>
      <c r="U11" s="659"/>
      <c r="V11" s="660"/>
      <c r="W11" s="660"/>
      <c r="X11" s="660"/>
      <c r="Y11" s="660"/>
      <c r="Z11" s="661"/>
      <c r="AA11" s="661"/>
    </row>
    <row r="12" spans="1:27" s="615" customFormat="1" ht="15.6" x14ac:dyDescent="0.3">
      <c r="A12" s="777">
        <v>4</v>
      </c>
      <c r="B12" s="778">
        <f>'e-w'!B34</f>
        <v>60</v>
      </c>
      <c r="C12" s="778">
        <f>'e-w'!C34</f>
        <v>476.11086614173229</v>
      </c>
      <c r="D12" s="779">
        <f t="shared" si="9"/>
        <v>60.444566929133856</v>
      </c>
      <c r="E12" s="780">
        <f t="shared" si="10"/>
        <v>36.266740157480314</v>
      </c>
      <c r="F12" s="780">
        <v>0</v>
      </c>
      <c r="G12" s="781">
        <v>0</v>
      </c>
      <c r="H12" s="780">
        <f t="shared" si="11"/>
        <v>96.71130708661417</v>
      </c>
      <c r="I12" s="780">
        <f t="shared" si="12"/>
        <v>4018.9002383755965</v>
      </c>
      <c r="J12" s="780">
        <f t="shared" si="13"/>
        <v>4002.6128861416282</v>
      </c>
      <c r="K12" s="780">
        <f t="shared" si="14"/>
        <v>20</v>
      </c>
      <c r="L12" s="780">
        <f t="shared" si="15"/>
        <v>80052.257722832568</v>
      </c>
      <c r="M12" s="780">
        <f t="shared" si="16"/>
        <v>415.66629921259846</v>
      </c>
      <c r="N12" s="659"/>
      <c r="O12" s="659"/>
      <c r="P12" s="659"/>
      <c r="Q12" s="659"/>
      <c r="R12" s="659">
        <f t="shared" si="8"/>
        <v>120.88913385826771</v>
      </c>
      <c r="S12" s="659"/>
      <c r="T12" s="659"/>
      <c r="U12" s="659"/>
      <c r="V12" s="660"/>
      <c r="W12" s="660"/>
      <c r="X12" s="660"/>
      <c r="Y12" s="660"/>
      <c r="Z12" s="661"/>
      <c r="AA12" s="661"/>
    </row>
    <row r="13" spans="1:27" s="615" customFormat="1" ht="15.6" x14ac:dyDescent="0.3">
      <c r="A13" s="777">
        <v>5</v>
      </c>
      <c r="B13" s="778">
        <f>'e-w'!B35</f>
        <v>80</v>
      </c>
      <c r="C13" s="778">
        <f>'e-w'!C35</f>
        <v>475.51279921259845</v>
      </c>
      <c r="D13" s="779">
        <f t="shared" si="9"/>
        <v>60.743600393700774</v>
      </c>
      <c r="E13" s="780">
        <f t="shared" si="10"/>
        <v>36.446160236220464</v>
      </c>
      <c r="F13" s="780">
        <v>0</v>
      </c>
      <c r="G13" s="781">
        <v>0</v>
      </c>
      <c r="H13" s="780">
        <f t="shared" si="11"/>
        <v>97.189760629921238</v>
      </c>
      <c r="I13" s="780">
        <f t="shared" si="12"/>
        <v>4058.7634876685652</v>
      </c>
      <c r="J13" s="780">
        <f t="shared" si="13"/>
        <v>4038.8318630220811</v>
      </c>
      <c r="K13" s="780">
        <f t="shared" si="14"/>
        <v>20</v>
      </c>
      <c r="L13" s="780">
        <f t="shared" si="15"/>
        <v>80776.637260441625</v>
      </c>
      <c r="M13" s="780">
        <f t="shared" si="16"/>
        <v>414.76919881889768</v>
      </c>
      <c r="N13" s="659"/>
      <c r="O13" s="659"/>
      <c r="P13" s="659"/>
      <c r="Q13" s="659"/>
      <c r="R13" s="659">
        <f t="shared" si="8"/>
        <v>121.48720078740155</v>
      </c>
      <c r="S13" s="659"/>
      <c r="T13" s="659"/>
      <c r="U13" s="659"/>
      <c r="V13" s="660"/>
      <c r="W13" s="660"/>
      <c r="X13" s="660"/>
      <c r="Y13" s="660"/>
      <c r="Z13" s="661"/>
      <c r="AA13" s="661"/>
    </row>
    <row r="14" spans="1:27" s="615" customFormat="1" ht="15.6" x14ac:dyDescent="0.3">
      <c r="A14" s="777">
        <v>6</v>
      </c>
      <c r="B14" s="778">
        <f>'e-w'!B36</f>
        <v>100</v>
      </c>
      <c r="C14" s="778">
        <f>'e-w'!C36</f>
        <v>474.85713612565439</v>
      </c>
      <c r="D14" s="779">
        <f t="shared" si="9"/>
        <v>61.071431937172804</v>
      </c>
      <c r="E14" s="780">
        <f t="shared" si="10"/>
        <v>36.642859162303687</v>
      </c>
      <c r="F14" s="780">
        <v>0</v>
      </c>
      <c r="G14" s="781">
        <v>0</v>
      </c>
      <c r="H14" s="780">
        <f t="shared" si="11"/>
        <v>97.714291099476497</v>
      </c>
      <c r="I14" s="780">
        <f t="shared" si="12"/>
        <v>4102.6917787424045</v>
      </c>
      <c r="J14" s="780">
        <f t="shared" si="13"/>
        <v>4080.7276332054848</v>
      </c>
      <c r="K14" s="780">
        <f t="shared" si="14"/>
        <v>20</v>
      </c>
      <c r="L14" s="780">
        <f t="shared" si="15"/>
        <v>81614.552664109695</v>
      </c>
      <c r="M14" s="780">
        <f t="shared" si="16"/>
        <v>413.78570418848159</v>
      </c>
      <c r="N14" s="659"/>
      <c r="O14" s="659"/>
      <c r="P14" s="659"/>
      <c r="Q14" s="659"/>
      <c r="R14" s="659">
        <f t="shared" si="8"/>
        <v>122.14286387434561</v>
      </c>
      <c r="S14" s="659"/>
      <c r="T14" s="659"/>
      <c r="U14" s="659"/>
      <c r="V14" s="660"/>
      <c r="W14" s="660"/>
      <c r="X14" s="660"/>
      <c r="Y14" s="660"/>
      <c r="Z14" s="661"/>
      <c r="AA14" s="661"/>
    </row>
    <row r="15" spans="1:27" s="615" customFormat="1" ht="15.6" x14ac:dyDescent="0.3">
      <c r="A15" s="777">
        <v>7</v>
      </c>
      <c r="B15" s="778">
        <f>'e-w'!B37</f>
        <v>120</v>
      </c>
      <c r="C15" s="778">
        <f>'e-w'!C37</f>
        <v>474.7220789473684</v>
      </c>
      <c r="D15" s="779">
        <f t="shared" si="9"/>
        <v>61.138960526315799</v>
      </c>
      <c r="E15" s="780">
        <f t="shared" si="10"/>
        <v>36.683376315789481</v>
      </c>
      <c r="F15" s="780">
        <v>0</v>
      </c>
      <c r="G15" s="781">
        <v>0</v>
      </c>
      <c r="H15" s="780">
        <f t="shared" si="11"/>
        <v>97.822336842105273</v>
      </c>
      <c r="I15" s="780">
        <f t="shared" si="12"/>
        <v>4111.7697436622411</v>
      </c>
      <c r="J15" s="780">
        <f t="shared" si="13"/>
        <v>4107.2307612023233</v>
      </c>
      <c r="K15" s="780">
        <f t="shared" si="14"/>
        <v>20</v>
      </c>
      <c r="L15" s="780">
        <f t="shared" si="15"/>
        <v>82144.615224046458</v>
      </c>
      <c r="M15" s="780">
        <f t="shared" si="16"/>
        <v>413.58311842105263</v>
      </c>
      <c r="N15" s="659"/>
      <c r="O15" s="659"/>
      <c r="P15" s="659"/>
      <c r="Q15" s="659"/>
      <c r="R15" s="659">
        <f t="shared" si="8"/>
        <v>122.2779210526316</v>
      </c>
      <c r="S15" s="659"/>
      <c r="T15" s="659"/>
      <c r="U15" s="659"/>
      <c r="V15" s="660"/>
      <c r="W15" s="660"/>
      <c r="X15" s="660"/>
      <c r="Y15" s="660"/>
      <c r="Z15" s="661"/>
      <c r="AA15" s="661"/>
    </row>
    <row r="16" spans="1:27" s="615" customFormat="1" ht="15.6" x14ac:dyDescent="0.3">
      <c r="A16" s="777">
        <v>8</v>
      </c>
      <c r="B16" s="778">
        <f>'e-w'!B38</f>
        <v>140</v>
      </c>
      <c r="C16" s="778">
        <f>'e-w'!C38</f>
        <v>474.76499999999999</v>
      </c>
      <c r="D16" s="779">
        <f t="shared" si="9"/>
        <v>61.117500000000007</v>
      </c>
      <c r="E16" s="780">
        <f t="shared" si="10"/>
        <v>36.670500000000004</v>
      </c>
      <c r="F16" s="780">
        <v>0</v>
      </c>
      <c r="G16" s="781">
        <v>0</v>
      </c>
      <c r="H16" s="780">
        <f t="shared" si="11"/>
        <v>97.788000000000011</v>
      </c>
      <c r="I16" s="780">
        <f t="shared" si="12"/>
        <v>4108.8836868750013</v>
      </c>
      <c r="J16" s="780">
        <f t="shared" si="13"/>
        <v>4110.3267152686212</v>
      </c>
      <c r="K16" s="780">
        <f t="shared" si="14"/>
        <v>20</v>
      </c>
      <c r="L16" s="780">
        <f t="shared" si="15"/>
        <v>82206.534305372421</v>
      </c>
      <c r="M16" s="780">
        <f t="shared" si="16"/>
        <v>413.64749999999998</v>
      </c>
      <c r="N16" s="659"/>
      <c r="O16" s="659"/>
      <c r="P16" s="659"/>
      <c r="Q16" s="659"/>
      <c r="R16" s="659">
        <f t="shared" si="8"/>
        <v>122.23500000000001</v>
      </c>
      <c r="S16" s="659"/>
      <c r="T16" s="659"/>
      <c r="U16" s="659"/>
      <c r="V16" s="660"/>
      <c r="W16" s="660"/>
      <c r="X16" s="660"/>
      <c r="Y16" s="660"/>
      <c r="Z16" s="661"/>
      <c r="AA16" s="661"/>
    </row>
    <row r="17" spans="1:27" s="615" customFormat="1" ht="15.6" x14ac:dyDescent="0.3">
      <c r="A17" s="777">
        <v>9</v>
      </c>
      <c r="B17" s="778">
        <f>'e-w'!B39</f>
        <v>160</v>
      </c>
      <c r="C17" s="778">
        <f>'e-w'!C39</f>
        <v>474.62121052631579</v>
      </c>
      <c r="D17" s="779">
        <f t="shared" si="9"/>
        <v>61.189394736842104</v>
      </c>
      <c r="E17" s="780">
        <f t="shared" si="10"/>
        <v>36.713636842105259</v>
      </c>
      <c r="F17" s="780">
        <v>0</v>
      </c>
      <c r="G17" s="781">
        <v>0</v>
      </c>
      <c r="H17" s="780">
        <f t="shared" si="11"/>
        <v>97.903031578947363</v>
      </c>
      <c r="I17" s="780">
        <f t="shared" si="12"/>
        <v>4118.5562310871883</v>
      </c>
      <c r="J17" s="780">
        <f t="shared" si="13"/>
        <v>4113.7199589810953</v>
      </c>
      <c r="K17" s="780">
        <f t="shared" si="14"/>
        <v>20</v>
      </c>
      <c r="L17" s="780">
        <f t="shared" si="15"/>
        <v>82274.399179621905</v>
      </c>
      <c r="M17" s="780">
        <f t="shared" si="16"/>
        <v>413.43181578947372</v>
      </c>
      <c r="N17" s="659"/>
      <c r="O17" s="659"/>
      <c r="P17" s="659"/>
      <c r="Q17" s="659"/>
      <c r="R17" s="659"/>
      <c r="S17" s="659"/>
      <c r="T17" s="659"/>
      <c r="U17" s="659"/>
      <c r="V17" s="660"/>
      <c r="W17" s="660"/>
      <c r="X17" s="660"/>
      <c r="Y17" s="660"/>
      <c r="Z17" s="661"/>
      <c r="AA17" s="661"/>
    </row>
    <row r="18" spans="1:27" s="615" customFormat="1" ht="15.6" x14ac:dyDescent="0.3">
      <c r="A18" s="777">
        <v>10</v>
      </c>
      <c r="B18" s="778">
        <f>'e-w'!B40</f>
        <v>180</v>
      </c>
      <c r="C18" s="778">
        <f>'e-w'!C40</f>
        <v>474.47307894736844</v>
      </c>
      <c r="D18" s="779">
        <f t="shared" si="9"/>
        <v>61.263460526315782</v>
      </c>
      <c r="E18" s="780">
        <f t="shared" si="10"/>
        <v>36.758076315789467</v>
      </c>
      <c r="F18" s="780">
        <v>0</v>
      </c>
      <c r="G18" s="781">
        <v>0</v>
      </c>
      <c r="H18" s="780">
        <f t="shared" si="11"/>
        <v>98.021536842105249</v>
      </c>
      <c r="I18" s="780">
        <f t="shared" si="12"/>
        <v>4128.5327552253966</v>
      </c>
      <c r="J18" s="780">
        <f t="shared" si="13"/>
        <v>4123.5444931562924</v>
      </c>
      <c r="K18" s="780">
        <f t="shared" si="14"/>
        <v>20</v>
      </c>
      <c r="L18" s="780">
        <f t="shared" si="15"/>
        <v>82470.889863125849</v>
      </c>
      <c r="M18" s="780">
        <f t="shared" si="16"/>
        <v>413.20961842105265</v>
      </c>
      <c r="N18" s="659"/>
      <c r="O18" s="659"/>
      <c r="P18" s="659"/>
      <c r="Q18" s="659"/>
      <c r="R18" s="659"/>
      <c r="S18" s="659"/>
      <c r="T18" s="659"/>
      <c r="U18" s="659"/>
      <c r="V18" s="660"/>
      <c r="W18" s="660"/>
      <c r="X18" s="660"/>
      <c r="Y18" s="660"/>
      <c r="Z18" s="661"/>
      <c r="AA18" s="661"/>
    </row>
    <row r="19" spans="1:27" s="615" customFormat="1" ht="15.6" x14ac:dyDescent="0.3">
      <c r="A19" s="777">
        <v>11</v>
      </c>
      <c r="B19" s="778">
        <f>'e-w'!B41</f>
        <v>200</v>
      </c>
      <c r="C19" s="778">
        <f>'e-w'!C41</f>
        <v>474.26559210526312</v>
      </c>
      <c r="D19" s="779">
        <f t="shared" si="9"/>
        <v>61.367203947368438</v>
      </c>
      <c r="E19" s="780">
        <f t="shared" si="10"/>
        <v>36.82032236842106</v>
      </c>
      <c r="F19" s="780">
        <v>0</v>
      </c>
      <c r="G19" s="781">
        <v>0</v>
      </c>
      <c r="H19" s="780">
        <f t="shared" si="11"/>
        <v>98.187526315789498</v>
      </c>
      <c r="I19" s="780">
        <f t="shared" si="12"/>
        <v>4142.5270923497037</v>
      </c>
      <c r="J19" s="780">
        <f t="shared" si="13"/>
        <v>4135.5299237875497</v>
      </c>
      <c r="K19" s="780">
        <f t="shared" si="14"/>
        <v>20</v>
      </c>
      <c r="L19" s="780">
        <f t="shared" si="15"/>
        <v>82710.598475751001</v>
      </c>
      <c r="M19" s="780">
        <f t="shared" si="16"/>
        <v>412.89838815789471</v>
      </c>
      <c r="N19" s="659"/>
      <c r="O19" s="659"/>
      <c r="P19" s="659"/>
      <c r="Q19" s="659"/>
      <c r="R19" s="659"/>
      <c r="S19" s="659"/>
      <c r="T19" s="659"/>
      <c r="U19" s="659"/>
      <c r="V19" s="660"/>
      <c r="W19" s="660"/>
      <c r="X19" s="660"/>
      <c r="Y19" s="660"/>
      <c r="Z19" s="661"/>
      <c r="AA19" s="661"/>
    </row>
    <row r="20" spans="1:27" s="615" customFormat="1" ht="15.6" x14ac:dyDescent="0.3">
      <c r="A20" s="777">
        <v>12</v>
      </c>
      <c r="B20" s="778">
        <f>'e-w'!B42</f>
        <v>220</v>
      </c>
      <c r="C20" s="778">
        <f>'e-w'!C42</f>
        <v>470.31336842105264</v>
      </c>
      <c r="D20" s="779">
        <f t="shared" si="9"/>
        <v>63.343315789473678</v>
      </c>
      <c r="E20" s="780">
        <f t="shared" si="10"/>
        <v>38.00598947368421</v>
      </c>
      <c r="F20" s="780">
        <v>0</v>
      </c>
      <c r="G20" s="781">
        <v>0</v>
      </c>
      <c r="H20" s="780">
        <f t="shared" si="11"/>
        <v>101.34930526315789</v>
      </c>
      <c r="I20" s="780">
        <f t="shared" si="12"/>
        <v>4413.6132207254841</v>
      </c>
      <c r="J20" s="780">
        <f t="shared" si="13"/>
        <v>4278.0701565375939</v>
      </c>
      <c r="K20" s="780">
        <f t="shared" si="14"/>
        <v>20</v>
      </c>
      <c r="L20" s="780">
        <f t="shared" si="15"/>
        <v>85561.403130751874</v>
      </c>
      <c r="M20" s="780">
        <f t="shared" si="16"/>
        <v>406.97005263157894</v>
      </c>
      <c r="N20" s="659"/>
      <c r="O20" s="659"/>
      <c r="P20" s="659"/>
      <c r="Q20" s="659"/>
      <c r="R20" s="659"/>
      <c r="S20" s="659"/>
      <c r="T20" s="659"/>
      <c r="U20" s="659"/>
      <c r="V20" s="660"/>
      <c r="W20" s="660"/>
      <c r="X20" s="660"/>
      <c r="Y20" s="660"/>
      <c r="Z20" s="661"/>
      <c r="AA20" s="661"/>
    </row>
    <row r="21" spans="1:27" s="615" customFormat="1" ht="15.6" x14ac:dyDescent="0.3">
      <c r="A21" s="777">
        <v>13</v>
      </c>
      <c r="B21" s="778">
        <f>'e-w'!B43</f>
        <v>240</v>
      </c>
      <c r="C21" s="778">
        <f>'e-w'!C43</f>
        <v>469.86581578947369</v>
      </c>
      <c r="D21" s="779">
        <f t="shared" si="9"/>
        <v>63.567092105263157</v>
      </c>
      <c r="E21" s="780">
        <f t="shared" si="10"/>
        <v>38.140255263157897</v>
      </c>
      <c r="F21" s="780">
        <v>0</v>
      </c>
      <c r="G21" s="781">
        <v>0</v>
      </c>
      <c r="H21" s="780">
        <f t="shared" si="11"/>
        <v>101.70734736842105</v>
      </c>
      <c r="I21" s="780">
        <f t="shared" si="12"/>
        <v>4444.8527185909106</v>
      </c>
      <c r="J21" s="780">
        <f t="shared" si="13"/>
        <v>4429.2329696581974</v>
      </c>
      <c r="K21" s="780">
        <f t="shared" si="14"/>
        <v>20</v>
      </c>
      <c r="L21" s="780">
        <f t="shared" si="15"/>
        <v>88584.659393163951</v>
      </c>
      <c r="M21" s="780">
        <f t="shared" si="16"/>
        <v>406.29872368421053</v>
      </c>
      <c r="N21" s="659"/>
      <c r="O21" s="659"/>
      <c r="P21" s="659"/>
      <c r="Q21" s="659"/>
      <c r="R21" s="659"/>
      <c r="S21" s="659"/>
      <c r="T21" s="659"/>
      <c r="U21" s="659"/>
      <c r="V21" s="660"/>
      <c r="W21" s="660"/>
      <c r="X21" s="660"/>
      <c r="Y21" s="660"/>
      <c r="Z21" s="661"/>
      <c r="AA21" s="661"/>
    </row>
    <row r="22" spans="1:27" s="615" customFormat="1" ht="15.6" x14ac:dyDescent="0.3">
      <c r="A22" s="777">
        <v>14</v>
      </c>
      <c r="B22" s="778">
        <f>'e-w'!B44</f>
        <v>260</v>
      </c>
      <c r="C22" s="778">
        <f>'e-w'!C44</f>
        <v>469.42184210526324</v>
      </c>
      <c r="D22" s="779">
        <f t="shared" si="9"/>
        <v>63.789078947368381</v>
      </c>
      <c r="E22" s="780">
        <f t="shared" si="10"/>
        <v>38.273447368421031</v>
      </c>
      <c r="F22" s="780">
        <v>0</v>
      </c>
      <c r="G22" s="781">
        <v>0</v>
      </c>
      <c r="H22" s="780">
        <f t="shared" si="11"/>
        <v>102.06252631578941</v>
      </c>
      <c r="I22" s="780">
        <f t="shared" si="12"/>
        <v>4475.9512522489558</v>
      </c>
      <c r="J22" s="780">
        <f t="shared" si="13"/>
        <v>4460.4019854199332</v>
      </c>
      <c r="K22" s="780">
        <f t="shared" si="14"/>
        <v>20</v>
      </c>
      <c r="L22" s="780">
        <f t="shared" si="15"/>
        <v>89208.039708398661</v>
      </c>
      <c r="M22" s="780">
        <f t="shared" si="16"/>
        <v>405.63276315789483</v>
      </c>
      <c r="N22" s="659"/>
      <c r="O22" s="659"/>
      <c r="P22" s="659"/>
      <c r="Q22" s="659"/>
      <c r="R22" s="659">
        <f t="shared" ref="R22:R28" si="17">IF(($L$5-C22)&gt;0,$L$5-C22,0)</f>
        <v>127.57815789473676</v>
      </c>
      <c r="S22" s="659"/>
      <c r="T22" s="659"/>
      <c r="U22" s="659"/>
      <c r="V22" s="660"/>
      <c r="W22" s="660"/>
      <c r="X22" s="660"/>
      <c r="Y22" s="660"/>
      <c r="Z22" s="661"/>
      <c r="AA22" s="661"/>
    </row>
    <row r="23" spans="1:27" s="615" customFormat="1" ht="15.6" x14ac:dyDescent="0.3">
      <c r="A23" s="777">
        <v>15</v>
      </c>
      <c r="B23" s="778">
        <f>'e-w'!B45</f>
        <v>280</v>
      </c>
      <c r="C23" s="778">
        <f>'e-w'!C45</f>
        <v>469.52473684210526</v>
      </c>
      <c r="D23" s="779">
        <f t="shared" si="9"/>
        <v>63.737631578947372</v>
      </c>
      <c r="E23" s="780">
        <f t="shared" si="10"/>
        <v>38.242578947368422</v>
      </c>
      <c r="F23" s="780">
        <v>0</v>
      </c>
      <c r="G23" s="781">
        <v>0</v>
      </c>
      <c r="H23" s="780">
        <f t="shared" si="11"/>
        <v>101.9802105263158</v>
      </c>
      <c r="I23" s="780">
        <f t="shared" si="12"/>
        <v>4468.734247222993</v>
      </c>
      <c r="J23" s="780">
        <f t="shared" si="13"/>
        <v>4472.3427497359744</v>
      </c>
      <c r="K23" s="780">
        <f t="shared" si="14"/>
        <v>20</v>
      </c>
      <c r="L23" s="780">
        <f t="shared" si="15"/>
        <v>89446.854994719484</v>
      </c>
      <c r="M23" s="780">
        <f t="shared" si="16"/>
        <v>405.78710526315786</v>
      </c>
      <c r="N23" s="659"/>
      <c r="O23" s="659"/>
      <c r="P23" s="659"/>
      <c r="Q23" s="659"/>
      <c r="R23" s="659">
        <f t="shared" si="17"/>
        <v>127.47526315789474</v>
      </c>
      <c r="S23" s="659"/>
      <c r="T23" s="659"/>
      <c r="U23" s="659"/>
      <c r="V23" s="660"/>
      <c r="W23" s="660"/>
      <c r="X23" s="660"/>
      <c r="Y23" s="660"/>
      <c r="Z23" s="661"/>
      <c r="AA23" s="661"/>
    </row>
    <row r="24" spans="1:27" s="615" customFormat="1" ht="15.6" x14ac:dyDescent="0.3">
      <c r="A24" s="777">
        <v>16</v>
      </c>
      <c r="B24" s="778">
        <f>'e-w'!B46</f>
        <v>300</v>
      </c>
      <c r="C24" s="778">
        <f>'e-w'!C46</f>
        <v>468.85885526315792</v>
      </c>
      <c r="D24" s="779">
        <f t="shared" si="9"/>
        <v>64.07057236842104</v>
      </c>
      <c r="E24" s="780">
        <f t="shared" si="10"/>
        <v>38.442343421052627</v>
      </c>
      <c r="F24" s="780">
        <v>0</v>
      </c>
      <c r="G24" s="781">
        <v>0</v>
      </c>
      <c r="H24" s="780">
        <f t="shared" si="11"/>
        <v>102.51291578947367</v>
      </c>
      <c r="I24" s="780">
        <f t="shared" si="12"/>
        <v>4515.5420679787858</v>
      </c>
      <c r="J24" s="780">
        <f t="shared" si="13"/>
        <v>4492.1381576008898</v>
      </c>
      <c r="K24" s="780">
        <f t="shared" si="14"/>
        <v>20</v>
      </c>
      <c r="L24" s="780">
        <f t="shared" si="15"/>
        <v>89842.763152017797</v>
      </c>
      <c r="M24" s="780">
        <f t="shared" si="16"/>
        <v>404.78828289473688</v>
      </c>
      <c r="N24" s="659"/>
      <c r="O24" s="659"/>
      <c r="P24" s="659"/>
      <c r="Q24" s="659"/>
      <c r="R24" s="659">
        <f t="shared" si="17"/>
        <v>128.14114473684208</v>
      </c>
      <c r="S24" s="659"/>
      <c r="T24" s="659"/>
      <c r="U24" s="659"/>
      <c r="V24" s="660"/>
      <c r="W24" s="660"/>
      <c r="X24" s="660"/>
      <c r="Y24" s="660"/>
      <c r="Z24" s="661"/>
      <c r="AA24" s="661"/>
    </row>
    <row r="25" spans="1:27" s="615" customFormat="1" ht="15.6" x14ac:dyDescent="0.3">
      <c r="A25" s="777">
        <v>17</v>
      </c>
      <c r="B25" s="778">
        <f>'e-w'!B47</f>
        <v>320</v>
      </c>
      <c r="C25" s="778">
        <f>'e-w'!C47</f>
        <v>468.42110526315793</v>
      </c>
      <c r="D25" s="779">
        <f t="shared" si="9"/>
        <v>64.289447368421037</v>
      </c>
      <c r="E25" s="780">
        <f t="shared" si="10"/>
        <v>38.573668421052624</v>
      </c>
      <c r="F25" s="780">
        <v>0</v>
      </c>
      <c r="G25" s="781">
        <v>0</v>
      </c>
      <c r="H25" s="780">
        <f t="shared" si="11"/>
        <v>102.86311578947365</v>
      </c>
      <c r="I25" s="780">
        <f t="shared" si="12"/>
        <v>4546.4463472306761</v>
      </c>
      <c r="J25" s="780">
        <f t="shared" si="13"/>
        <v>4530.9942076047309</v>
      </c>
      <c r="K25" s="780">
        <f t="shared" si="14"/>
        <v>20</v>
      </c>
      <c r="L25" s="780">
        <f t="shared" si="15"/>
        <v>90619.884152094615</v>
      </c>
      <c r="M25" s="780">
        <f t="shared" si="16"/>
        <v>404.13165789473692</v>
      </c>
      <c r="N25" s="659"/>
      <c r="O25" s="659"/>
      <c r="P25" s="659"/>
      <c r="Q25" s="659"/>
      <c r="R25" s="659">
        <f t="shared" si="17"/>
        <v>128.57889473684207</v>
      </c>
      <c r="S25" s="659"/>
      <c r="T25" s="659"/>
      <c r="U25" s="659"/>
      <c r="V25" s="660"/>
      <c r="W25" s="660"/>
      <c r="X25" s="660"/>
      <c r="Y25" s="660"/>
      <c r="Z25" s="661"/>
      <c r="AA25" s="661"/>
    </row>
    <row r="26" spans="1:27" s="615" customFormat="1" ht="15.6" x14ac:dyDescent="0.3">
      <c r="A26" s="777">
        <v>18</v>
      </c>
      <c r="B26" s="778">
        <f>'e-w'!B48</f>
        <v>340</v>
      </c>
      <c r="C26" s="778">
        <f>'e-w'!C48</f>
        <v>468.19992105263151</v>
      </c>
      <c r="D26" s="779">
        <f t="shared" si="9"/>
        <v>64.400039473684245</v>
      </c>
      <c r="E26" s="780">
        <f t="shared" si="10"/>
        <v>38.640023684210547</v>
      </c>
      <c r="F26" s="780">
        <v>0</v>
      </c>
      <c r="G26" s="781">
        <v>0</v>
      </c>
      <c r="H26" s="780">
        <f t="shared" si="11"/>
        <v>103.04006315789479</v>
      </c>
      <c r="I26" s="780">
        <f t="shared" si="12"/>
        <v>4562.1015926332975</v>
      </c>
      <c r="J26" s="780">
        <f t="shared" si="13"/>
        <v>4554.2739699319864</v>
      </c>
      <c r="K26" s="780">
        <f t="shared" si="14"/>
        <v>20</v>
      </c>
      <c r="L26" s="780">
        <f t="shared" si="15"/>
        <v>91085.479398639727</v>
      </c>
      <c r="M26" s="780">
        <f t="shared" si="16"/>
        <v>403.79988157894729</v>
      </c>
      <c r="N26" s="659"/>
      <c r="O26" s="659"/>
      <c r="P26" s="659"/>
      <c r="Q26" s="659"/>
      <c r="R26" s="659">
        <f t="shared" si="17"/>
        <v>128.80007894736849</v>
      </c>
      <c r="S26" s="659"/>
      <c r="T26" s="659"/>
      <c r="U26" s="659"/>
      <c r="V26" s="660"/>
      <c r="W26" s="660"/>
      <c r="X26" s="660"/>
      <c r="Y26" s="660"/>
      <c r="Z26" s="661"/>
      <c r="AA26" s="661"/>
    </row>
    <row r="27" spans="1:27" s="615" customFormat="1" ht="15.6" x14ac:dyDescent="0.3">
      <c r="A27" s="777">
        <v>19</v>
      </c>
      <c r="B27" s="778">
        <f>'e-w'!B49</f>
        <v>360</v>
      </c>
      <c r="C27" s="778">
        <f>'e-w'!C49</f>
        <v>462.14211688311696</v>
      </c>
      <c r="D27" s="779">
        <f t="shared" si="9"/>
        <v>67.428941558441522</v>
      </c>
      <c r="E27" s="780">
        <f t="shared" si="10"/>
        <v>40.457364935064916</v>
      </c>
      <c r="F27" s="780">
        <v>0</v>
      </c>
      <c r="G27" s="781">
        <v>0</v>
      </c>
      <c r="H27" s="780">
        <f t="shared" si="11"/>
        <v>107.88630649350644</v>
      </c>
      <c r="I27" s="780">
        <f t="shared" si="12"/>
        <v>5001.3283756608944</v>
      </c>
      <c r="J27" s="780">
        <f t="shared" si="13"/>
        <v>4781.7149841470964</v>
      </c>
      <c r="K27" s="780">
        <f t="shared" si="14"/>
        <v>20</v>
      </c>
      <c r="L27" s="780">
        <f t="shared" si="15"/>
        <v>95634.299682941928</v>
      </c>
      <c r="M27" s="780">
        <f t="shared" si="16"/>
        <v>394.71317532467543</v>
      </c>
      <c r="N27" s="659"/>
      <c r="O27" s="659"/>
      <c r="P27" s="659"/>
      <c r="Q27" s="659"/>
      <c r="R27" s="659">
        <f t="shared" si="17"/>
        <v>134.85788311688304</v>
      </c>
      <c r="S27" s="659"/>
      <c r="T27" s="659"/>
      <c r="U27" s="659"/>
      <c r="V27" s="660"/>
      <c r="W27" s="660"/>
      <c r="X27" s="660"/>
      <c r="Y27" s="660"/>
      <c r="Z27" s="661"/>
      <c r="AA27" s="661"/>
    </row>
    <row r="28" spans="1:27" s="615" customFormat="1" ht="15.6" x14ac:dyDescent="0.3">
      <c r="A28" s="777">
        <v>20</v>
      </c>
      <c r="B28" s="778">
        <f>'e-w'!B50</f>
        <v>380</v>
      </c>
      <c r="C28" s="778">
        <f>'e-w'!C50</f>
        <v>460.22500000000002</v>
      </c>
      <c r="D28" s="779">
        <f t="shared" si="9"/>
        <v>68.387499999999989</v>
      </c>
      <c r="E28" s="780">
        <f t="shared" si="10"/>
        <v>41.032499999999992</v>
      </c>
      <c r="F28" s="780">
        <v>0</v>
      </c>
      <c r="G28" s="781">
        <v>0</v>
      </c>
      <c r="H28" s="780">
        <f t="shared" si="11"/>
        <v>109.41999999999999</v>
      </c>
      <c r="I28" s="780">
        <f t="shared" si="12"/>
        <v>5144.5351718749989</v>
      </c>
      <c r="J28" s="780">
        <f t="shared" si="13"/>
        <v>5072.9317737679467</v>
      </c>
      <c r="K28" s="780">
        <f t="shared" si="14"/>
        <v>20</v>
      </c>
      <c r="L28" s="780">
        <f t="shared" si="15"/>
        <v>101458.63547535893</v>
      </c>
      <c r="M28" s="780">
        <f t="shared" si="16"/>
        <v>391.83750000000003</v>
      </c>
      <c r="N28" s="659"/>
      <c r="O28" s="659"/>
      <c r="P28" s="659"/>
      <c r="Q28" s="659"/>
      <c r="R28" s="659">
        <f t="shared" si="17"/>
        <v>136.77499999999998</v>
      </c>
      <c r="S28" s="659"/>
      <c r="T28" s="659"/>
      <c r="U28" s="659"/>
      <c r="V28" s="660"/>
      <c r="W28" s="660"/>
      <c r="X28" s="660"/>
      <c r="Y28" s="660"/>
      <c r="Z28" s="661"/>
      <c r="AA28" s="661"/>
    </row>
    <row r="29" spans="1:27" s="615" customFormat="1" ht="15.6" x14ac:dyDescent="0.3">
      <c r="A29" s="777">
        <v>21</v>
      </c>
      <c r="B29" s="778">
        <f>'e-w'!B51</f>
        <v>400</v>
      </c>
      <c r="C29" s="778">
        <f>'e-w'!C51</f>
        <v>460.22500000000002</v>
      </c>
      <c r="D29" s="779">
        <f t="shared" si="9"/>
        <v>68.387499999999989</v>
      </c>
      <c r="E29" s="780">
        <f t="shared" si="10"/>
        <v>41.032499999999992</v>
      </c>
      <c r="F29" s="780">
        <v>0</v>
      </c>
      <c r="G29" s="781">
        <v>0</v>
      </c>
      <c r="H29" s="780">
        <f t="shared" si="11"/>
        <v>109.41999999999999</v>
      </c>
      <c r="I29" s="780">
        <f t="shared" si="12"/>
        <v>5144.5351718749989</v>
      </c>
      <c r="J29" s="780">
        <f t="shared" si="13"/>
        <v>5144.5351718749989</v>
      </c>
      <c r="K29" s="780">
        <f t="shared" si="14"/>
        <v>20</v>
      </c>
      <c r="L29" s="780">
        <f t="shared" si="15"/>
        <v>102890.70343749998</v>
      </c>
      <c r="M29" s="780">
        <f t="shared" si="16"/>
        <v>391.83750000000003</v>
      </c>
      <c r="N29" s="659"/>
      <c r="O29" s="659"/>
      <c r="P29" s="659"/>
      <c r="Q29" s="659"/>
      <c r="R29" s="659"/>
      <c r="S29" s="659"/>
      <c r="T29" s="659"/>
      <c r="U29" s="659"/>
      <c r="V29" s="660"/>
      <c r="W29" s="660"/>
      <c r="X29" s="660"/>
      <c r="Y29" s="660"/>
      <c r="Z29" s="661"/>
      <c r="AA29" s="661"/>
    </row>
    <row r="30" spans="1:27" s="615" customFormat="1" ht="15.6" x14ac:dyDescent="0.3">
      <c r="A30" s="777">
        <v>22</v>
      </c>
      <c r="B30" s="778">
        <f>'e-w'!B52</f>
        <v>420</v>
      </c>
      <c r="C30" s="778">
        <f>'e-w'!C52</f>
        <v>460.22500000000002</v>
      </c>
      <c r="D30" s="779">
        <f t="shared" si="9"/>
        <v>68.387499999999989</v>
      </c>
      <c r="E30" s="780">
        <f t="shared" si="10"/>
        <v>41.032499999999992</v>
      </c>
      <c r="F30" s="780">
        <v>0</v>
      </c>
      <c r="G30" s="781">
        <v>0</v>
      </c>
      <c r="H30" s="780">
        <f t="shared" si="11"/>
        <v>109.41999999999999</v>
      </c>
      <c r="I30" s="780">
        <f t="shared" si="12"/>
        <v>5144.5351718749989</v>
      </c>
      <c r="J30" s="780">
        <f t="shared" si="13"/>
        <v>5144.5351718749989</v>
      </c>
      <c r="K30" s="780">
        <f t="shared" si="14"/>
        <v>20</v>
      </c>
      <c r="L30" s="780">
        <f t="shared" si="15"/>
        <v>102890.70343749998</v>
      </c>
      <c r="M30" s="780">
        <f t="shared" si="16"/>
        <v>391.83750000000003</v>
      </c>
      <c r="N30" s="659"/>
      <c r="O30" s="659"/>
      <c r="P30" s="659"/>
      <c r="Q30" s="659"/>
      <c r="R30" s="659"/>
      <c r="S30" s="659"/>
      <c r="T30" s="659"/>
      <c r="U30" s="659"/>
      <c r="V30" s="660"/>
      <c r="W30" s="660"/>
      <c r="X30" s="660"/>
      <c r="Y30" s="660"/>
      <c r="Z30" s="661"/>
      <c r="AA30" s="661"/>
    </row>
    <row r="31" spans="1:27" s="615" customFormat="1" ht="15.6" x14ac:dyDescent="0.3">
      <c r="A31" s="777">
        <v>23</v>
      </c>
      <c r="B31" s="778">
        <f>'e-w'!B53</f>
        <v>440</v>
      </c>
      <c r="C31" s="778">
        <f>'e-w'!C53</f>
        <v>464.81158441558438</v>
      </c>
      <c r="D31" s="779">
        <f t="shared" si="9"/>
        <v>66.094207792207811</v>
      </c>
      <c r="E31" s="780">
        <f t="shared" si="10"/>
        <v>39.656524675324683</v>
      </c>
      <c r="F31" s="780">
        <v>0</v>
      </c>
      <c r="G31" s="781">
        <v>0</v>
      </c>
      <c r="H31" s="780">
        <f t="shared" si="11"/>
        <v>105.75073246753249</v>
      </c>
      <c r="I31" s="780">
        <f t="shared" si="12"/>
        <v>4805.2887340474972</v>
      </c>
      <c r="J31" s="780">
        <f t="shared" si="13"/>
        <v>4974.9119529612481</v>
      </c>
      <c r="K31" s="780">
        <f t="shared" si="14"/>
        <v>20</v>
      </c>
      <c r="L31" s="780">
        <f t="shared" si="15"/>
        <v>99498.239059224958</v>
      </c>
      <c r="M31" s="780">
        <f t="shared" si="16"/>
        <v>398.71737662337659</v>
      </c>
      <c r="N31" s="659"/>
      <c r="O31" s="659"/>
      <c r="P31" s="659"/>
      <c r="Q31" s="659"/>
      <c r="R31" s="659"/>
      <c r="S31" s="659"/>
      <c r="T31" s="659"/>
      <c r="U31" s="659"/>
      <c r="V31" s="660"/>
      <c r="W31" s="660"/>
      <c r="X31" s="660"/>
      <c r="Y31" s="660"/>
      <c r="Z31" s="661"/>
      <c r="AA31" s="661"/>
    </row>
    <row r="32" spans="1:27" s="615" customFormat="1" ht="15.6" x14ac:dyDescent="0.3">
      <c r="A32" s="777">
        <v>24</v>
      </c>
      <c r="B32" s="778">
        <f>'e-w'!B54</f>
        <v>460</v>
      </c>
      <c r="C32" s="778">
        <f>'e-w'!C54</f>
        <v>467.01165789473686</v>
      </c>
      <c r="D32" s="779">
        <f t="shared" si="9"/>
        <v>64.994171052631572</v>
      </c>
      <c r="E32" s="780">
        <f t="shared" si="10"/>
        <v>38.996502631578942</v>
      </c>
      <c r="F32" s="780">
        <v>0</v>
      </c>
      <c r="G32" s="781">
        <v>0</v>
      </c>
      <c r="H32" s="780">
        <f t="shared" si="11"/>
        <v>103.99067368421052</v>
      </c>
      <c r="I32" s="780">
        <f t="shared" si="12"/>
        <v>4646.6664979006055</v>
      </c>
      <c r="J32" s="780">
        <f t="shared" si="13"/>
        <v>4725.9776159740513</v>
      </c>
      <c r="K32" s="780">
        <f t="shared" si="14"/>
        <v>20</v>
      </c>
      <c r="L32" s="780">
        <f t="shared" si="15"/>
        <v>94519.552319481023</v>
      </c>
      <c r="M32" s="780">
        <f t="shared" si="16"/>
        <v>402.01748684210531</v>
      </c>
      <c r="N32" s="659"/>
      <c r="O32" s="659"/>
      <c r="P32" s="659"/>
      <c r="Q32" s="659"/>
      <c r="R32" s="659"/>
      <c r="S32" s="659"/>
      <c r="T32" s="659"/>
      <c r="U32" s="659"/>
      <c r="V32" s="660"/>
      <c r="W32" s="660"/>
      <c r="X32" s="660"/>
      <c r="Y32" s="660"/>
      <c r="Z32" s="661"/>
      <c r="AA32" s="661"/>
    </row>
    <row r="33" spans="1:27" s="615" customFormat="1" ht="15.6" x14ac:dyDescent="0.3">
      <c r="A33" s="777">
        <v>25</v>
      </c>
      <c r="B33" s="778">
        <f>'e-w'!B55</f>
        <v>480</v>
      </c>
      <c r="C33" s="778">
        <f>'e-w'!C55</f>
        <v>468.48202597402599</v>
      </c>
      <c r="D33" s="779">
        <f t="shared" si="9"/>
        <v>64.258987012987006</v>
      </c>
      <c r="E33" s="780">
        <f t="shared" si="10"/>
        <v>38.555392207792202</v>
      </c>
      <c r="F33" s="780">
        <v>0</v>
      </c>
      <c r="G33" s="781">
        <v>0</v>
      </c>
      <c r="H33" s="780">
        <f t="shared" si="11"/>
        <v>102.81437922077922</v>
      </c>
      <c r="I33" s="780">
        <f t="shared" si="12"/>
        <v>4542.1391531287563</v>
      </c>
      <c r="J33" s="780">
        <f t="shared" si="13"/>
        <v>4594.4028255146804</v>
      </c>
      <c r="K33" s="780">
        <f t="shared" si="14"/>
        <v>20</v>
      </c>
      <c r="L33" s="780">
        <f t="shared" si="15"/>
        <v>91888.056510293609</v>
      </c>
      <c r="M33" s="780">
        <f t="shared" si="16"/>
        <v>404.22303896103898</v>
      </c>
      <c r="N33" s="659"/>
      <c r="O33" s="659"/>
      <c r="P33" s="659"/>
      <c r="Q33" s="659"/>
      <c r="R33" s="659"/>
      <c r="S33" s="659"/>
      <c r="T33" s="659"/>
      <c r="U33" s="659"/>
      <c r="V33" s="660"/>
      <c r="W33" s="660"/>
      <c r="X33" s="660"/>
      <c r="Y33" s="660"/>
      <c r="Z33" s="661"/>
      <c r="AA33" s="661"/>
    </row>
    <row r="34" spans="1:27" s="615" customFormat="1" ht="15.6" x14ac:dyDescent="0.3">
      <c r="A34" s="777">
        <v>26</v>
      </c>
      <c r="B34" s="778">
        <f>'e-w'!B56</f>
        <v>500</v>
      </c>
      <c r="C34" s="778">
        <f>'e-w'!C56</f>
        <v>471.3044210526316</v>
      </c>
      <c r="D34" s="779">
        <f t="shared" si="9"/>
        <v>62.847789473684202</v>
      </c>
      <c r="E34" s="780">
        <f t="shared" si="10"/>
        <v>37.708673684210524</v>
      </c>
      <c r="F34" s="780">
        <v>0</v>
      </c>
      <c r="G34" s="781">
        <v>0</v>
      </c>
      <c r="H34" s="780">
        <f t="shared" si="11"/>
        <v>100.55646315789473</v>
      </c>
      <c r="I34" s="780">
        <f t="shared" si="12"/>
        <v>4344.8291059013836</v>
      </c>
      <c r="J34" s="780">
        <f t="shared" si="13"/>
        <v>4443.48412951507</v>
      </c>
      <c r="K34" s="780">
        <f t="shared" si="14"/>
        <v>20</v>
      </c>
      <c r="L34" s="780">
        <f t="shared" si="15"/>
        <v>88869.682590301396</v>
      </c>
      <c r="M34" s="780">
        <f t="shared" si="16"/>
        <v>408.45663157894739</v>
      </c>
      <c r="N34" s="659"/>
      <c r="O34" s="659"/>
      <c r="P34" s="659"/>
      <c r="Q34" s="659"/>
      <c r="R34" s="659">
        <f t="shared" ref="R34:R38" si="18">IF(($L$5-C34)&gt;0,$L$5-C34,0)</f>
        <v>125.6955789473684</v>
      </c>
      <c r="S34" s="659"/>
      <c r="T34" s="659"/>
      <c r="U34" s="659"/>
      <c r="V34" s="660"/>
      <c r="W34" s="660"/>
      <c r="X34" s="660"/>
      <c r="Y34" s="660"/>
      <c r="Z34" s="661"/>
      <c r="AA34" s="661"/>
    </row>
    <row r="35" spans="1:27" s="615" customFormat="1" ht="15.6" x14ac:dyDescent="0.3">
      <c r="A35" s="777">
        <v>27</v>
      </c>
      <c r="B35" s="778">
        <f>'e-w'!B57</f>
        <v>520</v>
      </c>
      <c r="C35" s="778">
        <f>'e-w'!C57</f>
        <v>470.79352631578945</v>
      </c>
      <c r="D35" s="779">
        <f t="shared" si="9"/>
        <v>63.103236842105275</v>
      </c>
      <c r="E35" s="780">
        <f t="shared" si="10"/>
        <v>37.861942105263168</v>
      </c>
      <c r="F35" s="780">
        <v>0</v>
      </c>
      <c r="G35" s="781">
        <v>0</v>
      </c>
      <c r="H35" s="780">
        <f t="shared" si="11"/>
        <v>100.96517894736844</v>
      </c>
      <c r="I35" s="780">
        <f t="shared" si="12"/>
        <v>4380.2203499459156</v>
      </c>
      <c r="J35" s="780">
        <f t="shared" si="13"/>
        <v>4362.5247279236501</v>
      </c>
      <c r="K35" s="780">
        <f t="shared" si="14"/>
        <v>20</v>
      </c>
      <c r="L35" s="780">
        <f t="shared" si="15"/>
        <v>87250.494558473001</v>
      </c>
      <c r="M35" s="780">
        <f t="shared" si="16"/>
        <v>407.69028947368417</v>
      </c>
      <c r="N35" s="659"/>
      <c r="O35" s="659"/>
      <c r="P35" s="659"/>
      <c r="Q35" s="659"/>
      <c r="R35" s="659">
        <f t="shared" si="18"/>
        <v>126.20647368421055</v>
      </c>
      <c r="S35" s="659"/>
      <c r="T35" s="659"/>
      <c r="U35" s="659"/>
      <c r="V35" s="660"/>
      <c r="W35" s="660"/>
      <c r="X35" s="660"/>
      <c r="Y35" s="660"/>
      <c r="Z35" s="661"/>
      <c r="AA35" s="661"/>
    </row>
    <row r="36" spans="1:27" s="615" customFormat="1" ht="15.6" x14ac:dyDescent="0.3">
      <c r="A36" s="777">
        <v>28</v>
      </c>
      <c r="B36" s="778">
        <f>'e-w'!B58</f>
        <v>540</v>
      </c>
      <c r="C36" s="778">
        <f>'e-w'!C58</f>
        <v>467.65193421052629</v>
      </c>
      <c r="D36" s="779">
        <f t="shared" si="9"/>
        <v>64.674032894736854</v>
      </c>
      <c r="E36" s="780">
        <f t="shared" si="10"/>
        <v>38.804419736842107</v>
      </c>
      <c r="F36" s="780">
        <v>0</v>
      </c>
      <c r="G36" s="781">
        <v>0</v>
      </c>
      <c r="H36" s="780">
        <f t="shared" si="11"/>
        <v>103.47845263157896</v>
      </c>
      <c r="I36" s="780">
        <f t="shared" si="12"/>
        <v>4601.0035839564543</v>
      </c>
      <c r="J36" s="780">
        <f t="shared" si="13"/>
        <v>4490.6119669511845</v>
      </c>
      <c r="K36" s="780">
        <f t="shared" si="14"/>
        <v>20</v>
      </c>
      <c r="L36" s="780">
        <f t="shared" si="15"/>
        <v>89812.239339023683</v>
      </c>
      <c r="M36" s="780">
        <f t="shared" si="16"/>
        <v>402.97790131578944</v>
      </c>
      <c r="N36" s="659"/>
      <c r="O36" s="659"/>
      <c r="P36" s="659"/>
      <c r="Q36" s="659"/>
      <c r="R36" s="659">
        <f t="shared" si="18"/>
        <v>129.34806578947371</v>
      </c>
      <c r="S36" s="659"/>
      <c r="T36" s="659"/>
      <c r="U36" s="659"/>
      <c r="V36" s="660"/>
      <c r="W36" s="660"/>
      <c r="X36" s="660"/>
      <c r="Y36" s="660"/>
      <c r="Z36" s="661"/>
      <c r="AA36" s="661"/>
    </row>
    <row r="37" spans="1:27" s="615" customFormat="1" ht="15.6" x14ac:dyDescent="0.3">
      <c r="A37" s="777">
        <v>29</v>
      </c>
      <c r="B37" s="778">
        <f>'e-w'!B59</f>
        <v>560</v>
      </c>
      <c r="C37" s="778">
        <f>'e-w'!C59</f>
        <v>468.157974025974</v>
      </c>
      <c r="D37" s="779">
        <f t="shared" si="9"/>
        <v>64.421012987013</v>
      </c>
      <c r="E37" s="780">
        <f t="shared" si="10"/>
        <v>38.652607792207803</v>
      </c>
      <c r="F37" s="780">
        <v>0</v>
      </c>
      <c r="G37" s="781">
        <v>0</v>
      </c>
      <c r="H37" s="780">
        <f t="shared" si="11"/>
        <v>103.0736207792208</v>
      </c>
      <c r="I37" s="780">
        <f t="shared" si="12"/>
        <v>4565.0736057001877</v>
      </c>
      <c r="J37" s="780">
        <f t="shared" si="13"/>
        <v>4583.038594828321</v>
      </c>
      <c r="K37" s="780">
        <f t="shared" si="14"/>
        <v>20</v>
      </c>
      <c r="L37" s="780">
        <f t="shared" si="15"/>
        <v>91660.771896566424</v>
      </c>
      <c r="M37" s="780">
        <f t="shared" si="16"/>
        <v>403.736961038961</v>
      </c>
      <c r="N37" s="659"/>
      <c r="O37" s="659"/>
      <c r="P37" s="659"/>
      <c r="Q37" s="659"/>
      <c r="R37" s="659">
        <f t="shared" si="18"/>
        <v>128.842025974026</v>
      </c>
      <c r="S37" s="659"/>
      <c r="T37" s="659"/>
      <c r="U37" s="659"/>
      <c r="V37" s="660"/>
      <c r="W37" s="660"/>
      <c r="X37" s="660"/>
      <c r="Y37" s="660"/>
      <c r="Z37" s="661"/>
      <c r="AA37" s="661"/>
    </row>
    <row r="38" spans="1:27" s="615" customFormat="1" ht="15.6" x14ac:dyDescent="0.3">
      <c r="A38" s="777">
        <v>30</v>
      </c>
      <c r="B38" s="778">
        <f>'e-w'!B60</f>
        <v>580</v>
      </c>
      <c r="C38" s="778">
        <f>'e-w'!C60</f>
        <v>471.00294736842108</v>
      </c>
      <c r="D38" s="779">
        <f t="shared" si="9"/>
        <v>62.998526315789462</v>
      </c>
      <c r="E38" s="780">
        <f t="shared" si="10"/>
        <v>37.799115789473674</v>
      </c>
      <c r="F38" s="780">
        <v>0</v>
      </c>
      <c r="G38" s="781">
        <v>0</v>
      </c>
      <c r="H38" s="780">
        <f t="shared" si="11"/>
        <v>100.79764210526314</v>
      </c>
      <c r="I38" s="780">
        <f t="shared" si="12"/>
        <v>4365.6957497573385</v>
      </c>
      <c r="J38" s="780">
        <f t="shared" si="13"/>
        <v>4465.3846777287636</v>
      </c>
      <c r="K38" s="780">
        <f t="shared" si="14"/>
        <v>20</v>
      </c>
      <c r="L38" s="780">
        <f t="shared" si="15"/>
        <v>89307.693554575264</v>
      </c>
      <c r="M38" s="780">
        <f t="shared" si="16"/>
        <v>408.00442105263164</v>
      </c>
      <c r="N38" s="659"/>
      <c r="O38" s="659"/>
      <c r="P38" s="659"/>
      <c r="Q38" s="659"/>
      <c r="R38" s="659">
        <f t="shared" si="18"/>
        <v>125.99705263157892</v>
      </c>
      <c r="S38" s="659"/>
      <c r="T38" s="659"/>
      <c r="U38" s="659"/>
      <c r="V38" s="660"/>
      <c r="W38" s="660"/>
      <c r="X38" s="660"/>
      <c r="Y38" s="660"/>
      <c r="Z38" s="661"/>
      <c r="AA38" s="661"/>
    </row>
    <row r="39" spans="1:27" s="615" customFormat="1" ht="15.6" x14ac:dyDescent="0.3">
      <c r="A39" s="777">
        <v>31</v>
      </c>
      <c r="B39" s="778">
        <f>'e-w'!B61</f>
        <v>600</v>
      </c>
      <c r="C39" s="778">
        <f>'e-w'!C61</f>
        <v>470.72336842105267</v>
      </c>
      <c r="D39" s="779">
        <f t="shared" si="9"/>
        <v>63.138315789473666</v>
      </c>
      <c r="E39" s="780">
        <f t="shared" si="10"/>
        <v>37.882989473684205</v>
      </c>
      <c r="F39" s="780">
        <v>0</v>
      </c>
      <c r="G39" s="781">
        <v>0</v>
      </c>
      <c r="H39" s="780">
        <f t="shared" si="11"/>
        <v>101.02130526315787</v>
      </c>
      <c r="I39" s="780">
        <f t="shared" si="12"/>
        <v>4385.09161280443</v>
      </c>
      <c r="J39" s="780">
        <f t="shared" si="13"/>
        <v>4375.3936812808843</v>
      </c>
      <c r="K39" s="780">
        <f t="shared" si="14"/>
        <v>20</v>
      </c>
      <c r="L39" s="780">
        <f t="shared" si="15"/>
        <v>87507.873625617678</v>
      </c>
      <c r="M39" s="780">
        <f t="shared" si="16"/>
        <v>407.585052631579</v>
      </c>
      <c r="N39" s="659"/>
      <c r="O39" s="659"/>
      <c r="P39" s="659"/>
      <c r="Q39" s="659"/>
      <c r="R39" s="659"/>
      <c r="S39" s="659"/>
      <c r="T39" s="659"/>
      <c r="U39" s="659"/>
      <c r="V39" s="660"/>
      <c r="W39" s="660"/>
      <c r="X39" s="660"/>
      <c r="Y39" s="660"/>
      <c r="Z39" s="661"/>
      <c r="AA39" s="661"/>
    </row>
    <row r="40" spans="1:27" s="615" customFormat="1" ht="15.6" x14ac:dyDescent="0.3">
      <c r="A40" s="777">
        <v>32</v>
      </c>
      <c r="B40" s="778">
        <f>'e-w'!B62</f>
        <v>620</v>
      </c>
      <c r="C40" s="778">
        <f>'e-w'!C62</f>
        <v>472.39347368421051</v>
      </c>
      <c r="D40" s="779">
        <f t="shared" si="9"/>
        <v>62.303263157894747</v>
      </c>
      <c r="E40" s="780">
        <f t="shared" si="10"/>
        <v>37.38195789473685</v>
      </c>
      <c r="F40" s="780">
        <v>0</v>
      </c>
      <c r="G40" s="781">
        <v>0</v>
      </c>
      <c r="H40" s="780">
        <f t="shared" si="11"/>
        <v>99.68522105263159</v>
      </c>
      <c r="I40" s="780">
        <f t="shared" si="12"/>
        <v>4269.8662601340729</v>
      </c>
      <c r="J40" s="780">
        <f t="shared" si="13"/>
        <v>4327.4789364692515</v>
      </c>
      <c r="K40" s="780">
        <f t="shared" si="14"/>
        <v>20</v>
      </c>
      <c r="L40" s="780">
        <f t="shared" si="15"/>
        <v>86549.57872938503</v>
      </c>
      <c r="M40" s="780">
        <f t="shared" si="16"/>
        <v>410.09021052631579</v>
      </c>
      <c r="N40" s="659"/>
      <c r="O40" s="659"/>
      <c r="P40" s="659"/>
      <c r="Q40" s="659"/>
      <c r="R40" s="659"/>
      <c r="S40" s="659"/>
      <c r="T40" s="659"/>
      <c r="U40" s="659"/>
      <c r="V40" s="660"/>
      <c r="W40" s="660"/>
      <c r="X40" s="660"/>
      <c r="Y40" s="660"/>
      <c r="Z40" s="661"/>
      <c r="AA40" s="661"/>
    </row>
    <row r="41" spans="1:27" s="615" customFormat="1" ht="15.6" x14ac:dyDescent="0.3">
      <c r="A41" s="777">
        <v>33</v>
      </c>
      <c r="B41" s="778">
        <f>'e-w'!B63</f>
        <v>640</v>
      </c>
      <c r="C41" s="778">
        <f>'e-w'!C63</f>
        <v>473.79128947368423</v>
      </c>
      <c r="D41" s="779">
        <f t="shared" si="9"/>
        <v>61.604355263157885</v>
      </c>
      <c r="E41" s="780">
        <f t="shared" si="10"/>
        <v>36.962613157894729</v>
      </c>
      <c r="F41" s="780">
        <v>0</v>
      </c>
      <c r="G41" s="781">
        <v>0</v>
      </c>
      <c r="H41" s="780">
        <f t="shared" si="11"/>
        <v>98.566968421052621</v>
      </c>
      <c r="I41" s="780">
        <f t="shared" si="12"/>
        <v>4174.6062461283054</v>
      </c>
      <c r="J41" s="780">
        <f t="shared" si="13"/>
        <v>4222.2362531311892</v>
      </c>
      <c r="K41" s="780">
        <f t="shared" si="14"/>
        <v>20</v>
      </c>
      <c r="L41" s="780">
        <f t="shared" si="15"/>
        <v>84444.72506262378</v>
      </c>
      <c r="M41" s="780">
        <f t="shared" si="16"/>
        <v>412.18693421052637</v>
      </c>
      <c r="N41" s="659"/>
      <c r="O41" s="659"/>
      <c r="P41" s="659"/>
      <c r="Q41" s="659"/>
      <c r="R41" s="659"/>
      <c r="S41" s="659"/>
      <c r="T41" s="659"/>
      <c r="U41" s="659"/>
      <c r="V41" s="660"/>
      <c r="W41" s="660"/>
      <c r="X41" s="660"/>
      <c r="Y41" s="660"/>
      <c r="Z41" s="661"/>
      <c r="AA41" s="661"/>
    </row>
    <row r="42" spans="1:27" s="615" customFormat="1" ht="15.6" x14ac:dyDescent="0.3">
      <c r="A42" s="777">
        <v>34</v>
      </c>
      <c r="B42" s="778">
        <f>'e-w'!B64</f>
        <v>660</v>
      </c>
      <c r="C42" s="778">
        <f>'e-w'!C64</f>
        <v>473.54386842105259</v>
      </c>
      <c r="D42" s="779">
        <f t="shared" si="9"/>
        <v>61.728065789473703</v>
      </c>
      <c r="E42" s="780">
        <f t="shared" si="10"/>
        <v>37.036839473684225</v>
      </c>
      <c r="F42" s="780">
        <v>0</v>
      </c>
      <c r="G42" s="781">
        <v>0</v>
      </c>
      <c r="H42" s="780">
        <f t="shared" si="11"/>
        <v>98.764905263157928</v>
      </c>
      <c r="I42" s="780">
        <f t="shared" si="12"/>
        <v>4191.3895167205537</v>
      </c>
      <c r="J42" s="780">
        <f t="shared" si="13"/>
        <v>4182.9978814244296</v>
      </c>
      <c r="K42" s="780">
        <f t="shared" si="14"/>
        <v>20</v>
      </c>
      <c r="L42" s="780">
        <f t="shared" si="15"/>
        <v>83659.957628488599</v>
      </c>
      <c r="M42" s="780">
        <f t="shared" si="16"/>
        <v>411.81580263157889</v>
      </c>
      <c r="N42" s="659"/>
      <c r="O42" s="659"/>
      <c r="P42" s="659"/>
      <c r="Q42" s="659"/>
      <c r="R42" s="659"/>
      <c r="S42" s="659"/>
      <c r="T42" s="659"/>
      <c r="U42" s="659"/>
      <c r="V42" s="660"/>
      <c r="W42" s="660"/>
      <c r="X42" s="660"/>
      <c r="Y42" s="660"/>
      <c r="Z42" s="661"/>
      <c r="AA42" s="661"/>
    </row>
    <row r="43" spans="1:27" s="615" customFormat="1" ht="15.6" x14ac:dyDescent="0.3">
      <c r="A43" s="777">
        <v>35</v>
      </c>
      <c r="B43" s="778">
        <f>'e-w'!B65</f>
        <v>680</v>
      </c>
      <c r="C43" s="778">
        <f>'e-w'!C65</f>
        <v>476.3522631578947</v>
      </c>
      <c r="D43" s="779">
        <f t="shared" si="9"/>
        <v>60.323868421052651</v>
      </c>
      <c r="E43" s="780">
        <f t="shared" si="10"/>
        <v>36.194321052631587</v>
      </c>
      <c r="F43" s="780">
        <v>0</v>
      </c>
      <c r="G43" s="781">
        <v>0</v>
      </c>
      <c r="H43" s="780">
        <f t="shared" si="11"/>
        <v>96.518189473684231</v>
      </c>
      <c r="I43" s="780">
        <f t="shared" si="12"/>
        <v>4002.8660114085201</v>
      </c>
      <c r="J43" s="780">
        <f t="shared" si="13"/>
        <v>4097.1277640645367</v>
      </c>
      <c r="K43" s="780">
        <f t="shared" si="14"/>
        <v>20</v>
      </c>
      <c r="L43" s="780">
        <f t="shared" si="15"/>
        <v>81942.555281290726</v>
      </c>
      <c r="M43" s="780">
        <f t="shared" si="16"/>
        <v>416.02839473684207</v>
      </c>
      <c r="N43" s="659"/>
      <c r="O43" s="659"/>
      <c r="P43" s="659"/>
      <c r="Q43" s="659"/>
      <c r="R43" s="659"/>
      <c r="S43" s="659"/>
      <c r="T43" s="659"/>
      <c r="U43" s="659"/>
      <c r="V43" s="660"/>
      <c r="W43" s="660"/>
      <c r="X43" s="660"/>
      <c r="Y43" s="660"/>
      <c r="Z43" s="661"/>
      <c r="AA43" s="661"/>
    </row>
    <row r="44" spans="1:27" s="615" customFormat="1" ht="15.6" x14ac:dyDescent="0.3">
      <c r="A44" s="777">
        <v>36</v>
      </c>
      <c r="B44" s="778">
        <f>'e-w'!B66</f>
        <v>700</v>
      </c>
      <c r="C44" s="778">
        <f>'e-w'!C66</f>
        <v>476.68867105263155</v>
      </c>
      <c r="D44" s="779">
        <f t="shared" si="9"/>
        <v>60.155664473684226</v>
      </c>
      <c r="E44" s="780">
        <f t="shared" si="10"/>
        <v>36.093398684210534</v>
      </c>
      <c r="F44" s="780">
        <v>0</v>
      </c>
      <c r="G44" s="781">
        <v>0</v>
      </c>
      <c r="H44" s="780">
        <f t="shared" si="11"/>
        <v>96.249063157894767</v>
      </c>
      <c r="I44" s="780">
        <f t="shared" si="12"/>
        <v>3980.5743650975223</v>
      </c>
      <c r="J44" s="780">
        <f t="shared" si="13"/>
        <v>3991.7201882530212</v>
      </c>
      <c r="K44" s="780">
        <f t="shared" si="14"/>
        <v>20</v>
      </c>
      <c r="L44" s="780">
        <f t="shared" si="15"/>
        <v>79834.40376506043</v>
      </c>
      <c r="M44" s="780">
        <f t="shared" si="16"/>
        <v>416.53300657894732</v>
      </c>
      <c r="N44" s="659"/>
      <c r="O44" s="659"/>
      <c r="P44" s="659"/>
      <c r="Q44" s="659"/>
      <c r="R44" s="659">
        <f t="shared" ref="R44:R46" si="19">IF(($L$5-C44)&gt;0,$L$5-C44,0)</f>
        <v>120.31132894736845</v>
      </c>
      <c r="S44" s="659"/>
      <c r="T44" s="659"/>
      <c r="U44" s="659"/>
      <c r="V44" s="660"/>
      <c r="W44" s="660"/>
      <c r="X44" s="660"/>
      <c r="Y44" s="660"/>
      <c r="Z44" s="661"/>
      <c r="AA44" s="661"/>
    </row>
    <row r="45" spans="1:27" s="615" customFormat="1" ht="15.6" x14ac:dyDescent="0.3">
      <c r="A45" s="777">
        <v>37</v>
      </c>
      <c r="B45" s="778">
        <f>'e-w'!B67</f>
        <v>720</v>
      </c>
      <c r="C45" s="778">
        <f>'e-w'!C67</f>
        <v>476.85950000000003</v>
      </c>
      <c r="D45" s="779">
        <f t="shared" si="9"/>
        <v>60.070249999999987</v>
      </c>
      <c r="E45" s="780">
        <f t="shared" si="10"/>
        <v>36.042149999999992</v>
      </c>
      <c r="F45" s="780">
        <v>0</v>
      </c>
      <c r="G45" s="781">
        <v>0</v>
      </c>
      <c r="H45" s="780">
        <f t="shared" si="11"/>
        <v>96.11239999999998</v>
      </c>
      <c r="I45" s="780">
        <f t="shared" si="12"/>
        <v>3969.2784285687485</v>
      </c>
      <c r="J45" s="780">
        <f t="shared" si="13"/>
        <v>3974.9263968331352</v>
      </c>
      <c r="K45" s="780">
        <f t="shared" si="14"/>
        <v>20</v>
      </c>
      <c r="L45" s="780">
        <f t="shared" si="15"/>
        <v>79498.527936662707</v>
      </c>
      <c r="M45" s="780">
        <f t="shared" si="16"/>
        <v>416.78925000000004</v>
      </c>
      <c r="N45" s="659"/>
      <c r="O45" s="659"/>
      <c r="P45" s="659"/>
      <c r="Q45" s="659"/>
      <c r="R45" s="659">
        <f t="shared" si="19"/>
        <v>120.14049999999997</v>
      </c>
      <c r="S45" s="659"/>
      <c r="T45" s="659"/>
      <c r="U45" s="659"/>
      <c r="V45" s="660"/>
      <c r="W45" s="660"/>
      <c r="X45" s="660"/>
      <c r="Y45" s="660"/>
      <c r="Z45" s="661"/>
      <c r="AA45" s="661"/>
    </row>
    <row r="46" spans="1:27" s="615" customFormat="1" ht="14.4" customHeight="1" thickBot="1" x14ac:dyDescent="0.35">
      <c r="A46" s="777">
        <v>38</v>
      </c>
      <c r="B46" s="778">
        <f>'e-w'!B68</f>
        <v>740</v>
      </c>
      <c r="C46" s="778">
        <f>'e-w'!C68</f>
        <v>477.35500000000002</v>
      </c>
      <c r="D46" s="779">
        <f t="shared" si="9"/>
        <v>59.822499999999991</v>
      </c>
      <c r="E46" s="780">
        <f t="shared" si="10"/>
        <v>35.893499999999996</v>
      </c>
      <c r="F46" s="780">
        <v>0</v>
      </c>
      <c r="G46" s="781">
        <v>0</v>
      </c>
      <c r="H46" s="780">
        <f t="shared" si="11"/>
        <v>95.71599999999998</v>
      </c>
      <c r="I46" s="780">
        <f t="shared" si="12"/>
        <v>3936.6046568749985</v>
      </c>
      <c r="J46" s="780">
        <f t="shared" si="13"/>
        <v>3952.9415427218737</v>
      </c>
      <c r="K46" s="780">
        <f t="shared" si="14"/>
        <v>20</v>
      </c>
      <c r="L46" s="780">
        <f t="shared" si="15"/>
        <v>79058.830854437474</v>
      </c>
      <c r="M46" s="780">
        <f t="shared" si="16"/>
        <v>417.53250000000003</v>
      </c>
      <c r="N46" s="659"/>
      <c r="O46" s="659"/>
      <c r="P46" s="659"/>
      <c r="Q46" s="659"/>
      <c r="R46" s="659">
        <f t="shared" si="19"/>
        <v>119.64499999999998</v>
      </c>
      <c r="S46" s="659"/>
      <c r="T46" s="659"/>
      <c r="U46" s="659"/>
      <c r="V46" s="660"/>
      <c r="W46" s="660"/>
      <c r="X46" s="660"/>
      <c r="Y46" s="660"/>
      <c r="Z46" s="661"/>
      <c r="AA46" s="661"/>
    </row>
    <row r="47" spans="1:27" ht="13.8" thickBot="1" x14ac:dyDescent="0.3">
      <c r="A47" s="1337" t="s">
        <v>15</v>
      </c>
      <c r="B47" s="1338"/>
      <c r="C47" s="1338"/>
      <c r="D47" s="1338"/>
      <c r="E47" s="1338"/>
      <c r="F47" s="1338"/>
      <c r="G47" s="1338"/>
      <c r="H47" s="1338"/>
      <c r="I47" s="1338"/>
      <c r="J47" s="1338"/>
      <c r="K47" s="1338"/>
      <c r="L47" s="783">
        <f>SUM(L9:L46)</f>
        <v>3234397.6484584515</v>
      </c>
      <c r="M47" s="784" t="s">
        <v>192</v>
      </c>
      <c r="N47" s="785"/>
      <c r="O47" s="786"/>
      <c r="Q47" s="787"/>
    </row>
    <row r="48" spans="1:27" x14ac:dyDescent="0.25">
      <c r="D48" s="787"/>
      <c r="J48" s="788"/>
      <c r="K48" s="788"/>
      <c r="L48" s="788"/>
      <c r="M48" s="762"/>
      <c r="Q48" s="787"/>
    </row>
    <row r="49" spans="1:17" x14ac:dyDescent="0.25">
      <c r="J49" s="788"/>
      <c r="K49" s="788"/>
      <c r="L49" s="788"/>
      <c r="M49" s="762"/>
      <c r="Q49" s="787"/>
    </row>
    <row r="50" spans="1:17" x14ac:dyDescent="0.25">
      <c r="A50" s="449" t="s">
        <v>499</v>
      </c>
      <c r="B50" s="789"/>
      <c r="C50" s="790">
        <v>0.3</v>
      </c>
      <c r="D50" s="753" t="s">
        <v>85</v>
      </c>
      <c r="E50" s="1327">
        <f>$L$47*C50</f>
        <v>970319.2945375354</v>
      </c>
      <c r="F50" s="1327"/>
      <c r="G50" s="1327"/>
      <c r="H50" s="1327"/>
      <c r="I50" s="1327"/>
      <c r="J50" s="788"/>
      <c r="K50" s="788"/>
      <c r="L50" s="788"/>
      <c r="M50" s="788"/>
      <c r="N50" s="788"/>
      <c r="P50" s="787"/>
      <c r="Q50" s="787"/>
    </row>
    <row r="51" spans="1:17" x14ac:dyDescent="0.25">
      <c r="A51" s="449" t="s">
        <v>500</v>
      </c>
      <c r="B51" s="789"/>
      <c r="C51" s="790">
        <v>0.3</v>
      </c>
      <c r="D51" s="753" t="s">
        <v>85</v>
      </c>
      <c r="E51" s="1327">
        <f>$L$47*C51</f>
        <v>970319.2945375354</v>
      </c>
      <c r="F51" s="1327"/>
      <c r="G51" s="1327"/>
      <c r="H51" s="1327"/>
      <c r="I51" s="1327"/>
    </row>
    <row r="52" spans="1:17" x14ac:dyDescent="0.25">
      <c r="A52" s="449" t="s">
        <v>501</v>
      </c>
      <c r="C52" s="790">
        <v>0.4</v>
      </c>
      <c r="D52" s="753" t="s">
        <v>85</v>
      </c>
      <c r="E52" s="1327">
        <f>$L$47*C52</f>
        <v>1293759.0593833807</v>
      </c>
      <c r="F52" s="1327"/>
      <c r="G52" s="1327" t="s">
        <v>296</v>
      </c>
      <c r="H52" s="1327"/>
      <c r="I52" s="1327"/>
    </row>
    <row r="53" spans="1:17" x14ac:dyDescent="0.25">
      <c r="B53" s="449" t="s">
        <v>15</v>
      </c>
      <c r="C53" s="792"/>
      <c r="E53" s="1327">
        <f>SUM(E50:I52)</f>
        <v>3234397.6484584515</v>
      </c>
      <c r="F53" s="1327"/>
      <c r="G53" s="1327" t="s">
        <v>296</v>
      </c>
      <c r="H53" s="1327"/>
      <c r="I53" s="1327"/>
    </row>
    <row r="54" spans="1:17" hidden="1" x14ac:dyDescent="0.25">
      <c r="A54" s="789"/>
      <c r="D54" s="753"/>
      <c r="E54" s="793"/>
      <c r="F54" s="794"/>
      <c r="G54" s="794"/>
      <c r="H54" s="794"/>
      <c r="I54" s="794"/>
    </row>
    <row r="55" spans="1:17" hidden="1" x14ac:dyDescent="0.25">
      <c r="B55" s="449" t="e">
        <f>#REF!</f>
        <v>#REF!</v>
      </c>
      <c r="E55" s="794"/>
      <c r="F55" s="794"/>
      <c r="G55" s="794"/>
      <c r="H55" s="794"/>
      <c r="I55" s="794"/>
    </row>
    <row r="56" spans="1:17" ht="12.75" customHeight="1" x14ac:dyDescent="0.25">
      <c r="E56" s="794"/>
      <c r="F56" s="794"/>
      <c r="G56" s="795"/>
      <c r="H56" s="796"/>
    </row>
    <row r="57" spans="1:17" ht="12.75" customHeight="1" x14ac:dyDescent="0.25">
      <c r="D57" s="797" t="e">
        <f>#REF!</f>
        <v>#REF!</v>
      </c>
      <c r="G57" s="795"/>
      <c r="H57" s="797"/>
      <c r="K57" s="752">
        <f>B.T.!H51</f>
        <v>0</v>
      </c>
    </row>
    <row r="58" spans="1:17" ht="12.75" customHeight="1" x14ac:dyDescent="0.25">
      <c r="C58" s="753"/>
      <c r="D58" s="797" t="e">
        <f>#REF!</f>
        <v>#REF!</v>
      </c>
      <c r="E58" s="561"/>
      <c r="F58" s="561"/>
      <c r="G58" s="795"/>
      <c r="H58" s="797"/>
      <c r="K58" s="752">
        <f>B.T.!H52</f>
        <v>0</v>
      </c>
      <c r="M58" s="762"/>
    </row>
    <row r="59" spans="1:17" x14ac:dyDescent="0.25">
      <c r="C59" s="753"/>
      <c r="D59" s="797" t="e">
        <f>#REF!</f>
        <v>#REF!</v>
      </c>
      <c r="E59" s="561"/>
      <c r="F59" s="561"/>
      <c r="G59" s="795"/>
      <c r="H59" s="797"/>
      <c r="I59" s="798"/>
      <c r="J59" s="799"/>
      <c r="K59" s="752">
        <f>B.T.!H53</f>
        <v>0</v>
      </c>
      <c r="M59" s="762"/>
    </row>
    <row r="60" spans="1:17" x14ac:dyDescent="0.25">
      <c r="B60" s="449" t="e">
        <f>#REF!</f>
        <v>#REF!</v>
      </c>
      <c r="C60" s="753"/>
      <c r="E60" s="561"/>
      <c r="F60" s="561"/>
      <c r="I60" s="798"/>
      <c r="J60" s="799"/>
      <c r="K60" s="788"/>
      <c r="M60" s="762"/>
    </row>
    <row r="61" spans="1:17" x14ac:dyDescent="0.25">
      <c r="C61" s="753"/>
      <c r="E61" s="561"/>
      <c r="F61" s="561"/>
      <c r="I61" s="798"/>
      <c r="J61" s="799"/>
      <c r="K61" s="788"/>
      <c r="M61" s="762"/>
    </row>
    <row r="62" spans="1:17" x14ac:dyDescent="0.25">
      <c r="C62" s="753"/>
      <c r="E62" s="561"/>
      <c r="F62" s="561"/>
      <c r="I62" s="798"/>
      <c r="J62" s="799"/>
      <c r="K62" s="788"/>
      <c r="M62" s="762"/>
    </row>
    <row r="63" spans="1:17" x14ac:dyDescent="0.25">
      <c r="C63" s="753"/>
      <c r="E63" s="561"/>
      <c r="F63" s="561"/>
      <c r="I63" s="798"/>
      <c r="J63" s="799"/>
      <c r="K63" s="788"/>
      <c r="M63" s="762"/>
    </row>
    <row r="64" spans="1:17" x14ac:dyDescent="0.25">
      <c r="C64" s="753"/>
      <c r="E64" s="561"/>
      <c r="F64" s="561"/>
      <c r="I64" s="798"/>
      <c r="J64" s="799"/>
      <c r="K64" s="788"/>
      <c r="M64" s="762"/>
    </row>
    <row r="65" spans="1:13" x14ac:dyDescent="0.25">
      <c r="C65" s="753"/>
      <c r="E65" s="561"/>
      <c r="F65" s="561"/>
      <c r="I65" s="798"/>
      <c r="J65" s="799"/>
      <c r="K65" s="788"/>
      <c r="M65" s="762"/>
    </row>
    <row r="66" spans="1:13" x14ac:dyDescent="0.25">
      <c r="C66" s="753"/>
      <c r="E66" s="561"/>
      <c r="F66" s="561"/>
      <c r="I66" s="798"/>
      <c r="J66" s="799"/>
      <c r="K66" s="788"/>
      <c r="M66" s="762"/>
    </row>
    <row r="67" spans="1:13" x14ac:dyDescent="0.25">
      <c r="C67" s="753"/>
      <c r="E67" s="561"/>
      <c r="F67" s="561"/>
      <c r="I67" s="798"/>
      <c r="J67" s="799"/>
      <c r="K67" s="788"/>
      <c r="M67" s="762"/>
    </row>
    <row r="68" spans="1:13" x14ac:dyDescent="0.25">
      <c r="C68" s="753"/>
      <c r="E68" s="561"/>
      <c r="F68" s="561"/>
      <c r="I68" s="798"/>
      <c r="J68" s="799"/>
      <c r="K68" s="788"/>
      <c r="M68" s="762"/>
    </row>
    <row r="69" spans="1:13" x14ac:dyDescent="0.25">
      <c r="C69" s="753"/>
      <c r="E69" s="561"/>
      <c r="F69" s="561"/>
      <c r="I69" s="791"/>
      <c r="J69" s="791"/>
      <c r="K69" s="788"/>
      <c r="M69" s="762"/>
    </row>
    <row r="70" spans="1:13" ht="12.75" customHeight="1" x14ac:dyDescent="0.3">
      <c r="M70" s="754"/>
    </row>
    <row r="71" spans="1:13" x14ac:dyDescent="0.25">
      <c r="A71" s="1322"/>
      <c r="B71" s="1322"/>
      <c r="C71" s="1322"/>
      <c r="D71" s="1322"/>
      <c r="E71" s="1322"/>
      <c r="F71" s="1322"/>
      <c r="G71" s="1322"/>
      <c r="H71" s="1322"/>
      <c r="I71" s="800"/>
      <c r="J71" s="789"/>
      <c r="K71" s="789"/>
      <c r="L71" s="789"/>
      <c r="M71" s="789"/>
    </row>
    <row r="72" spans="1:13" x14ac:dyDescent="0.25">
      <c r="A72" s="789"/>
      <c r="B72" s="801"/>
      <c r="C72" s="802"/>
      <c r="D72" s="803"/>
      <c r="E72" s="789"/>
      <c r="F72" s="789"/>
      <c r="G72" s="789"/>
      <c r="H72" s="789"/>
      <c r="I72" s="789"/>
      <c r="J72" s="789"/>
      <c r="K72" s="789"/>
      <c r="L72" s="789"/>
      <c r="M72" s="789"/>
    </row>
    <row r="73" spans="1:13" x14ac:dyDescent="0.25">
      <c r="A73" s="789"/>
      <c r="B73" s="801"/>
      <c r="C73" s="804"/>
      <c r="D73" s="803"/>
      <c r="E73" s="789"/>
      <c r="F73" s="789"/>
      <c r="G73" s="789"/>
      <c r="H73" s="789"/>
      <c r="I73" s="789"/>
      <c r="J73" s="789"/>
      <c r="K73" s="789"/>
      <c r="L73" s="789"/>
      <c r="M73" s="789"/>
    </row>
    <row r="74" spans="1:13" x14ac:dyDescent="0.25">
      <c r="A74" s="789"/>
      <c r="B74" s="801"/>
      <c r="C74" s="802"/>
      <c r="D74" s="803"/>
      <c r="E74" s="789"/>
      <c r="F74" s="789"/>
      <c r="G74" s="789"/>
      <c r="H74" s="789"/>
      <c r="I74" s="789"/>
      <c r="J74" s="789"/>
      <c r="K74" s="789"/>
      <c r="L74" s="789"/>
      <c r="M74" s="789"/>
    </row>
    <row r="75" spans="1:13" x14ac:dyDescent="0.25">
      <c r="A75" s="789"/>
      <c r="B75" s="801"/>
      <c r="C75" s="802"/>
      <c r="D75" s="801"/>
      <c r="E75" s="789"/>
      <c r="F75" s="789"/>
      <c r="G75" s="789"/>
      <c r="H75" s="803"/>
      <c r="I75" s="803"/>
      <c r="J75" s="789"/>
      <c r="K75" s="789"/>
      <c r="L75" s="789"/>
      <c r="M75" s="789"/>
    </row>
    <row r="76" spans="1:13" x14ac:dyDescent="0.25">
      <c r="A76" s="789"/>
      <c r="B76" s="801"/>
      <c r="C76" s="803"/>
      <c r="D76" s="803"/>
      <c r="E76" s="789"/>
      <c r="F76" s="789"/>
      <c r="G76" s="789"/>
      <c r="H76" s="789"/>
      <c r="I76" s="789"/>
      <c r="J76" s="789"/>
      <c r="K76" s="789"/>
      <c r="L76" s="789"/>
      <c r="M76" s="789"/>
    </row>
    <row r="77" spans="1:13" x14ac:dyDescent="0.25">
      <c r="A77" s="789"/>
      <c r="B77" s="805"/>
      <c r="C77" s="802"/>
      <c r="D77" s="803"/>
      <c r="E77" s="789"/>
      <c r="F77" s="789"/>
      <c r="G77" s="789"/>
      <c r="H77" s="789"/>
      <c r="I77" s="789"/>
      <c r="J77" s="789"/>
      <c r="K77" s="789"/>
      <c r="L77" s="789"/>
      <c r="M77" s="789"/>
    </row>
    <row r="78" spans="1:13" x14ac:dyDescent="0.25">
      <c r="A78" s="789"/>
      <c r="B78" s="801"/>
      <c r="C78" s="802"/>
      <c r="D78" s="806"/>
      <c r="E78" s="789"/>
      <c r="F78" s="789"/>
      <c r="G78" s="789"/>
      <c r="H78" s="803"/>
      <c r="I78" s="803"/>
      <c r="J78" s="789"/>
      <c r="K78" s="789"/>
      <c r="L78" s="789"/>
      <c r="M78" s="789"/>
    </row>
    <row r="79" spans="1:13" x14ac:dyDescent="0.25">
      <c r="A79" s="789"/>
      <c r="B79" s="801"/>
      <c r="C79" s="802"/>
      <c r="D79" s="1321"/>
      <c r="E79" s="1321"/>
      <c r="F79" s="805"/>
      <c r="G79" s="789"/>
      <c r="H79" s="789"/>
      <c r="I79" s="789"/>
      <c r="J79" s="789"/>
      <c r="K79" s="789"/>
      <c r="L79" s="789"/>
      <c r="M79" s="789"/>
    </row>
    <row r="80" spans="1:13" x14ac:dyDescent="0.25">
      <c r="A80" s="789"/>
      <c r="B80" s="801"/>
      <c r="C80" s="802"/>
      <c r="D80" s="803"/>
      <c r="E80" s="789"/>
      <c r="F80" s="789"/>
      <c r="G80" s="789"/>
      <c r="H80" s="789"/>
      <c r="I80" s="789"/>
      <c r="J80" s="789"/>
      <c r="K80" s="789"/>
      <c r="L80" s="789"/>
      <c r="M80" s="789"/>
    </row>
    <row r="81" spans="1:13" x14ac:dyDescent="0.25">
      <c r="A81" s="789"/>
      <c r="B81" s="801"/>
      <c r="C81" s="802"/>
      <c r="D81" s="803"/>
      <c r="E81" s="789"/>
      <c r="F81" s="789"/>
      <c r="G81" s="789"/>
      <c r="H81" s="789"/>
      <c r="I81" s="789"/>
      <c r="J81" s="789"/>
      <c r="K81" s="789"/>
      <c r="L81" s="789"/>
      <c r="M81" s="789"/>
    </row>
    <row r="82" spans="1:13" x14ac:dyDescent="0.25">
      <c r="A82" s="789"/>
      <c r="B82" s="801"/>
      <c r="C82" s="802"/>
      <c r="D82" s="803"/>
      <c r="E82" s="789"/>
      <c r="F82" s="789"/>
      <c r="G82" s="789"/>
      <c r="H82" s="789"/>
      <c r="I82" s="789"/>
      <c r="J82" s="789"/>
      <c r="K82" s="789"/>
      <c r="L82" s="789"/>
      <c r="M82" s="789"/>
    </row>
    <row r="83" spans="1:13" x14ac:dyDescent="0.25">
      <c r="A83" s="789"/>
      <c r="B83" s="801"/>
      <c r="C83" s="802"/>
      <c r="D83" s="803"/>
      <c r="E83" s="789"/>
      <c r="F83" s="789"/>
      <c r="G83" s="789"/>
      <c r="H83" s="789"/>
      <c r="I83" s="789"/>
      <c r="J83" s="789"/>
      <c r="K83" s="789"/>
      <c r="L83" s="789"/>
      <c r="M83" s="789"/>
    </row>
    <row r="84" spans="1:13" ht="13.8" thickBot="1" x14ac:dyDescent="0.3">
      <c r="A84" s="1323"/>
      <c r="B84" s="1323"/>
      <c r="C84" s="1323"/>
      <c r="D84" s="1324"/>
      <c r="E84" s="1324"/>
      <c r="F84" s="1324"/>
      <c r="G84" s="1324"/>
      <c r="H84" s="1324"/>
      <c r="I84" s="805"/>
      <c r="J84" s="789"/>
      <c r="K84" s="789"/>
      <c r="L84" s="789"/>
      <c r="M84" s="789"/>
    </row>
    <row r="85" spans="1:13" x14ac:dyDescent="0.25">
      <c r="A85" s="1323"/>
      <c r="B85" s="1323"/>
      <c r="C85" s="1323"/>
      <c r="D85" s="1325"/>
      <c r="E85" s="1325"/>
      <c r="F85" s="1325"/>
      <c r="G85" s="1325"/>
      <c r="H85" s="1325"/>
      <c r="I85" s="805"/>
      <c r="J85" s="789"/>
      <c r="K85" s="789"/>
      <c r="L85" s="789"/>
      <c r="M85" s="789"/>
    </row>
    <row r="86" spans="1:13" x14ac:dyDescent="0.25">
      <c r="A86" s="789"/>
      <c r="B86" s="801"/>
      <c r="C86" s="807"/>
      <c r="D86" s="808"/>
      <c r="E86" s="789"/>
      <c r="F86" s="789"/>
      <c r="G86" s="789"/>
      <c r="H86" s="789"/>
      <c r="I86" s="789"/>
      <c r="J86" s="789"/>
      <c r="K86" s="789"/>
      <c r="L86" s="789"/>
      <c r="M86" s="789"/>
    </row>
    <row r="87" spans="1:13" x14ac:dyDescent="0.25">
      <c r="A87" s="789"/>
      <c r="B87" s="1326"/>
      <c r="C87" s="1326"/>
      <c r="D87" s="1326"/>
      <c r="E87" s="1326"/>
      <c r="F87" s="1326"/>
      <c r="G87" s="1326"/>
      <c r="H87" s="1326"/>
      <c r="I87" s="801"/>
      <c r="J87" s="800"/>
      <c r="K87" s="789"/>
      <c r="L87" s="789"/>
      <c r="M87" s="789"/>
    </row>
    <row r="88" spans="1:13" x14ac:dyDescent="0.25">
      <c r="A88" s="789"/>
      <c r="B88" s="801"/>
      <c r="C88" s="789"/>
      <c r="D88" s="809"/>
      <c r="E88" s="803"/>
      <c r="F88" s="803"/>
      <c r="G88" s="789"/>
      <c r="H88" s="789"/>
      <c r="I88" s="789"/>
      <c r="J88" s="789"/>
      <c r="K88" s="789"/>
      <c r="L88" s="789"/>
      <c r="M88" s="789"/>
    </row>
    <row r="89" spans="1:13" x14ac:dyDescent="0.25">
      <c r="A89" s="789"/>
      <c r="B89" s="789"/>
      <c r="C89" s="789"/>
      <c r="D89" s="803"/>
      <c r="E89" s="789"/>
      <c r="F89" s="789"/>
      <c r="G89" s="789"/>
      <c r="H89" s="789"/>
      <c r="I89" s="789"/>
      <c r="J89" s="789"/>
      <c r="K89" s="789"/>
      <c r="L89" s="789"/>
      <c r="M89" s="789"/>
    </row>
    <row r="90" spans="1:13" ht="15" x14ac:dyDescent="0.25">
      <c r="A90" s="789"/>
      <c r="B90" s="810"/>
      <c r="C90" s="789"/>
      <c r="D90" s="803"/>
      <c r="E90" s="789"/>
      <c r="F90" s="789"/>
      <c r="G90" s="679"/>
      <c r="H90" s="679"/>
      <c r="I90" s="679"/>
      <c r="J90" s="679"/>
      <c r="K90" s="679"/>
      <c r="L90" s="679"/>
      <c r="M90" s="679"/>
    </row>
    <row r="91" spans="1:13" ht="15" x14ac:dyDescent="0.25">
      <c r="A91" s="789"/>
      <c r="B91" s="810"/>
      <c r="C91" s="789"/>
      <c r="D91" s="803"/>
      <c r="E91" s="789"/>
      <c r="F91" s="789"/>
      <c r="G91" s="679"/>
      <c r="H91" s="679"/>
      <c r="I91" s="679"/>
      <c r="J91" s="679"/>
      <c r="K91" s="679"/>
      <c r="L91" s="679"/>
      <c r="M91" s="679"/>
    </row>
    <row r="92" spans="1:13" ht="15" x14ac:dyDescent="0.25">
      <c r="A92" s="789"/>
      <c r="B92" s="810"/>
      <c r="C92" s="789"/>
      <c r="D92" s="803"/>
      <c r="E92" s="789"/>
      <c r="F92" s="789"/>
      <c r="G92" s="679"/>
      <c r="H92" s="679"/>
      <c r="I92" s="679"/>
      <c r="J92" s="679"/>
      <c r="K92" s="679"/>
      <c r="L92" s="679"/>
      <c r="M92" s="679"/>
    </row>
    <row r="93" spans="1:13" ht="15" x14ac:dyDescent="0.25">
      <c r="A93" s="789"/>
      <c r="B93" s="810"/>
      <c r="C93" s="789"/>
      <c r="D93" s="803"/>
      <c r="E93" s="789"/>
      <c r="F93" s="789"/>
      <c r="G93" s="679"/>
      <c r="H93" s="679"/>
      <c r="I93" s="679"/>
      <c r="J93" s="679"/>
      <c r="K93" s="679"/>
      <c r="L93" s="679"/>
      <c r="M93" s="679"/>
    </row>
    <row r="94" spans="1:13" ht="15" x14ac:dyDescent="0.25">
      <c r="A94" s="810"/>
      <c r="B94" s="810"/>
      <c r="C94" s="811"/>
      <c r="D94" s="812"/>
      <c r="E94" s="644"/>
      <c r="F94" s="644"/>
      <c r="G94" s="679"/>
      <c r="H94" s="679"/>
      <c r="I94" s="679"/>
      <c r="J94" s="679"/>
      <c r="K94" s="679"/>
      <c r="L94" s="679"/>
      <c r="M94" s="679"/>
    </row>
    <row r="95" spans="1:13" ht="15" x14ac:dyDescent="0.25">
      <c r="A95" s="810"/>
      <c r="B95" s="810"/>
      <c r="C95" s="679"/>
      <c r="D95" s="813"/>
      <c r="E95" s="644"/>
      <c r="F95" s="644"/>
      <c r="G95" s="679"/>
      <c r="H95" s="679"/>
      <c r="I95" s="679"/>
      <c r="J95" s="679"/>
      <c r="K95" s="679"/>
      <c r="L95" s="679"/>
      <c r="M95" s="679"/>
    </row>
    <row r="96" spans="1:13" ht="15" x14ac:dyDescent="0.25">
      <c r="A96" s="810"/>
      <c r="B96" s="810"/>
      <c r="C96" s="679"/>
      <c r="D96" s="813"/>
      <c r="E96" s="644"/>
      <c r="F96" s="644"/>
      <c r="G96" s="679"/>
      <c r="H96" s="679"/>
      <c r="I96" s="679"/>
      <c r="J96" s="679"/>
      <c r="K96" s="679"/>
      <c r="L96" s="679"/>
      <c r="M96" s="679"/>
    </row>
    <row r="97" spans="1:13" ht="30.75" customHeight="1" x14ac:dyDescent="0.25">
      <c r="A97" s="1319"/>
      <c r="B97" s="1319"/>
      <c r="C97" s="789"/>
      <c r="D97" s="1320"/>
      <c r="E97" s="1320"/>
      <c r="F97" s="1320"/>
      <c r="G97" s="1320"/>
      <c r="H97" s="1320"/>
      <c r="I97" s="814"/>
      <c r="J97" s="789"/>
      <c r="K97" s="789"/>
      <c r="L97" s="789"/>
      <c r="M97" s="815"/>
    </row>
    <row r="98" spans="1:13" x14ac:dyDescent="0.25">
      <c r="A98" s="789"/>
      <c r="B98" s="789"/>
      <c r="C98" s="789"/>
      <c r="D98" s="1321"/>
      <c r="E98" s="1321"/>
      <c r="F98" s="1321"/>
      <c r="G98" s="1321"/>
      <c r="H98" s="1321"/>
      <c r="I98" s="805"/>
      <c r="J98" s="816"/>
      <c r="K98" s="789"/>
      <c r="L98" s="817"/>
      <c r="M98" s="817"/>
    </row>
  </sheetData>
  <customSheetViews>
    <customSheetView guid="{5161B42F-120B-436B-80F4-9BB578173AD5}" scale="85" hiddenRows="1" hiddenColumns="1" topLeftCell="A7">
      <selection activeCell="K21" sqref="K21"/>
      <pageMargins left="0.11811023622047245" right="0.70866141732283472" top="0.74803149606299213" bottom="0.74803149606299213" header="0.31496062992125984" footer="0.31496062992125984"/>
      <printOptions horizontalCentered="1" verticalCentered="1"/>
      <pageSetup scale="87" fitToWidth="0" fitToHeight="0" orientation="portrait" r:id="rId1"/>
      <headerFooter>
        <oddFooter>&amp;R&amp;P</oddFooter>
      </headerFooter>
    </customSheetView>
  </customSheetViews>
  <mergeCells count="21">
    <mergeCell ref="E53:I53"/>
    <mergeCell ref="A1:M1"/>
    <mergeCell ref="A2:D2"/>
    <mergeCell ref="J2:M2"/>
    <mergeCell ref="A3:D3"/>
    <mergeCell ref="A4:M4"/>
    <mergeCell ref="F6:G6"/>
    <mergeCell ref="A47:K47"/>
    <mergeCell ref="E50:I50"/>
    <mergeCell ref="E51:I51"/>
    <mergeCell ref="E52:I52"/>
    <mergeCell ref="A97:B97"/>
    <mergeCell ref="D97:H97"/>
    <mergeCell ref="D98:H98"/>
    <mergeCell ref="A71:H71"/>
    <mergeCell ref="D79:E79"/>
    <mergeCell ref="A84:C85"/>
    <mergeCell ref="D84:H84"/>
    <mergeCell ref="D85:H85"/>
    <mergeCell ref="B87:C87"/>
    <mergeCell ref="D87:H87"/>
  </mergeCells>
  <printOptions horizontalCentered="1" verticalCentered="1"/>
  <pageMargins left="0.11811023622047245" right="0.70866141732283472" top="0.74803149606299213" bottom="0.74803149606299213" header="0.31496062992125984" footer="0.31496062992125984"/>
  <pageSetup scale="87" fitToWidth="0" fitToHeight="0" orientation="portrait" r:id="rId2"/>
  <headerFooter>
    <oddFooter>&amp;R&amp;P</oddFooter>
  </headerFooter>
  <rowBreaks count="1" manualBreakCount="1">
    <brk id="35" max="14"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U49"/>
  <sheetViews>
    <sheetView view="pageBreakPreview" zoomScale="60" zoomScaleNormal="100" workbookViewId="0">
      <selection activeCell="H43" sqref="H43"/>
    </sheetView>
  </sheetViews>
  <sheetFormatPr defaultColWidth="9.109375" defaultRowHeight="13.2" x14ac:dyDescent="0.25"/>
  <cols>
    <col min="1" max="1" width="9.109375" style="449"/>
    <col min="2" max="2" width="6.44140625" style="449" customWidth="1"/>
    <col min="3" max="6" width="9.109375" style="449"/>
    <col min="7" max="7" width="10.77734375" style="449" customWidth="1"/>
    <col min="8" max="16384" width="9.109375" style="449"/>
  </cols>
  <sheetData>
    <row r="1" spans="1:21" ht="15.6" x14ac:dyDescent="0.3">
      <c r="A1" s="1339" t="str">
        <f>B.T.!A1</f>
        <v>ROSHNABAD BARRAGE</v>
      </c>
      <c r="B1" s="1248"/>
      <c r="C1" s="1248"/>
      <c r="D1" s="1248"/>
      <c r="E1" s="1248"/>
      <c r="F1" s="1248"/>
      <c r="G1" s="1248"/>
      <c r="H1" s="569"/>
      <c r="I1" s="569"/>
      <c r="J1" s="569"/>
      <c r="K1" s="569"/>
      <c r="L1" s="569"/>
      <c r="M1" s="569"/>
      <c r="N1" s="569"/>
    </row>
    <row r="2" spans="1:21" ht="14.4" x14ac:dyDescent="0.3">
      <c r="A2" s="697" t="str">
        <f>CUTOFF3!A2</f>
        <v>TEHSIL :-SIDHI</v>
      </c>
      <c r="B2" s="698"/>
      <c r="C2" s="698"/>
      <c r="D2" s="699"/>
      <c r="E2" s="1311" t="str">
        <f>CUTOFF3!J2</f>
        <v>DISTRICT :SINGRAULI</v>
      </c>
      <c r="F2" s="1311"/>
      <c r="G2" s="1311"/>
      <c r="H2" s="569"/>
      <c r="I2" s="569"/>
      <c r="J2" s="569"/>
      <c r="K2" s="569"/>
      <c r="L2" s="569"/>
      <c r="M2" s="569"/>
      <c r="N2" s="569"/>
    </row>
    <row r="3" spans="1:21" ht="14.4" x14ac:dyDescent="0.3">
      <c r="A3" s="697"/>
      <c r="B3" s="698"/>
      <c r="C3" s="698"/>
      <c r="D3" s="699"/>
      <c r="E3" s="703"/>
      <c r="F3" s="569" t="s">
        <v>100</v>
      </c>
      <c r="G3" s="708">
        <f>'e-w'!C4</f>
        <v>597</v>
      </c>
      <c r="H3" s="569"/>
      <c r="I3" s="569"/>
      <c r="J3" s="569"/>
      <c r="K3" s="569"/>
      <c r="L3" s="569"/>
      <c r="M3" s="569"/>
      <c r="N3" s="569"/>
    </row>
    <row r="4" spans="1:21" ht="15.6" x14ac:dyDescent="0.3">
      <c r="A4" s="1340" t="s">
        <v>502</v>
      </c>
      <c r="B4" s="1340"/>
      <c r="C4" s="1340"/>
      <c r="D4" s="1340"/>
      <c r="E4" s="1340"/>
      <c r="F4" s="1340"/>
      <c r="G4" s="1340"/>
      <c r="H4" s="569"/>
      <c r="I4" s="569"/>
      <c r="J4" s="569"/>
      <c r="K4" s="569"/>
      <c r="L4" s="569"/>
      <c r="M4" s="569"/>
      <c r="N4" s="569"/>
    </row>
    <row r="5" spans="1:21" ht="13.8" x14ac:dyDescent="0.3">
      <c r="A5" s="1341" t="s">
        <v>466</v>
      </c>
      <c r="B5" s="1341" t="s">
        <v>503</v>
      </c>
      <c r="C5" s="1342" t="s">
        <v>504</v>
      </c>
      <c r="D5" s="1342" t="s">
        <v>505</v>
      </c>
      <c r="E5" s="1344" t="s">
        <v>506</v>
      </c>
      <c r="F5" s="1344" t="s">
        <v>507</v>
      </c>
      <c r="G5" s="1346" t="s">
        <v>508</v>
      </c>
      <c r="H5" s="819"/>
      <c r="I5" s="569"/>
      <c r="J5" s="569"/>
      <c r="K5" s="569"/>
      <c r="L5" s="569"/>
      <c r="M5" s="569"/>
      <c r="N5" s="569"/>
    </row>
    <row r="6" spans="1:21" ht="60" customHeight="1" x14ac:dyDescent="0.3">
      <c r="A6" s="1341"/>
      <c r="B6" s="1341"/>
      <c r="C6" s="1343"/>
      <c r="D6" s="1343"/>
      <c r="E6" s="1344"/>
      <c r="F6" s="1345"/>
      <c r="G6" s="1347"/>
      <c r="H6" s="820"/>
      <c r="N6" s="569"/>
    </row>
    <row r="7" spans="1:21" ht="13.8" x14ac:dyDescent="0.3">
      <c r="A7" s="821">
        <v>1</v>
      </c>
      <c r="B7" s="821">
        <v>2</v>
      </c>
      <c r="C7" s="821">
        <v>3</v>
      </c>
      <c r="D7" s="821">
        <v>4</v>
      </c>
      <c r="E7" s="821">
        <v>5</v>
      </c>
      <c r="F7" s="821">
        <v>6</v>
      </c>
      <c r="G7" s="821">
        <v>7</v>
      </c>
      <c r="H7" s="820"/>
      <c r="N7" s="569"/>
    </row>
    <row r="8" spans="1:21" s="615" customFormat="1" ht="15.6" x14ac:dyDescent="0.3">
      <c r="A8" s="822">
        <f>CUTOFF3!B9</f>
        <v>0</v>
      </c>
      <c r="B8" s="823">
        <v>0</v>
      </c>
      <c r="C8" s="824">
        <f>CUTOFF3!C9</f>
        <v>477.834</v>
      </c>
      <c r="D8" s="824">
        <f t="shared" ref="D8:D9" si="0">IF(AND(C8&gt;0,$G$3-C8&gt;0),G$3-C8,0)</f>
        <v>119.166</v>
      </c>
      <c r="E8" s="824">
        <v>0</v>
      </c>
      <c r="F8" s="824"/>
      <c r="G8" s="824"/>
      <c r="H8" s="659"/>
      <c r="I8" s="659"/>
      <c r="J8" s="659"/>
      <c r="K8" s="659"/>
      <c r="L8" s="659"/>
      <c r="M8" s="659"/>
      <c r="N8" s="659"/>
      <c r="O8" s="659"/>
      <c r="P8" s="660"/>
      <c r="Q8" s="660"/>
      <c r="R8" s="660"/>
      <c r="S8" s="660"/>
      <c r="T8" s="661"/>
      <c r="U8" s="661"/>
    </row>
    <row r="9" spans="1:21" s="615" customFormat="1" ht="15.6" x14ac:dyDescent="0.3">
      <c r="A9" s="822">
        <f>CUTOFF3!B10</f>
        <v>20</v>
      </c>
      <c r="B9" s="823">
        <f t="shared" ref="B9" si="1">IF(A9-A8&gt;0,A9-A8,0)</f>
        <v>20</v>
      </c>
      <c r="C9" s="824">
        <f>CUTOFF3!C10</f>
        <v>477.37495931758531</v>
      </c>
      <c r="D9" s="824">
        <f t="shared" si="0"/>
        <v>119.62504068241469</v>
      </c>
      <c r="E9" s="824">
        <v>14.8</v>
      </c>
      <c r="F9" s="824">
        <f t="shared" ref="F9" si="2">(E9+E8)*0.5</f>
        <v>7.4</v>
      </c>
      <c r="G9" s="824">
        <f t="shared" ref="G9" si="3">F9*B9</f>
        <v>148</v>
      </c>
      <c r="H9" s="659"/>
      <c r="I9" s="659"/>
      <c r="J9" s="659"/>
      <c r="K9" s="659"/>
      <c r="L9" s="659"/>
      <c r="M9" s="659"/>
      <c r="N9" s="659"/>
      <c r="O9" s="659"/>
      <c r="P9" s="660"/>
      <c r="Q9" s="660"/>
      <c r="R9" s="660"/>
      <c r="S9" s="660"/>
      <c r="T9" s="661"/>
      <c r="U9" s="661"/>
    </row>
    <row r="10" spans="1:21" s="615" customFormat="1" ht="15.6" x14ac:dyDescent="0.3">
      <c r="A10" s="822">
        <f>CUTOFF3!B11</f>
        <v>40</v>
      </c>
      <c r="B10" s="823">
        <f t="shared" ref="B10:B45" si="4">IF(A10-A9&gt;0,A10-A9,0)</f>
        <v>20</v>
      </c>
      <c r="C10" s="824">
        <f>CUTOFF3!C11</f>
        <v>476.60178899082564</v>
      </c>
      <c r="D10" s="824">
        <f t="shared" ref="D10:D45" si="5">IF(AND(C10&gt;0,$G$3-C10&gt;0),G$3-C10,0)</f>
        <v>120.39821100917436</v>
      </c>
      <c r="E10" s="824">
        <v>15.8</v>
      </c>
      <c r="F10" s="824">
        <f t="shared" ref="F10:F45" si="6">(E10+E9)*0.5</f>
        <v>15.3</v>
      </c>
      <c r="G10" s="824">
        <f t="shared" ref="G10:G45" si="7">F10*B10</f>
        <v>306</v>
      </c>
      <c r="H10" s="659"/>
      <c r="I10" s="659"/>
      <c r="J10" s="659"/>
      <c r="K10" s="659"/>
      <c r="L10" s="659"/>
      <c r="M10" s="659"/>
      <c r="N10" s="659"/>
      <c r="O10" s="659"/>
      <c r="P10" s="660"/>
      <c r="Q10" s="660"/>
      <c r="R10" s="660"/>
      <c r="S10" s="660"/>
      <c r="T10" s="661"/>
      <c r="U10" s="661"/>
    </row>
    <row r="11" spans="1:21" s="615" customFormat="1" ht="15.6" x14ac:dyDescent="0.3">
      <c r="A11" s="822">
        <f>CUTOFF3!B12</f>
        <v>60</v>
      </c>
      <c r="B11" s="823">
        <f t="shared" si="4"/>
        <v>20</v>
      </c>
      <c r="C11" s="824">
        <f>CUTOFF3!C12</f>
        <v>476.11086614173229</v>
      </c>
      <c r="D11" s="824">
        <f t="shared" si="5"/>
        <v>120.88913385826771</v>
      </c>
      <c r="E11" s="824">
        <v>16.8</v>
      </c>
      <c r="F11" s="824">
        <f t="shared" si="6"/>
        <v>16.3</v>
      </c>
      <c r="G11" s="824">
        <f t="shared" si="7"/>
        <v>326</v>
      </c>
      <c r="H11" s="659"/>
      <c r="I11" s="659"/>
      <c r="J11" s="659"/>
      <c r="K11" s="659"/>
      <c r="L11" s="659"/>
      <c r="M11" s="659"/>
      <c r="N11" s="659"/>
      <c r="O11" s="659"/>
      <c r="P11" s="660"/>
      <c r="Q11" s="660"/>
      <c r="R11" s="660"/>
      <c r="S11" s="660"/>
      <c r="T11" s="661"/>
      <c r="U11" s="661"/>
    </row>
    <row r="12" spans="1:21" s="615" customFormat="1" ht="15.6" x14ac:dyDescent="0.3">
      <c r="A12" s="822">
        <f>CUTOFF3!B13</f>
        <v>80</v>
      </c>
      <c r="B12" s="823">
        <f t="shared" si="4"/>
        <v>20</v>
      </c>
      <c r="C12" s="824">
        <f>CUTOFF3!C13</f>
        <v>475.51279921259845</v>
      </c>
      <c r="D12" s="824">
        <f t="shared" si="5"/>
        <v>121.48720078740155</v>
      </c>
      <c r="E12" s="824">
        <v>17.8</v>
      </c>
      <c r="F12" s="824">
        <f t="shared" si="6"/>
        <v>17.3</v>
      </c>
      <c r="G12" s="824">
        <f t="shared" si="7"/>
        <v>346</v>
      </c>
      <c r="H12" s="659"/>
      <c r="I12" s="659"/>
      <c r="J12" s="659"/>
      <c r="K12" s="659"/>
      <c r="L12" s="659"/>
      <c r="M12" s="659"/>
      <c r="N12" s="659"/>
      <c r="O12" s="659"/>
      <c r="P12" s="660"/>
      <c r="Q12" s="660"/>
      <c r="R12" s="660"/>
      <c r="S12" s="660"/>
      <c r="T12" s="661"/>
      <c r="U12" s="661"/>
    </row>
    <row r="13" spans="1:21" s="615" customFormat="1" ht="15.6" x14ac:dyDescent="0.3">
      <c r="A13" s="822">
        <f>CUTOFF3!B14</f>
        <v>100</v>
      </c>
      <c r="B13" s="823">
        <f t="shared" si="4"/>
        <v>20</v>
      </c>
      <c r="C13" s="824">
        <f>CUTOFF3!C14</f>
        <v>474.85713612565439</v>
      </c>
      <c r="D13" s="824">
        <f t="shared" si="5"/>
        <v>122.14286387434561</v>
      </c>
      <c r="E13" s="824">
        <v>18.8</v>
      </c>
      <c r="F13" s="824">
        <f t="shared" si="6"/>
        <v>18.3</v>
      </c>
      <c r="G13" s="824">
        <f t="shared" si="7"/>
        <v>366</v>
      </c>
      <c r="H13" s="659"/>
      <c r="I13" s="659"/>
      <c r="J13" s="659"/>
      <c r="K13" s="659"/>
      <c r="L13" s="659"/>
      <c r="M13" s="659"/>
      <c r="N13" s="659"/>
      <c r="O13" s="659"/>
      <c r="P13" s="660"/>
      <c r="Q13" s="660"/>
      <c r="R13" s="660"/>
      <c r="S13" s="660"/>
      <c r="T13" s="661"/>
      <c r="U13" s="661"/>
    </row>
    <row r="14" spans="1:21" s="615" customFormat="1" ht="15.6" x14ac:dyDescent="0.3">
      <c r="A14" s="822">
        <f>CUTOFF3!B15</f>
        <v>120</v>
      </c>
      <c r="B14" s="823">
        <f t="shared" si="4"/>
        <v>20</v>
      </c>
      <c r="C14" s="824">
        <f>CUTOFF3!C15</f>
        <v>474.7220789473684</v>
      </c>
      <c r="D14" s="824">
        <f t="shared" si="5"/>
        <v>122.2779210526316</v>
      </c>
      <c r="E14" s="824">
        <v>19.8</v>
      </c>
      <c r="F14" s="824">
        <f t="shared" si="6"/>
        <v>19.3</v>
      </c>
      <c r="G14" s="824">
        <f t="shared" si="7"/>
        <v>386</v>
      </c>
      <c r="H14" s="659"/>
      <c r="I14" s="659"/>
      <c r="J14" s="659"/>
      <c r="K14" s="659"/>
      <c r="L14" s="659"/>
      <c r="M14" s="659"/>
      <c r="N14" s="659"/>
      <c r="O14" s="659"/>
      <c r="P14" s="660"/>
      <c r="Q14" s="660"/>
      <c r="R14" s="660"/>
      <c r="S14" s="660"/>
      <c r="T14" s="661"/>
      <c r="U14" s="661"/>
    </row>
    <row r="15" spans="1:21" s="615" customFormat="1" ht="15.6" x14ac:dyDescent="0.3">
      <c r="A15" s="822">
        <f>CUTOFF3!B16</f>
        <v>140</v>
      </c>
      <c r="B15" s="823">
        <f t="shared" si="4"/>
        <v>20</v>
      </c>
      <c r="C15" s="824">
        <f>CUTOFF3!C16</f>
        <v>474.76499999999999</v>
      </c>
      <c r="D15" s="824">
        <f t="shared" si="5"/>
        <v>122.23500000000001</v>
      </c>
      <c r="E15" s="824">
        <v>20.8</v>
      </c>
      <c r="F15" s="824">
        <f t="shared" si="6"/>
        <v>20.3</v>
      </c>
      <c r="G15" s="824">
        <f t="shared" si="7"/>
        <v>406</v>
      </c>
      <c r="H15" s="659"/>
      <c r="I15" s="659"/>
      <c r="J15" s="659"/>
      <c r="K15" s="659"/>
      <c r="L15" s="659"/>
      <c r="M15" s="659"/>
      <c r="N15" s="659"/>
      <c r="O15" s="659"/>
      <c r="P15" s="660"/>
      <c r="Q15" s="660"/>
      <c r="R15" s="660"/>
      <c r="S15" s="660"/>
      <c r="T15" s="661"/>
      <c r="U15" s="661"/>
    </row>
    <row r="16" spans="1:21" s="615" customFormat="1" ht="15.6" x14ac:dyDescent="0.3">
      <c r="A16" s="822">
        <f>CUTOFF3!B17</f>
        <v>160</v>
      </c>
      <c r="B16" s="823">
        <f t="shared" si="4"/>
        <v>20</v>
      </c>
      <c r="C16" s="824">
        <f>CUTOFF3!C17</f>
        <v>474.62121052631579</v>
      </c>
      <c r="D16" s="824">
        <f t="shared" si="5"/>
        <v>122.37878947368421</v>
      </c>
      <c r="E16" s="824">
        <v>21.8</v>
      </c>
      <c r="F16" s="824">
        <f t="shared" si="6"/>
        <v>21.3</v>
      </c>
      <c r="G16" s="824">
        <f t="shared" si="7"/>
        <v>426</v>
      </c>
      <c r="H16" s="659"/>
      <c r="I16" s="659"/>
      <c r="J16" s="659"/>
      <c r="K16" s="659"/>
      <c r="L16" s="659"/>
      <c r="M16" s="659"/>
      <c r="N16" s="659"/>
      <c r="O16" s="659"/>
      <c r="P16" s="660"/>
      <c r="Q16" s="660"/>
      <c r="R16" s="660"/>
      <c r="S16" s="660"/>
      <c r="T16" s="661"/>
      <c r="U16" s="661"/>
    </row>
    <row r="17" spans="1:21" s="615" customFormat="1" ht="15.6" x14ac:dyDescent="0.3">
      <c r="A17" s="822">
        <f>CUTOFF3!B18</f>
        <v>180</v>
      </c>
      <c r="B17" s="823">
        <f t="shared" si="4"/>
        <v>20</v>
      </c>
      <c r="C17" s="824">
        <f>CUTOFF3!C18</f>
        <v>474.47307894736844</v>
      </c>
      <c r="D17" s="824">
        <f t="shared" si="5"/>
        <v>122.52692105263156</v>
      </c>
      <c r="E17" s="824">
        <v>22.8</v>
      </c>
      <c r="F17" s="824">
        <f t="shared" si="6"/>
        <v>22.3</v>
      </c>
      <c r="G17" s="824">
        <f t="shared" si="7"/>
        <v>446</v>
      </c>
      <c r="H17" s="659"/>
      <c r="I17" s="659"/>
      <c r="J17" s="659"/>
      <c r="K17" s="659"/>
      <c r="L17" s="659"/>
      <c r="M17" s="659"/>
      <c r="N17" s="659"/>
      <c r="O17" s="659"/>
      <c r="P17" s="660"/>
      <c r="Q17" s="660"/>
      <c r="R17" s="660"/>
      <c r="S17" s="660"/>
      <c r="T17" s="661"/>
      <c r="U17" s="661"/>
    </row>
    <row r="18" spans="1:21" s="615" customFormat="1" ht="15.6" x14ac:dyDescent="0.3">
      <c r="A18" s="822">
        <f>CUTOFF3!B19</f>
        <v>200</v>
      </c>
      <c r="B18" s="823">
        <f t="shared" si="4"/>
        <v>20</v>
      </c>
      <c r="C18" s="824">
        <f>CUTOFF3!C19</f>
        <v>474.26559210526312</v>
      </c>
      <c r="D18" s="824">
        <f t="shared" si="5"/>
        <v>122.73440789473688</v>
      </c>
      <c r="E18" s="824">
        <v>23.8</v>
      </c>
      <c r="F18" s="824">
        <f t="shared" si="6"/>
        <v>23.3</v>
      </c>
      <c r="G18" s="824">
        <f t="shared" si="7"/>
        <v>466</v>
      </c>
      <c r="H18" s="659"/>
      <c r="I18" s="659"/>
      <c r="J18" s="659"/>
      <c r="K18" s="659"/>
      <c r="L18" s="659"/>
      <c r="M18" s="659"/>
      <c r="N18" s="659"/>
      <c r="O18" s="659"/>
      <c r="P18" s="660"/>
      <c r="Q18" s="660"/>
      <c r="R18" s="660"/>
      <c r="S18" s="660"/>
      <c r="T18" s="661"/>
      <c r="U18" s="661"/>
    </row>
    <row r="19" spans="1:21" s="615" customFormat="1" ht="15.6" x14ac:dyDescent="0.3">
      <c r="A19" s="822">
        <f>CUTOFF3!B20</f>
        <v>220</v>
      </c>
      <c r="B19" s="823">
        <f t="shared" si="4"/>
        <v>20</v>
      </c>
      <c r="C19" s="824">
        <f>CUTOFF3!C20</f>
        <v>470.31336842105264</v>
      </c>
      <c r="D19" s="824">
        <f t="shared" si="5"/>
        <v>126.68663157894736</v>
      </c>
      <c r="E19" s="824">
        <v>24.8</v>
      </c>
      <c r="F19" s="824">
        <f t="shared" si="6"/>
        <v>24.3</v>
      </c>
      <c r="G19" s="824">
        <f t="shared" si="7"/>
        <v>486</v>
      </c>
      <c r="H19" s="659"/>
      <c r="I19" s="659"/>
      <c r="J19" s="659"/>
      <c r="K19" s="659"/>
      <c r="L19" s="659"/>
      <c r="M19" s="659"/>
      <c r="N19" s="659"/>
      <c r="O19" s="659"/>
      <c r="P19" s="660"/>
      <c r="Q19" s="660"/>
      <c r="R19" s="660"/>
      <c r="S19" s="660"/>
      <c r="T19" s="661"/>
      <c r="U19" s="661"/>
    </row>
    <row r="20" spans="1:21" s="615" customFormat="1" ht="15.6" x14ac:dyDescent="0.3">
      <c r="A20" s="822">
        <f>CUTOFF3!B21</f>
        <v>240</v>
      </c>
      <c r="B20" s="823">
        <f t="shared" si="4"/>
        <v>20</v>
      </c>
      <c r="C20" s="824">
        <f>CUTOFF3!C21</f>
        <v>469.86581578947369</v>
      </c>
      <c r="D20" s="824">
        <f t="shared" si="5"/>
        <v>127.13418421052631</v>
      </c>
      <c r="E20" s="824">
        <v>25.8</v>
      </c>
      <c r="F20" s="824">
        <f t="shared" si="6"/>
        <v>25.3</v>
      </c>
      <c r="G20" s="824">
        <f t="shared" si="7"/>
        <v>506</v>
      </c>
      <c r="H20" s="659"/>
      <c r="I20" s="659"/>
      <c r="J20" s="659"/>
      <c r="K20" s="659"/>
      <c r="L20" s="659"/>
      <c r="M20" s="659"/>
      <c r="N20" s="659"/>
      <c r="O20" s="659"/>
      <c r="P20" s="660"/>
      <c r="Q20" s="660"/>
      <c r="R20" s="660"/>
      <c r="S20" s="660"/>
      <c r="T20" s="661"/>
      <c r="U20" s="661"/>
    </row>
    <row r="21" spans="1:21" s="615" customFormat="1" ht="15.6" x14ac:dyDescent="0.3">
      <c r="A21" s="822">
        <f>CUTOFF3!B22</f>
        <v>260</v>
      </c>
      <c r="B21" s="823">
        <f t="shared" si="4"/>
        <v>20</v>
      </c>
      <c r="C21" s="824">
        <f>CUTOFF3!C22</f>
        <v>469.42184210526324</v>
      </c>
      <c r="D21" s="824">
        <f t="shared" si="5"/>
        <v>127.57815789473676</v>
      </c>
      <c r="E21" s="824">
        <v>26.8</v>
      </c>
      <c r="F21" s="824">
        <f t="shared" si="6"/>
        <v>26.3</v>
      </c>
      <c r="G21" s="824">
        <f t="shared" si="7"/>
        <v>526</v>
      </c>
      <c r="H21" s="659"/>
      <c r="I21" s="659"/>
      <c r="J21" s="659"/>
      <c r="K21" s="659"/>
      <c r="L21" s="659"/>
      <c r="M21" s="659"/>
      <c r="N21" s="659"/>
      <c r="O21" s="659"/>
      <c r="P21" s="660"/>
      <c r="Q21" s="660"/>
      <c r="R21" s="660"/>
      <c r="S21" s="660"/>
      <c r="T21" s="661"/>
      <c r="U21" s="661"/>
    </row>
    <row r="22" spans="1:21" s="615" customFormat="1" ht="15.6" x14ac:dyDescent="0.3">
      <c r="A22" s="822">
        <f>CUTOFF3!B23</f>
        <v>280</v>
      </c>
      <c r="B22" s="823">
        <f t="shared" si="4"/>
        <v>20</v>
      </c>
      <c r="C22" s="824">
        <f>CUTOFF3!C23</f>
        <v>469.52473684210526</v>
      </c>
      <c r="D22" s="824">
        <f t="shared" si="5"/>
        <v>127.47526315789474</v>
      </c>
      <c r="E22" s="824">
        <v>27.8</v>
      </c>
      <c r="F22" s="824">
        <f t="shared" si="6"/>
        <v>27.3</v>
      </c>
      <c r="G22" s="824">
        <f t="shared" si="7"/>
        <v>546</v>
      </c>
      <c r="H22" s="659"/>
      <c r="I22" s="659"/>
      <c r="J22" s="659"/>
      <c r="K22" s="659"/>
      <c r="L22" s="659"/>
      <c r="M22" s="659"/>
      <c r="N22" s="659"/>
      <c r="O22" s="659"/>
      <c r="P22" s="660"/>
      <c r="Q22" s="660"/>
      <c r="R22" s="660"/>
      <c r="S22" s="660"/>
      <c r="T22" s="661"/>
      <c r="U22" s="661"/>
    </row>
    <row r="23" spans="1:21" s="615" customFormat="1" ht="15.6" x14ac:dyDescent="0.3">
      <c r="A23" s="822">
        <f>CUTOFF3!B24</f>
        <v>300</v>
      </c>
      <c r="B23" s="823">
        <f t="shared" si="4"/>
        <v>20</v>
      </c>
      <c r="C23" s="824">
        <f>CUTOFF3!C24</f>
        <v>468.85885526315792</v>
      </c>
      <c r="D23" s="824">
        <f t="shared" si="5"/>
        <v>128.14114473684208</v>
      </c>
      <c r="E23" s="824">
        <v>28.8</v>
      </c>
      <c r="F23" s="824">
        <f t="shared" si="6"/>
        <v>28.3</v>
      </c>
      <c r="G23" s="824">
        <f t="shared" si="7"/>
        <v>566</v>
      </c>
      <c r="H23" s="659"/>
      <c r="I23" s="659"/>
      <c r="J23" s="659"/>
      <c r="K23" s="659"/>
      <c r="L23" s="659"/>
      <c r="M23" s="659"/>
      <c r="N23" s="659"/>
      <c r="O23" s="659"/>
      <c r="P23" s="660"/>
      <c r="Q23" s="660"/>
      <c r="R23" s="660"/>
      <c r="S23" s="660"/>
      <c r="T23" s="661"/>
      <c r="U23" s="661"/>
    </row>
    <row r="24" spans="1:21" s="615" customFormat="1" ht="15.6" x14ac:dyDescent="0.3">
      <c r="A24" s="822">
        <f>CUTOFF3!B25</f>
        <v>320</v>
      </c>
      <c r="B24" s="823">
        <f t="shared" si="4"/>
        <v>20</v>
      </c>
      <c r="C24" s="824">
        <f>CUTOFF3!C25</f>
        <v>468.42110526315793</v>
      </c>
      <c r="D24" s="824">
        <f t="shared" si="5"/>
        <v>128.57889473684207</v>
      </c>
      <c r="E24" s="824">
        <v>29.8</v>
      </c>
      <c r="F24" s="824">
        <f t="shared" si="6"/>
        <v>29.3</v>
      </c>
      <c r="G24" s="824">
        <f t="shared" si="7"/>
        <v>586</v>
      </c>
      <c r="H24" s="659"/>
      <c r="I24" s="659"/>
      <c r="J24" s="659"/>
      <c r="K24" s="659"/>
      <c r="L24" s="659"/>
      <c r="M24" s="659"/>
      <c r="N24" s="659"/>
      <c r="O24" s="659"/>
      <c r="P24" s="660"/>
      <c r="Q24" s="660"/>
      <c r="R24" s="660"/>
      <c r="S24" s="660"/>
      <c r="T24" s="661"/>
      <c r="U24" s="661"/>
    </row>
    <row r="25" spans="1:21" s="615" customFormat="1" ht="15.6" x14ac:dyDescent="0.3">
      <c r="A25" s="822">
        <f>CUTOFF3!B26</f>
        <v>340</v>
      </c>
      <c r="B25" s="823">
        <f t="shared" si="4"/>
        <v>20</v>
      </c>
      <c r="C25" s="824">
        <f>CUTOFF3!C26</f>
        <v>468.19992105263151</v>
      </c>
      <c r="D25" s="824">
        <f t="shared" si="5"/>
        <v>128.80007894736849</v>
      </c>
      <c r="E25" s="824">
        <v>30.8</v>
      </c>
      <c r="F25" s="824">
        <f t="shared" si="6"/>
        <v>30.3</v>
      </c>
      <c r="G25" s="824">
        <f t="shared" si="7"/>
        <v>606</v>
      </c>
      <c r="H25" s="659"/>
      <c r="I25" s="659"/>
      <c r="J25" s="659"/>
      <c r="K25" s="659"/>
      <c r="L25" s="659"/>
      <c r="M25" s="659"/>
      <c r="N25" s="659"/>
      <c r="O25" s="659"/>
      <c r="P25" s="660"/>
      <c r="Q25" s="660"/>
      <c r="R25" s="660"/>
      <c r="S25" s="660"/>
      <c r="T25" s="661"/>
      <c r="U25" s="661"/>
    </row>
    <row r="26" spans="1:21" s="615" customFormat="1" ht="15.6" x14ac:dyDescent="0.3">
      <c r="A26" s="822">
        <f>CUTOFF3!B27</f>
        <v>360</v>
      </c>
      <c r="B26" s="823">
        <f t="shared" si="4"/>
        <v>20</v>
      </c>
      <c r="C26" s="824">
        <f>CUTOFF3!C27</f>
        <v>462.14211688311696</v>
      </c>
      <c r="D26" s="824">
        <f t="shared" si="5"/>
        <v>134.85788311688304</v>
      </c>
      <c r="E26" s="824">
        <v>31.8</v>
      </c>
      <c r="F26" s="824">
        <f t="shared" si="6"/>
        <v>31.3</v>
      </c>
      <c r="G26" s="824">
        <f t="shared" si="7"/>
        <v>626</v>
      </c>
      <c r="H26" s="659"/>
      <c r="I26" s="659"/>
      <c r="J26" s="659"/>
      <c r="K26" s="659"/>
      <c r="L26" s="659"/>
      <c r="M26" s="659"/>
      <c r="N26" s="659"/>
      <c r="O26" s="659"/>
      <c r="P26" s="660"/>
      <c r="Q26" s="660"/>
      <c r="R26" s="660"/>
      <c r="S26" s="660"/>
      <c r="T26" s="661"/>
      <c r="U26" s="661"/>
    </row>
    <row r="27" spans="1:21" s="615" customFormat="1" ht="15.6" x14ac:dyDescent="0.3">
      <c r="A27" s="822">
        <f>CUTOFF3!B28</f>
        <v>380</v>
      </c>
      <c r="B27" s="823">
        <f t="shared" si="4"/>
        <v>20</v>
      </c>
      <c r="C27" s="824">
        <f>CUTOFF3!C28</f>
        <v>460.22500000000002</v>
      </c>
      <c r="D27" s="824">
        <f t="shared" si="5"/>
        <v>136.77499999999998</v>
      </c>
      <c r="E27" s="824">
        <v>32.799999999999997</v>
      </c>
      <c r="F27" s="824">
        <f t="shared" si="6"/>
        <v>32.299999999999997</v>
      </c>
      <c r="G27" s="824">
        <f t="shared" si="7"/>
        <v>646</v>
      </c>
      <c r="H27" s="659"/>
      <c r="I27" s="659"/>
      <c r="J27" s="659"/>
      <c r="K27" s="659"/>
      <c r="L27" s="659"/>
      <c r="M27" s="659"/>
      <c r="N27" s="659"/>
      <c r="O27" s="659"/>
      <c r="P27" s="660"/>
      <c r="Q27" s="660"/>
      <c r="R27" s="660"/>
      <c r="S27" s="660"/>
      <c r="T27" s="661"/>
      <c r="U27" s="661"/>
    </row>
    <row r="28" spans="1:21" s="615" customFormat="1" ht="15.6" x14ac:dyDescent="0.3">
      <c r="A28" s="822">
        <f>CUTOFF3!B29</f>
        <v>400</v>
      </c>
      <c r="B28" s="823">
        <f t="shared" si="4"/>
        <v>20</v>
      </c>
      <c r="C28" s="824">
        <f>CUTOFF3!C29</f>
        <v>460.22500000000002</v>
      </c>
      <c r="D28" s="824">
        <f t="shared" si="5"/>
        <v>136.77499999999998</v>
      </c>
      <c r="E28" s="824">
        <v>33.799999999999997</v>
      </c>
      <c r="F28" s="824">
        <f t="shared" si="6"/>
        <v>33.299999999999997</v>
      </c>
      <c r="G28" s="824">
        <f t="shared" si="7"/>
        <v>666</v>
      </c>
      <c r="H28" s="659"/>
      <c r="I28" s="659"/>
      <c r="J28" s="659"/>
      <c r="K28" s="659"/>
      <c r="L28" s="659"/>
      <c r="M28" s="659"/>
      <c r="N28" s="659"/>
      <c r="O28" s="659"/>
      <c r="P28" s="660"/>
      <c r="Q28" s="660"/>
      <c r="R28" s="660"/>
      <c r="S28" s="660"/>
      <c r="T28" s="661"/>
      <c r="U28" s="661"/>
    </row>
    <row r="29" spans="1:21" s="615" customFormat="1" ht="15.6" x14ac:dyDescent="0.3">
      <c r="A29" s="822">
        <f>CUTOFF3!B30</f>
        <v>420</v>
      </c>
      <c r="B29" s="823">
        <f t="shared" si="4"/>
        <v>20</v>
      </c>
      <c r="C29" s="824">
        <f>CUTOFF3!C30</f>
        <v>460.22500000000002</v>
      </c>
      <c r="D29" s="824">
        <f t="shared" si="5"/>
        <v>136.77499999999998</v>
      </c>
      <c r="E29" s="824">
        <v>34.799999999999997</v>
      </c>
      <c r="F29" s="824">
        <f t="shared" si="6"/>
        <v>34.299999999999997</v>
      </c>
      <c r="G29" s="824">
        <f t="shared" si="7"/>
        <v>686</v>
      </c>
      <c r="H29" s="659"/>
      <c r="I29" s="659"/>
      <c r="J29" s="659"/>
      <c r="K29" s="659"/>
      <c r="L29" s="659"/>
      <c r="M29" s="659"/>
      <c r="N29" s="659"/>
      <c r="O29" s="659"/>
      <c r="P29" s="660"/>
      <c r="Q29" s="660"/>
      <c r="R29" s="660"/>
      <c r="S29" s="660"/>
      <c r="T29" s="661"/>
      <c r="U29" s="661"/>
    </row>
    <row r="30" spans="1:21" s="615" customFormat="1" ht="15.6" x14ac:dyDescent="0.3">
      <c r="A30" s="822">
        <f>CUTOFF3!B31</f>
        <v>440</v>
      </c>
      <c r="B30" s="823">
        <f t="shared" si="4"/>
        <v>20</v>
      </c>
      <c r="C30" s="824">
        <f>CUTOFF3!C31</f>
        <v>464.81158441558438</v>
      </c>
      <c r="D30" s="824">
        <f t="shared" si="5"/>
        <v>132.18841558441562</v>
      </c>
      <c r="E30" s="824">
        <v>35.799999999999997</v>
      </c>
      <c r="F30" s="824">
        <f t="shared" si="6"/>
        <v>35.299999999999997</v>
      </c>
      <c r="G30" s="824">
        <f t="shared" si="7"/>
        <v>706</v>
      </c>
      <c r="H30" s="659"/>
      <c r="I30" s="659"/>
      <c r="J30" s="659"/>
      <c r="K30" s="659"/>
      <c r="L30" s="659"/>
      <c r="M30" s="659"/>
      <c r="N30" s="659"/>
      <c r="O30" s="659"/>
      <c r="P30" s="660"/>
      <c r="Q30" s="660"/>
      <c r="R30" s="660"/>
      <c r="S30" s="660"/>
      <c r="T30" s="661"/>
      <c r="U30" s="661"/>
    </row>
    <row r="31" spans="1:21" s="615" customFormat="1" ht="15.6" x14ac:dyDescent="0.3">
      <c r="A31" s="822">
        <f>CUTOFF3!B32</f>
        <v>460</v>
      </c>
      <c r="B31" s="823">
        <f t="shared" si="4"/>
        <v>20</v>
      </c>
      <c r="C31" s="824">
        <f>CUTOFF3!C32</f>
        <v>467.01165789473686</v>
      </c>
      <c r="D31" s="824">
        <f t="shared" si="5"/>
        <v>129.98834210526314</v>
      </c>
      <c r="E31" s="824">
        <v>36.799999999999997</v>
      </c>
      <c r="F31" s="824">
        <f t="shared" si="6"/>
        <v>36.299999999999997</v>
      </c>
      <c r="G31" s="824">
        <f t="shared" si="7"/>
        <v>726</v>
      </c>
      <c r="H31" s="659"/>
      <c r="I31" s="659"/>
      <c r="J31" s="659"/>
      <c r="K31" s="659"/>
      <c r="L31" s="659"/>
      <c r="M31" s="659"/>
      <c r="N31" s="659"/>
      <c r="O31" s="659"/>
      <c r="P31" s="660"/>
      <c r="Q31" s="660"/>
      <c r="R31" s="660"/>
      <c r="S31" s="660"/>
      <c r="T31" s="661"/>
      <c r="U31" s="661"/>
    </row>
    <row r="32" spans="1:21" s="615" customFormat="1" ht="15.6" x14ac:dyDescent="0.3">
      <c r="A32" s="822">
        <f>CUTOFF3!B33</f>
        <v>480</v>
      </c>
      <c r="B32" s="823">
        <f t="shared" si="4"/>
        <v>20</v>
      </c>
      <c r="C32" s="824">
        <f>CUTOFF3!C33</f>
        <v>468.48202597402599</v>
      </c>
      <c r="D32" s="824">
        <f t="shared" si="5"/>
        <v>128.51797402597401</v>
      </c>
      <c r="E32" s="824">
        <v>37.799999999999997</v>
      </c>
      <c r="F32" s="824">
        <f t="shared" si="6"/>
        <v>37.299999999999997</v>
      </c>
      <c r="G32" s="824">
        <f t="shared" si="7"/>
        <v>746</v>
      </c>
      <c r="H32" s="659"/>
      <c r="I32" s="659"/>
      <c r="J32" s="659"/>
      <c r="K32" s="659"/>
      <c r="L32" s="659"/>
      <c r="M32" s="659"/>
      <c r="N32" s="659"/>
      <c r="O32" s="659"/>
      <c r="P32" s="660"/>
      <c r="Q32" s="660"/>
      <c r="R32" s="660"/>
      <c r="S32" s="660"/>
      <c r="T32" s="661"/>
      <c r="U32" s="661"/>
    </row>
    <row r="33" spans="1:21" s="615" customFormat="1" ht="15.6" x14ac:dyDescent="0.3">
      <c r="A33" s="822">
        <f>CUTOFF3!B34</f>
        <v>500</v>
      </c>
      <c r="B33" s="823">
        <f t="shared" si="4"/>
        <v>20</v>
      </c>
      <c r="C33" s="824">
        <f>CUTOFF3!C34</f>
        <v>471.3044210526316</v>
      </c>
      <c r="D33" s="824">
        <f t="shared" si="5"/>
        <v>125.6955789473684</v>
      </c>
      <c r="E33" s="824">
        <v>38.799999999999997</v>
      </c>
      <c r="F33" s="824">
        <f t="shared" si="6"/>
        <v>38.299999999999997</v>
      </c>
      <c r="G33" s="824">
        <f t="shared" si="7"/>
        <v>766</v>
      </c>
      <c r="H33" s="659"/>
      <c r="I33" s="659"/>
      <c r="J33" s="659"/>
      <c r="K33" s="659"/>
      <c r="L33" s="659"/>
      <c r="M33" s="659"/>
      <c r="N33" s="659"/>
      <c r="O33" s="659"/>
      <c r="P33" s="660"/>
      <c r="Q33" s="660"/>
      <c r="R33" s="660"/>
      <c r="S33" s="660"/>
      <c r="T33" s="661"/>
      <c r="U33" s="661"/>
    </row>
    <row r="34" spans="1:21" s="615" customFormat="1" ht="15.6" x14ac:dyDescent="0.3">
      <c r="A34" s="822">
        <f>CUTOFF3!B35</f>
        <v>520</v>
      </c>
      <c r="B34" s="823">
        <f t="shared" si="4"/>
        <v>20</v>
      </c>
      <c r="C34" s="824">
        <f>CUTOFF3!C35</f>
        <v>470.79352631578945</v>
      </c>
      <c r="D34" s="824">
        <f t="shared" si="5"/>
        <v>126.20647368421055</v>
      </c>
      <c r="E34" s="824">
        <v>39.799999999999997</v>
      </c>
      <c r="F34" s="824">
        <f t="shared" si="6"/>
        <v>39.299999999999997</v>
      </c>
      <c r="G34" s="824">
        <f t="shared" si="7"/>
        <v>786</v>
      </c>
      <c r="H34" s="659"/>
      <c r="I34" s="659"/>
      <c r="J34" s="659"/>
      <c r="K34" s="659"/>
      <c r="L34" s="659"/>
      <c r="M34" s="659"/>
      <c r="N34" s="659"/>
      <c r="O34" s="659"/>
      <c r="P34" s="660"/>
      <c r="Q34" s="660"/>
      <c r="R34" s="660"/>
      <c r="S34" s="660"/>
      <c r="T34" s="661"/>
      <c r="U34" s="661"/>
    </row>
    <row r="35" spans="1:21" s="615" customFormat="1" ht="15.6" x14ac:dyDescent="0.3">
      <c r="A35" s="822">
        <f>CUTOFF3!B36</f>
        <v>540</v>
      </c>
      <c r="B35" s="823">
        <f t="shared" si="4"/>
        <v>20</v>
      </c>
      <c r="C35" s="824">
        <f>CUTOFF3!C36</f>
        <v>467.65193421052629</v>
      </c>
      <c r="D35" s="824">
        <f t="shared" si="5"/>
        <v>129.34806578947371</v>
      </c>
      <c r="E35" s="824">
        <v>40.799999999999997</v>
      </c>
      <c r="F35" s="824">
        <f t="shared" si="6"/>
        <v>40.299999999999997</v>
      </c>
      <c r="G35" s="824">
        <f t="shared" si="7"/>
        <v>806</v>
      </c>
      <c r="H35" s="659"/>
      <c r="I35" s="659"/>
      <c r="J35" s="659"/>
      <c r="K35" s="659"/>
      <c r="L35" s="659"/>
      <c r="M35" s="659"/>
      <c r="N35" s="659"/>
      <c r="O35" s="659"/>
      <c r="P35" s="660"/>
      <c r="Q35" s="660"/>
      <c r="R35" s="660"/>
      <c r="S35" s="660"/>
      <c r="T35" s="661"/>
      <c r="U35" s="661"/>
    </row>
    <row r="36" spans="1:21" s="615" customFormat="1" ht="15.6" x14ac:dyDescent="0.3">
      <c r="A36" s="822">
        <f>CUTOFF3!B37</f>
        <v>560</v>
      </c>
      <c r="B36" s="823">
        <f t="shared" si="4"/>
        <v>20</v>
      </c>
      <c r="C36" s="824">
        <f>CUTOFF3!C37</f>
        <v>468.157974025974</v>
      </c>
      <c r="D36" s="824">
        <f t="shared" si="5"/>
        <v>128.842025974026</v>
      </c>
      <c r="E36" s="824">
        <v>41.8</v>
      </c>
      <c r="F36" s="824">
        <f t="shared" si="6"/>
        <v>41.3</v>
      </c>
      <c r="G36" s="824">
        <f t="shared" si="7"/>
        <v>826</v>
      </c>
      <c r="H36" s="659"/>
      <c r="I36" s="659"/>
      <c r="J36" s="659"/>
      <c r="K36" s="659"/>
      <c r="L36" s="659"/>
      <c r="M36" s="659"/>
      <c r="N36" s="659"/>
      <c r="O36" s="659"/>
      <c r="P36" s="660"/>
      <c r="Q36" s="660"/>
      <c r="R36" s="660"/>
      <c r="S36" s="660"/>
      <c r="T36" s="661"/>
      <c r="U36" s="661"/>
    </row>
    <row r="37" spans="1:21" s="615" customFormat="1" ht="15.6" x14ac:dyDescent="0.3">
      <c r="A37" s="822">
        <f>CUTOFF3!B38</f>
        <v>580</v>
      </c>
      <c r="B37" s="823">
        <f t="shared" si="4"/>
        <v>20</v>
      </c>
      <c r="C37" s="824">
        <f>CUTOFF3!C38</f>
        <v>471.00294736842108</v>
      </c>
      <c r="D37" s="824">
        <f t="shared" si="5"/>
        <v>125.99705263157892</v>
      </c>
      <c r="E37" s="824">
        <v>42.8</v>
      </c>
      <c r="F37" s="824">
        <f t="shared" si="6"/>
        <v>42.3</v>
      </c>
      <c r="G37" s="824">
        <f t="shared" si="7"/>
        <v>846</v>
      </c>
      <c r="H37" s="659"/>
      <c r="I37" s="659"/>
      <c r="J37" s="659"/>
      <c r="K37" s="659"/>
      <c r="L37" s="659"/>
      <c r="M37" s="659"/>
      <c r="N37" s="659"/>
      <c r="O37" s="659"/>
      <c r="P37" s="660"/>
      <c r="Q37" s="660"/>
      <c r="R37" s="660"/>
      <c r="S37" s="660"/>
      <c r="T37" s="661"/>
      <c r="U37" s="661"/>
    </row>
    <row r="38" spans="1:21" s="615" customFormat="1" ht="15.6" x14ac:dyDescent="0.3">
      <c r="A38" s="822">
        <f>CUTOFF3!B39</f>
        <v>600</v>
      </c>
      <c r="B38" s="823">
        <f t="shared" si="4"/>
        <v>20</v>
      </c>
      <c r="C38" s="824">
        <f>CUTOFF3!C39</f>
        <v>470.72336842105267</v>
      </c>
      <c r="D38" s="824">
        <f t="shared" si="5"/>
        <v>126.27663157894733</v>
      </c>
      <c r="E38" s="824">
        <v>43.8</v>
      </c>
      <c r="F38" s="824">
        <f t="shared" si="6"/>
        <v>43.3</v>
      </c>
      <c r="G38" s="824">
        <f t="shared" si="7"/>
        <v>866</v>
      </c>
      <c r="H38" s="659"/>
      <c r="I38" s="659"/>
      <c r="J38" s="659"/>
      <c r="K38" s="659"/>
      <c r="L38" s="659"/>
      <c r="M38" s="659"/>
      <c r="N38" s="659"/>
      <c r="O38" s="659"/>
      <c r="P38" s="660"/>
      <c r="Q38" s="660"/>
      <c r="R38" s="660"/>
      <c r="S38" s="660"/>
      <c r="T38" s="661"/>
      <c r="U38" s="661"/>
    </row>
    <row r="39" spans="1:21" s="615" customFormat="1" ht="15.6" x14ac:dyDescent="0.3">
      <c r="A39" s="822">
        <f>CUTOFF3!B40</f>
        <v>620</v>
      </c>
      <c r="B39" s="823">
        <f t="shared" si="4"/>
        <v>20</v>
      </c>
      <c r="C39" s="824">
        <f>CUTOFF3!C40</f>
        <v>472.39347368421051</v>
      </c>
      <c r="D39" s="824">
        <f t="shared" si="5"/>
        <v>124.60652631578949</v>
      </c>
      <c r="E39" s="824">
        <v>44.8</v>
      </c>
      <c r="F39" s="824">
        <f t="shared" si="6"/>
        <v>44.3</v>
      </c>
      <c r="G39" s="824">
        <f t="shared" si="7"/>
        <v>886</v>
      </c>
      <c r="H39" s="659"/>
      <c r="I39" s="659"/>
      <c r="J39" s="659"/>
      <c r="K39" s="659"/>
      <c r="L39" s="659"/>
      <c r="M39" s="659"/>
      <c r="N39" s="659"/>
      <c r="O39" s="659"/>
      <c r="P39" s="660"/>
      <c r="Q39" s="660"/>
      <c r="R39" s="660"/>
      <c r="S39" s="660"/>
      <c r="T39" s="661"/>
      <c r="U39" s="661"/>
    </row>
    <row r="40" spans="1:21" s="615" customFormat="1" ht="15.6" x14ac:dyDescent="0.3">
      <c r="A40" s="822">
        <f>CUTOFF3!B41</f>
        <v>640</v>
      </c>
      <c r="B40" s="823">
        <f t="shared" si="4"/>
        <v>20</v>
      </c>
      <c r="C40" s="824">
        <f>CUTOFF3!C41</f>
        <v>473.79128947368423</v>
      </c>
      <c r="D40" s="824">
        <f t="shared" si="5"/>
        <v>123.20871052631577</v>
      </c>
      <c r="E40" s="824">
        <v>45.8</v>
      </c>
      <c r="F40" s="824">
        <f t="shared" si="6"/>
        <v>45.3</v>
      </c>
      <c r="G40" s="824">
        <f t="shared" si="7"/>
        <v>906</v>
      </c>
      <c r="H40" s="659"/>
      <c r="I40" s="659"/>
      <c r="J40" s="659"/>
      <c r="K40" s="659"/>
      <c r="L40" s="659"/>
      <c r="M40" s="659"/>
      <c r="N40" s="659"/>
      <c r="O40" s="659"/>
      <c r="P40" s="660"/>
      <c r="Q40" s="660"/>
      <c r="R40" s="660"/>
      <c r="S40" s="660"/>
      <c r="T40" s="661"/>
      <c r="U40" s="661"/>
    </row>
    <row r="41" spans="1:21" s="615" customFormat="1" ht="15.6" x14ac:dyDescent="0.3">
      <c r="A41" s="822">
        <f>CUTOFF3!B42</f>
        <v>660</v>
      </c>
      <c r="B41" s="823">
        <f t="shared" si="4"/>
        <v>20</v>
      </c>
      <c r="C41" s="824">
        <f>CUTOFF3!C42</f>
        <v>473.54386842105259</v>
      </c>
      <c r="D41" s="824">
        <f t="shared" si="5"/>
        <v>123.45613157894741</v>
      </c>
      <c r="E41" s="824">
        <v>46.8</v>
      </c>
      <c r="F41" s="824">
        <f t="shared" si="6"/>
        <v>46.3</v>
      </c>
      <c r="G41" s="824">
        <f t="shared" si="7"/>
        <v>926</v>
      </c>
      <c r="H41" s="659"/>
      <c r="I41" s="659"/>
      <c r="J41" s="659"/>
      <c r="K41" s="659"/>
      <c r="L41" s="659"/>
      <c r="M41" s="659"/>
      <c r="N41" s="659"/>
      <c r="O41" s="659"/>
      <c r="P41" s="660"/>
      <c r="Q41" s="660"/>
      <c r="R41" s="660"/>
      <c r="S41" s="660"/>
      <c r="T41" s="661"/>
      <c r="U41" s="661"/>
    </row>
    <row r="42" spans="1:21" s="615" customFormat="1" ht="15.6" x14ac:dyDescent="0.3">
      <c r="A42" s="822">
        <f>CUTOFF3!B43</f>
        <v>680</v>
      </c>
      <c r="B42" s="823">
        <f t="shared" si="4"/>
        <v>20</v>
      </c>
      <c r="C42" s="824">
        <f>CUTOFF3!C43</f>
        <v>476.3522631578947</v>
      </c>
      <c r="D42" s="824">
        <f t="shared" si="5"/>
        <v>120.6477368421053</v>
      </c>
      <c r="E42" s="824">
        <v>47.8</v>
      </c>
      <c r="F42" s="824">
        <f t="shared" si="6"/>
        <v>47.3</v>
      </c>
      <c r="G42" s="824">
        <f t="shared" si="7"/>
        <v>946</v>
      </c>
      <c r="H42" s="659"/>
      <c r="I42" s="659"/>
      <c r="J42" s="659"/>
      <c r="K42" s="659"/>
      <c r="L42" s="659"/>
      <c r="M42" s="659"/>
      <c r="N42" s="659"/>
      <c r="O42" s="659"/>
      <c r="P42" s="660"/>
      <c r="Q42" s="660"/>
      <c r="R42" s="660"/>
      <c r="S42" s="660"/>
      <c r="T42" s="661"/>
      <c r="U42" s="661"/>
    </row>
    <row r="43" spans="1:21" s="615" customFormat="1" ht="15.6" x14ac:dyDescent="0.3">
      <c r="A43" s="822">
        <f>CUTOFF3!B44</f>
        <v>700</v>
      </c>
      <c r="B43" s="823">
        <f t="shared" si="4"/>
        <v>20</v>
      </c>
      <c r="C43" s="824">
        <f>CUTOFF3!C44</f>
        <v>476.68867105263155</v>
      </c>
      <c r="D43" s="824">
        <f t="shared" si="5"/>
        <v>120.31132894736845</v>
      </c>
      <c r="E43" s="824">
        <v>48.8</v>
      </c>
      <c r="F43" s="824">
        <f t="shared" si="6"/>
        <v>48.3</v>
      </c>
      <c r="G43" s="824">
        <f t="shared" si="7"/>
        <v>966</v>
      </c>
      <c r="H43" s="659"/>
      <c r="I43" s="659"/>
      <c r="J43" s="659"/>
      <c r="K43" s="659"/>
      <c r="L43" s="659"/>
      <c r="M43" s="659"/>
      <c r="N43" s="659"/>
      <c r="O43" s="659"/>
      <c r="P43" s="660"/>
      <c r="Q43" s="660"/>
      <c r="R43" s="660"/>
      <c r="S43" s="660"/>
      <c r="T43" s="661"/>
      <c r="U43" s="661"/>
    </row>
    <row r="44" spans="1:21" s="615" customFormat="1" ht="15.6" x14ac:dyDescent="0.3">
      <c r="A44" s="822">
        <f>CUTOFF3!B45</f>
        <v>720</v>
      </c>
      <c r="B44" s="823">
        <f t="shared" si="4"/>
        <v>20</v>
      </c>
      <c r="C44" s="824">
        <f>CUTOFF3!C45</f>
        <v>476.85950000000003</v>
      </c>
      <c r="D44" s="824">
        <f t="shared" si="5"/>
        <v>120.14049999999997</v>
      </c>
      <c r="E44" s="824">
        <v>49.8</v>
      </c>
      <c r="F44" s="824">
        <f t="shared" si="6"/>
        <v>49.3</v>
      </c>
      <c r="G44" s="824">
        <f t="shared" si="7"/>
        <v>986</v>
      </c>
      <c r="H44" s="659"/>
      <c r="I44" s="659"/>
      <c r="J44" s="659"/>
      <c r="K44" s="659"/>
      <c r="L44" s="659"/>
      <c r="M44" s="659"/>
      <c r="N44" s="659"/>
      <c r="O44" s="659"/>
      <c r="P44" s="660"/>
      <c r="Q44" s="660"/>
      <c r="R44" s="660"/>
      <c r="S44" s="660"/>
      <c r="T44" s="661"/>
      <c r="U44" s="661"/>
    </row>
    <row r="45" spans="1:21" s="615" customFormat="1" ht="15.6" x14ac:dyDescent="0.3">
      <c r="A45" s="822">
        <f>CUTOFF3!B46</f>
        <v>740</v>
      </c>
      <c r="B45" s="823">
        <f t="shared" si="4"/>
        <v>20</v>
      </c>
      <c r="C45" s="824">
        <f>CUTOFF3!C46</f>
        <v>477.35500000000002</v>
      </c>
      <c r="D45" s="824">
        <f t="shared" si="5"/>
        <v>119.64499999999998</v>
      </c>
      <c r="E45" s="824">
        <v>50.8</v>
      </c>
      <c r="F45" s="824">
        <f t="shared" si="6"/>
        <v>50.3</v>
      </c>
      <c r="G45" s="824">
        <f t="shared" si="7"/>
        <v>1006</v>
      </c>
      <c r="H45" s="659"/>
      <c r="I45" s="659"/>
      <c r="J45" s="659"/>
      <c r="K45" s="659"/>
      <c r="L45" s="659"/>
      <c r="M45" s="659"/>
      <c r="N45" s="659"/>
      <c r="O45" s="659"/>
      <c r="P45" s="660"/>
      <c r="Q45" s="660"/>
      <c r="R45" s="660"/>
      <c r="S45" s="660"/>
      <c r="T45" s="661"/>
      <c r="U45" s="661"/>
    </row>
    <row r="46" spans="1:21" ht="13.8" x14ac:dyDescent="0.3">
      <c r="A46" s="825"/>
      <c r="B46" s="826"/>
      <c r="C46" s="826"/>
      <c r="D46" s="826"/>
      <c r="E46" s="827"/>
      <c r="F46" s="828" t="s">
        <v>509</v>
      </c>
      <c r="G46" s="1042">
        <f>SUM(G8:G45)</f>
        <v>23764</v>
      </c>
      <c r="H46" s="829"/>
      <c r="I46" s="569"/>
      <c r="J46" s="569"/>
      <c r="K46" s="569"/>
      <c r="L46" s="569"/>
      <c r="M46" s="569"/>
      <c r="N46" s="569"/>
    </row>
    <row r="47" spans="1:21" x14ac:dyDescent="0.25">
      <c r="B47" s="561" t="e">
        <f>CUTOFF3!D57</f>
        <v>#REF!</v>
      </c>
      <c r="F47" s="791">
        <f>CUTOFF3!K57</f>
        <v>0</v>
      </c>
    </row>
    <row r="48" spans="1:21" x14ac:dyDescent="0.25">
      <c r="B48" s="561" t="e">
        <f>CUTOFF3!D58</f>
        <v>#REF!</v>
      </c>
      <c r="F48" s="791">
        <f>CUTOFF3!K58</f>
        <v>0</v>
      </c>
    </row>
    <row r="49" spans="2:6" x14ac:dyDescent="0.25">
      <c r="B49" s="561" t="e">
        <f>CUTOFF3!D59</f>
        <v>#REF!</v>
      </c>
      <c r="F49" s="791">
        <f>CUTOFF3!K59</f>
        <v>0</v>
      </c>
    </row>
  </sheetData>
  <customSheetViews>
    <customSheetView guid="{5161B42F-120B-436B-80F4-9BB578173AD5}" fitToPage="1" topLeftCell="A4">
      <selection activeCell="B24" sqref="B24"/>
      <colBreaks count="1" manualBreakCount="1">
        <brk id="7" max="1048575" man="1"/>
      </colBreaks>
      <pageMargins left="0.25" right="0.25" top="0.75" bottom="0.75" header="0.3" footer="0.3"/>
      <printOptions horizontalCentered="1"/>
      <pageSetup fitToHeight="0" orientation="portrait" r:id="rId1"/>
      <headerFooter>
        <oddFooter>&amp;R&amp;P</oddFooter>
      </headerFooter>
    </customSheetView>
  </customSheetViews>
  <mergeCells count="10">
    <mergeCell ref="A1:G1"/>
    <mergeCell ref="E2:G2"/>
    <mergeCell ref="A4:G4"/>
    <mergeCell ref="A5:A6"/>
    <mergeCell ref="B5:B6"/>
    <mergeCell ref="C5:C6"/>
    <mergeCell ref="D5:D6"/>
    <mergeCell ref="E5:E6"/>
    <mergeCell ref="F5:F6"/>
    <mergeCell ref="G5:G6"/>
  </mergeCells>
  <printOptions horizontalCentered="1"/>
  <pageMargins left="0.25" right="0.25" top="0.75" bottom="0.75" header="0.3" footer="0.3"/>
  <pageSetup fitToHeight="0" orientation="portrait" r:id="rId2"/>
  <headerFooter>
    <oddFooter>&amp;R&amp;P</oddFooter>
  </headerFooter>
  <rowBreaks count="1" manualBreakCount="1">
    <brk id="30" max="6" man="1"/>
  </rowBreaks>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64"/>
  <sheetViews>
    <sheetView view="pageBreakPreview" zoomScale="60" zoomScaleNormal="70" workbookViewId="0">
      <selection activeCell="G58" sqref="G58"/>
    </sheetView>
  </sheetViews>
  <sheetFormatPr defaultRowHeight="15.6" x14ac:dyDescent="0.3"/>
  <cols>
    <col min="1" max="1" width="9.44140625" style="615" bestFit="1" customWidth="1"/>
    <col min="2" max="2" width="9.6640625" style="615" customWidth="1"/>
    <col min="3" max="3" width="10" style="615" customWidth="1"/>
    <col min="4" max="4" width="10.44140625" style="615" customWidth="1"/>
    <col min="5" max="5" width="10.109375" style="615" customWidth="1"/>
    <col min="6" max="6" width="8.109375" style="615" customWidth="1"/>
    <col min="7" max="7" width="7.5546875" style="615" customWidth="1"/>
    <col min="8" max="8" width="8.5546875" style="615" customWidth="1"/>
    <col min="9" max="9" width="11.6640625" style="615" customWidth="1"/>
    <col min="10" max="10" width="9.5546875" style="615" bestFit="1" customWidth="1"/>
    <col min="11" max="11" width="8.5546875" style="615" customWidth="1"/>
    <col min="12" max="12" width="7.33203125" style="615" customWidth="1"/>
    <col min="13" max="13" width="9.44140625" style="615" bestFit="1" customWidth="1"/>
    <col min="14" max="14" width="9.33203125" style="615" bestFit="1" customWidth="1"/>
    <col min="15" max="15" width="8.88671875" style="615"/>
    <col min="16" max="16" width="9.33203125" style="615" bestFit="1" customWidth="1"/>
    <col min="17" max="17" width="8.88671875" style="615"/>
    <col min="18" max="19" width="9.33203125" style="615" bestFit="1" customWidth="1"/>
    <col min="20" max="259" width="8.88671875" style="615"/>
    <col min="260" max="260" width="10" style="615" customWidth="1"/>
    <col min="261" max="261" width="10.44140625" style="615" customWidth="1"/>
    <col min="262" max="262" width="10.109375" style="615" customWidth="1"/>
    <col min="263" max="264" width="10.5546875" style="615" customWidth="1"/>
    <col min="265" max="265" width="11.6640625" style="615" customWidth="1"/>
    <col min="266" max="266" width="8.88671875" style="615"/>
    <col min="267" max="267" width="7.109375" style="615" customWidth="1"/>
    <col min="268" max="515" width="8.88671875" style="615"/>
    <col min="516" max="516" width="10" style="615" customWidth="1"/>
    <col min="517" max="517" width="10.44140625" style="615" customWidth="1"/>
    <col min="518" max="518" width="10.109375" style="615" customWidth="1"/>
    <col min="519" max="520" width="10.5546875" style="615" customWidth="1"/>
    <col min="521" max="521" width="11.6640625" style="615" customWidth="1"/>
    <col min="522" max="522" width="8.88671875" style="615"/>
    <col min="523" max="523" width="7.109375" style="615" customWidth="1"/>
    <col min="524" max="771" width="8.88671875" style="615"/>
    <col min="772" max="772" width="10" style="615" customWidth="1"/>
    <col min="773" max="773" width="10.44140625" style="615" customWidth="1"/>
    <col min="774" max="774" width="10.109375" style="615" customWidth="1"/>
    <col min="775" max="776" width="10.5546875" style="615" customWidth="1"/>
    <col min="777" max="777" width="11.6640625" style="615" customWidth="1"/>
    <col min="778" max="778" width="8.88671875" style="615"/>
    <col min="779" max="779" width="7.109375" style="615" customWidth="1"/>
    <col min="780" max="1027" width="8.88671875" style="615"/>
    <col min="1028" max="1028" width="10" style="615" customWidth="1"/>
    <col min="1029" max="1029" width="10.44140625" style="615" customWidth="1"/>
    <col min="1030" max="1030" width="10.109375" style="615" customWidth="1"/>
    <col min="1031" max="1032" width="10.5546875" style="615" customWidth="1"/>
    <col min="1033" max="1033" width="11.6640625" style="615" customWidth="1"/>
    <col min="1034" max="1034" width="8.88671875" style="615"/>
    <col min="1035" max="1035" width="7.109375" style="615" customWidth="1"/>
    <col min="1036" max="1283" width="8.88671875" style="615"/>
    <col min="1284" max="1284" width="10" style="615" customWidth="1"/>
    <col min="1285" max="1285" width="10.44140625" style="615" customWidth="1"/>
    <col min="1286" max="1286" width="10.109375" style="615" customWidth="1"/>
    <col min="1287" max="1288" width="10.5546875" style="615" customWidth="1"/>
    <col min="1289" max="1289" width="11.6640625" style="615" customWidth="1"/>
    <col min="1290" max="1290" width="8.88671875" style="615"/>
    <col min="1291" max="1291" width="7.109375" style="615" customWidth="1"/>
    <col min="1292" max="1539" width="8.88671875" style="615"/>
    <col min="1540" max="1540" width="10" style="615" customWidth="1"/>
    <col min="1541" max="1541" width="10.44140625" style="615" customWidth="1"/>
    <col min="1542" max="1542" width="10.109375" style="615" customWidth="1"/>
    <col min="1543" max="1544" width="10.5546875" style="615" customWidth="1"/>
    <col min="1545" max="1545" width="11.6640625" style="615" customWidth="1"/>
    <col min="1546" max="1546" width="8.88671875" style="615"/>
    <col min="1547" max="1547" width="7.109375" style="615" customWidth="1"/>
    <col min="1548" max="1795" width="8.88671875" style="615"/>
    <col min="1796" max="1796" width="10" style="615" customWidth="1"/>
    <col min="1797" max="1797" width="10.44140625" style="615" customWidth="1"/>
    <col min="1798" max="1798" width="10.109375" style="615" customWidth="1"/>
    <col min="1799" max="1800" width="10.5546875" style="615" customWidth="1"/>
    <col min="1801" max="1801" width="11.6640625" style="615" customWidth="1"/>
    <col min="1802" max="1802" width="8.88671875" style="615"/>
    <col min="1803" max="1803" width="7.109375" style="615" customWidth="1"/>
    <col min="1804" max="2051" width="8.88671875" style="615"/>
    <col min="2052" max="2052" width="10" style="615" customWidth="1"/>
    <col min="2053" max="2053" width="10.44140625" style="615" customWidth="1"/>
    <col min="2054" max="2054" width="10.109375" style="615" customWidth="1"/>
    <col min="2055" max="2056" width="10.5546875" style="615" customWidth="1"/>
    <col min="2057" max="2057" width="11.6640625" style="615" customWidth="1"/>
    <col min="2058" max="2058" width="8.88671875" style="615"/>
    <col min="2059" max="2059" width="7.109375" style="615" customWidth="1"/>
    <col min="2060" max="2307" width="8.88671875" style="615"/>
    <col min="2308" max="2308" width="10" style="615" customWidth="1"/>
    <col min="2309" max="2309" width="10.44140625" style="615" customWidth="1"/>
    <col min="2310" max="2310" width="10.109375" style="615" customWidth="1"/>
    <col min="2311" max="2312" width="10.5546875" style="615" customWidth="1"/>
    <col min="2313" max="2313" width="11.6640625" style="615" customWidth="1"/>
    <col min="2314" max="2314" width="8.88671875" style="615"/>
    <col min="2315" max="2315" width="7.109375" style="615" customWidth="1"/>
    <col min="2316" max="2563" width="8.88671875" style="615"/>
    <col min="2564" max="2564" width="10" style="615" customWidth="1"/>
    <col min="2565" max="2565" width="10.44140625" style="615" customWidth="1"/>
    <col min="2566" max="2566" width="10.109375" style="615" customWidth="1"/>
    <col min="2567" max="2568" width="10.5546875" style="615" customWidth="1"/>
    <col min="2569" max="2569" width="11.6640625" style="615" customWidth="1"/>
    <col min="2570" max="2570" width="8.88671875" style="615"/>
    <col min="2571" max="2571" width="7.109375" style="615" customWidth="1"/>
    <col min="2572" max="2819" width="8.88671875" style="615"/>
    <col min="2820" max="2820" width="10" style="615" customWidth="1"/>
    <col min="2821" max="2821" width="10.44140625" style="615" customWidth="1"/>
    <col min="2822" max="2822" width="10.109375" style="615" customWidth="1"/>
    <col min="2823" max="2824" width="10.5546875" style="615" customWidth="1"/>
    <col min="2825" max="2825" width="11.6640625" style="615" customWidth="1"/>
    <col min="2826" max="2826" width="8.88671875" style="615"/>
    <col min="2827" max="2827" width="7.109375" style="615" customWidth="1"/>
    <col min="2828" max="3075" width="8.88671875" style="615"/>
    <col min="3076" max="3076" width="10" style="615" customWidth="1"/>
    <col min="3077" max="3077" width="10.44140625" style="615" customWidth="1"/>
    <col min="3078" max="3078" width="10.109375" style="615" customWidth="1"/>
    <col min="3079" max="3080" width="10.5546875" style="615" customWidth="1"/>
    <col min="3081" max="3081" width="11.6640625" style="615" customWidth="1"/>
    <col min="3082" max="3082" width="8.88671875" style="615"/>
    <col min="3083" max="3083" width="7.109375" style="615" customWidth="1"/>
    <col min="3084" max="3331" width="8.88671875" style="615"/>
    <col min="3332" max="3332" width="10" style="615" customWidth="1"/>
    <col min="3333" max="3333" width="10.44140625" style="615" customWidth="1"/>
    <col min="3334" max="3334" width="10.109375" style="615" customWidth="1"/>
    <col min="3335" max="3336" width="10.5546875" style="615" customWidth="1"/>
    <col min="3337" max="3337" width="11.6640625" style="615" customWidth="1"/>
    <col min="3338" max="3338" width="8.88671875" style="615"/>
    <col min="3339" max="3339" width="7.109375" style="615" customWidth="1"/>
    <col min="3340" max="3587" width="8.88671875" style="615"/>
    <col min="3588" max="3588" width="10" style="615" customWidth="1"/>
    <col min="3589" max="3589" width="10.44140625" style="615" customWidth="1"/>
    <col min="3590" max="3590" width="10.109375" style="615" customWidth="1"/>
    <col min="3591" max="3592" width="10.5546875" style="615" customWidth="1"/>
    <col min="3593" max="3593" width="11.6640625" style="615" customWidth="1"/>
    <col min="3594" max="3594" width="8.88671875" style="615"/>
    <col min="3595" max="3595" width="7.109375" style="615" customWidth="1"/>
    <col min="3596" max="3843" width="8.88671875" style="615"/>
    <col min="3844" max="3844" width="10" style="615" customWidth="1"/>
    <col min="3845" max="3845" width="10.44140625" style="615" customWidth="1"/>
    <col min="3846" max="3846" width="10.109375" style="615" customWidth="1"/>
    <col min="3847" max="3848" width="10.5546875" style="615" customWidth="1"/>
    <col min="3849" max="3849" width="11.6640625" style="615" customWidth="1"/>
    <col min="3850" max="3850" width="8.88671875" style="615"/>
    <col min="3851" max="3851" width="7.109375" style="615" customWidth="1"/>
    <col min="3852" max="4099" width="8.88671875" style="615"/>
    <col min="4100" max="4100" width="10" style="615" customWidth="1"/>
    <col min="4101" max="4101" width="10.44140625" style="615" customWidth="1"/>
    <col min="4102" max="4102" width="10.109375" style="615" customWidth="1"/>
    <col min="4103" max="4104" width="10.5546875" style="615" customWidth="1"/>
    <col min="4105" max="4105" width="11.6640625" style="615" customWidth="1"/>
    <col min="4106" max="4106" width="8.88671875" style="615"/>
    <col min="4107" max="4107" width="7.109375" style="615" customWidth="1"/>
    <col min="4108" max="4355" width="8.88671875" style="615"/>
    <col min="4356" max="4356" width="10" style="615" customWidth="1"/>
    <col min="4357" max="4357" width="10.44140625" style="615" customWidth="1"/>
    <col min="4358" max="4358" width="10.109375" style="615" customWidth="1"/>
    <col min="4359" max="4360" width="10.5546875" style="615" customWidth="1"/>
    <col min="4361" max="4361" width="11.6640625" style="615" customWidth="1"/>
    <col min="4362" max="4362" width="8.88671875" style="615"/>
    <col min="4363" max="4363" width="7.109375" style="615" customWidth="1"/>
    <col min="4364" max="4611" width="8.88671875" style="615"/>
    <col min="4612" max="4612" width="10" style="615" customWidth="1"/>
    <col min="4613" max="4613" width="10.44140625" style="615" customWidth="1"/>
    <col min="4614" max="4614" width="10.109375" style="615" customWidth="1"/>
    <col min="4615" max="4616" width="10.5546875" style="615" customWidth="1"/>
    <col min="4617" max="4617" width="11.6640625" style="615" customWidth="1"/>
    <col min="4618" max="4618" width="8.88671875" style="615"/>
    <col min="4619" max="4619" width="7.109375" style="615" customWidth="1"/>
    <col min="4620" max="4867" width="8.88671875" style="615"/>
    <col min="4868" max="4868" width="10" style="615" customWidth="1"/>
    <col min="4869" max="4869" width="10.44140625" style="615" customWidth="1"/>
    <col min="4870" max="4870" width="10.109375" style="615" customWidth="1"/>
    <col min="4871" max="4872" width="10.5546875" style="615" customWidth="1"/>
    <col min="4873" max="4873" width="11.6640625" style="615" customWidth="1"/>
    <col min="4874" max="4874" width="8.88671875" style="615"/>
    <col min="4875" max="4875" width="7.109375" style="615" customWidth="1"/>
    <col min="4876" max="5123" width="8.88671875" style="615"/>
    <col min="5124" max="5124" width="10" style="615" customWidth="1"/>
    <col min="5125" max="5125" width="10.44140625" style="615" customWidth="1"/>
    <col min="5126" max="5126" width="10.109375" style="615" customWidth="1"/>
    <col min="5127" max="5128" width="10.5546875" style="615" customWidth="1"/>
    <col min="5129" max="5129" width="11.6640625" style="615" customWidth="1"/>
    <col min="5130" max="5130" width="8.88671875" style="615"/>
    <col min="5131" max="5131" width="7.109375" style="615" customWidth="1"/>
    <col min="5132" max="5379" width="8.88671875" style="615"/>
    <col min="5380" max="5380" width="10" style="615" customWidth="1"/>
    <col min="5381" max="5381" width="10.44140625" style="615" customWidth="1"/>
    <col min="5382" max="5382" width="10.109375" style="615" customWidth="1"/>
    <col min="5383" max="5384" width="10.5546875" style="615" customWidth="1"/>
    <col min="5385" max="5385" width="11.6640625" style="615" customWidth="1"/>
    <col min="5386" max="5386" width="8.88671875" style="615"/>
    <col min="5387" max="5387" width="7.109375" style="615" customWidth="1"/>
    <col min="5388" max="5635" width="8.88671875" style="615"/>
    <col min="5636" max="5636" width="10" style="615" customWidth="1"/>
    <col min="5637" max="5637" width="10.44140625" style="615" customWidth="1"/>
    <col min="5638" max="5638" width="10.109375" style="615" customWidth="1"/>
    <col min="5639" max="5640" width="10.5546875" style="615" customWidth="1"/>
    <col min="5641" max="5641" width="11.6640625" style="615" customWidth="1"/>
    <col min="5642" max="5642" width="8.88671875" style="615"/>
    <col min="5643" max="5643" width="7.109375" style="615" customWidth="1"/>
    <col min="5644" max="5891" width="8.88671875" style="615"/>
    <col min="5892" max="5892" width="10" style="615" customWidth="1"/>
    <col min="5893" max="5893" width="10.44140625" style="615" customWidth="1"/>
    <col min="5894" max="5894" width="10.109375" style="615" customWidth="1"/>
    <col min="5895" max="5896" width="10.5546875" style="615" customWidth="1"/>
    <col min="5897" max="5897" width="11.6640625" style="615" customWidth="1"/>
    <col min="5898" max="5898" width="8.88671875" style="615"/>
    <col min="5899" max="5899" width="7.109375" style="615" customWidth="1"/>
    <col min="5900" max="6147" width="8.88671875" style="615"/>
    <col min="6148" max="6148" width="10" style="615" customWidth="1"/>
    <col min="6149" max="6149" width="10.44140625" style="615" customWidth="1"/>
    <col min="6150" max="6150" width="10.109375" style="615" customWidth="1"/>
    <col min="6151" max="6152" width="10.5546875" style="615" customWidth="1"/>
    <col min="6153" max="6153" width="11.6640625" style="615" customWidth="1"/>
    <col min="6154" max="6154" width="8.88671875" style="615"/>
    <col min="6155" max="6155" width="7.109375" style="615" customWidth="1"/>
    <col min="6156" max="6403" width="8.88671875" style="615"/>
    <col min="6404" max="6404" width="10" style="615" customWidth="1"/>
    <col min="6405" max="6405" width="10.44140625" style="615" customWidth="1"/>
    <col min="6406" max="6406" width="10.109375" style="615" customWidth="1"/>
    <col min="6407" max="6408" width="10.5546875" style="615" customWidth="1"/>
    <col min="6409" max="6409" width="11.6640625" style="615" customWidth="1"/>
    <col min="6410" max="6410" width="8.88671875" style="615"/>
    <col min="6411" max="6411" width="7.109375" style="615" customWidth="1"/>
    <col min="6412" max="6659" width="8.88671875" style="615"/>
    <col min="6660" max="6660" width="10" style="615" customWidth="1"/>
    <col min="6661" max="6661" width="10.44140625" style="615" customWidth="1"/>
    <col min="6662" max="6662" width="10.109375" style="615" customWidth="1"/>
    <col min="6663" max="6664" width="10.5546875" style="615" customWidth="1"/>
    <col min="6665" max="6665" width="11.6640625" style="615" customWidth="1"/>
    <col min="6666" max="6666" width="8.88671875" style="615"/>
    <col min="6667" max="6667" width="7.109375" style="615" customWidth="1"/>
    <col min="6668" max="6915" width="8.88671875" style="615"/>
    <col min="6916" max="6916" width="10" style="615" customWidth="1"/>
    <col min="6917" max="6917" width="10.44140625" style="615" customWidth="1"/>
    <col min="6918" max="6918" width="10.109375" style="615" customWidth="1"/>
    <col min="6919" max="6920" width="10.5546875" style="615" customWidth="1"/>
    <col min="6921" max="6921" width="11.6640625" style="615" customWidth="1"/>
    <col min="6922" max="6922" width="8.88671875" style="615"/>
    <col min="6923" max="6923" width="7.109375" style="615" customWidth="1"/>
    <col min="6924" max="7171" width="8.88671875" style="615"/>
    <col min="7172" max="7172" width="10" style="615" customWidth="1"/>
    <col min="7173" max="7173" width="10.44140625" style="615" customWidth="1"/>
    <col min="7174" max="7174" width="10.109375" style="615" customWidth="1"/>
    <col min="7175" max="7176" width="10.5546875" style="615" customWidth="1"/>
    <col min="7177" max="7177" width="11.6640625" style="615" customWidth="1"/>
    <col min="7178" max="7178" width="8.88671875" style="615"/>
    <col min="7179" max="7179" width="7.109375" style="615" customWidth="1"/>
    <col min="7180" max="7427" width="8.88671875" style="615"/>
    <col min="7428" max="7428" width="10" style="615" customWidth="1"/>
    <col min="7429" max="7429" width="10.44140625" style="615" customWidth="1"/>
    <col min="7430" max="7430" width="10.109375" style="615" customWidth="1"/>
    <col min="7431" max="7432" width="10.5546875" style="615" customWidth="1"/>
    <col min="7433" max="7433" width="11.6640625" style="615" customWidth="1"/>
    <col min="7434" max="7434" width="8.88671875" style="615"/>
    <col min="7435" max="7435" width="7.109375" style="615" customWidth="1"/>
    <col min="7436" max="7683" width="8.88671875" style="615"/>
    <col min="7684" max="7684" width="10" style="615" customWidth="1"/>
    <col min="7685" max="7685" width="10.44140625" style="615" customWidth="1"/>
    <col min="7686" max="7686" width="10.109375" style="615" customWidth="1"/>
    <col min="7687" max="7688" width="10.5546875" style="615" customWidth="1"/>
    <col min="7689" max="7689" width="11.6640625" style="615" customWidth="1"/>
    <col min="7690" max="7690" width="8.88671875" style="615"/>
    <col min="7691" max="7691" width="7.109375" style="615" customWidth="1"/>
    <col min="7692" max="7939" width="8.88671875" style="615"/>
    <col min="7940" max="7940" width="10" style="615" customWidth="1"/>
    <col min="7941" max="7941" width="10.44140625" style="615" customWidth="1"/>
    <col min="7942" max="7942" width="10.109375" style="615" customWidth="1"/>
    <col min="7943" max="7944" width="10.5546875" style="615" customWidth="1"/>
    <col min="7945" max="7945" width="11.6640625" style="615" customWidth="1"/>
    <col min="7946" max="7946" width="8.88671875" style="615"/>
    <col min="7947" max="7947" width="7.109375" style="615" customWidth="1"/>
    <col min="7948" max="8195" width="8.88671875" style="615"/>
    <col min="8196" max="8196" width="10" style="615" customWidth="1"/>
    <col min="8197" max="8197" width="10.44140625" style="615" customWidth="1"/>
    <col min="8198" max="8198" width="10.109375" style="615" customWidth="1"/>
    <col min="8199" max="8200" width="10.5546875" style="615" customWidth="1"/>
    <col min="8201" max="8201" width="11.6640625" style="615" customWidth="1"/>
    <col min="8202" max="8202" width="8.88671875" style="615"/>
    <col min="8203" max="8203" width="7.109375" style="615" customWidth="1"/>
    <col min="8204" max="8451" width="8.88671875" style="615"/>
    <col min="8452" max="8452" width="10" style="615" customWidth="1"/>
    <col min="8453" max="8453" width="10.44140625" style="615" customWidth="1"/>
    <col min="8454" max="8454" width="10.109375" style="615" customWidth="1"/>
    <col min="8455" max="8456" width="10.5546875" style="615" customWidth="1"/>
    <col min="8457" max="8457" width="11.6640625" style="615" customWidth="1"/>
    <col min="8458" max="8458" width="8.88671875" style="615"/>
    <col min="8459" max="8459" width="7.109375" style="615" customWidth="1"/>
    <col min="8460" max="8707" width="8.88671875" style="615"/>
    <col min="8708" max="8708" width="10" style="615" customWidth="1"/>
    <col min="8709" max="8709" width="10.44140625" style="615" customWidth="1"/>
    <col min="8710" max="8710" width="10.109375" style="615" customWidth="1"/>
    <col min="8711" max="8712" width="10.5546875" style="615" customWidth="1"/>
    <col min="8713" max="8713" width="11.6640625" style="615" customWidth="1"/>
    <col min="8714" max="8714" width="8.88671875" style="615"/>
    <col min="8715" max="8715" width="7.109375" style="615" customWidth="1"/>
    <col min="8716" max="8963" width="8.88671875" style="615"/>
    <col min="8964" max="8964" width="10" style="615" customWidth="1"/>
    <col min="8965" max="8965" width="10.44140625" style="615" customWidth="1"/>
    <col min="8966" max="8966" width="10.109375" style="615" customWidth="1"/>
    <col min="8967" max="8968" width="10.5546875" style="615" customWidth="1"/>
    <col min="8969" max="8969" width="11.6640625" style="615" customWidth="1"/>
    <col min="8970" max="8970" width="8.88671875" style="615"/>
    <col min="8971" max="8971" width="7.109375" style="615" customWidth="1"/>
    <col min="8972" max="9219" width="8.88671875" style="615"/>
    <col min="9220" max="9220" width="10" style="615" customWidth="1"/>
    <col min="9221" max="9221" width="10.44140625" style="615" customWidth="1"/>
    <col min="9222" max="9222" width="10.109375" style="615" customWidth="1"/>
    <col min="9223" max="9224" width="10.5546875" style="615" customWidth="1"/>
    <col min="9225" max="9225" width="11.6640625" style="615" customWidth="1"/>
    <col min="9226" max="9226" width="8.88671875" style="615"/>
    <col min="9227" max="9227" width="7.109375" style="615" customWidth="1"/>
    <col min="9228" max="9475" width="8.88671875" style="615"/>
    <col min="9476" max="9476" width="10" style="615" customWidth="1"/>
    <col min="9477" max="9477" width="10.44140625" style="615" customWidth="1"/>
    <col min="9478" max="9478" width="10.109375" style="615" customWidth="1"/>
    <col min="9479" max="9480" width="10.5546875" style="615" customWidth="1"/>
    <col min="9481" max="9481" width="11.6640625" style="615" customWidth="1"/>
    <col min="9482" max="9482" width="8.88671875" style="615"/>
    <col min="9483" max="9483" width="7.109375" style="615" customWidth="1"/>
    <col min="9484" max="9731" width="8.88671875" style="615"/>
    <col min="9732" max="9732" width="10" style="615" customWidth="1"/>
    <col min="9733" max="9733" width="10.44140625" style="615" customWidth="1"/>
    <col min="9734" max="9734" width="10.109375" style="615" customWidth="1"/>
    <col min="9735" max="9736" width="10.5546875" style="615" customWidth="1"/>
    <col min="9737" max="9737" width="11.6640625" style="615" customWidth="1"/>
    <col min="9738" max="9738" width="8.88671875" style="615"/>
    <col min="9739" max="9739" width="7.109375" style="615" customWidth="1"/>
    <col min="9740" max="9987" width="8.88671875" style="615"/>
    <col min="9988" max="9988" width="10" style="615" customWidth="1"/>
    <col min="9989" max="9989" width="10.44140625" style="615" customWidth="1"/>
    <col min="9990" max="9990" width="10.109375" style="615" customWidth="1"/>
    <col min="9991" max="9992" width="10.5546875" style="615" customWidth="1"/>
    <col min="9993" max="9993" width="11.6640625" style="615" customWidth="1"/>
    <col min="9994" max="9994" width="8.88671875" style="615"/>
    <col min="9995" max="9995" width="7.109375" style="615" customWidth="1"/>
    <col min="9996" max="10243" width="8.88671875" style="615"/>
    <col min="10244" max="10244" width="10" style="615" customWidth="1"/>
    <col min="10245" max="10245" width="10.44140625" style="615" customWidth="1"/>
    <col min="10246" max="10246" width="10.109375" style="615" customWidth="1"/>
    <col min="10247" max="10248" width="10.5546875" style="615" customWidth="1"/>
    <col min="10249" max="10249" width="11.6640625" style="615" customWidth="1"/>
    <col min="10250" max="10250" width="8.88671875" style="615"/>
    <col min="10251" max="10251" width="7.109375" style="615" customWidth="1"/>
    <col min="10252" max="10499" width="8.88671875" style="615"/>
    <col min="10500" max="10500" width="10" style="615" customWidth="1"/>
    <col min="10501" max="10501" width="10.44140625" style="615" customWidth="1"/>
    <col min="10502" max="10502" width="10.109375" style="615" customWidth="1"/>
    <col min="10503" max="10504" width="10.5546875" style="615" customWidth="1"/>
    <col min="10505" max="10505" width="11.6640625" style="615" customWidth="1"/>
    <col min="10506" max="10506" width="8.88671875" style="615"/>
    <col min="10507" max="10507" width="7.109375" style="615" customWidth="1"/>
    <col min="10508" max="10755" width="8.88671875" style="615"/>
    <col min="10756" max="10756" width="10" style="615" customWidth="1"/>
    <col min="10757" max="10757" width="10.44140625" style="615" customWidth="1"/>
    <col min="10758" max="10758" width="10.109375" style="615" customWidth="1"/>
    <col min="10759" max="10760" width="10.5546875" style="615" customWidth="1"/>
    <col min="10761" max="10761" width="11.6640625" style="615" customWidth="1"/>
    <col min="10762" max="10762" width="8.88671875" style="615"/>
    <col min="10763" max="10763" width="7.109375" style="615" customWidth="1"/>
    <col min="10764" max="11011" width="8.88671875" style="615"/>
    <col min="11012" max="11012" width="10" style="615" customWidth="1"/>
    <col min="11013" max="11013" width="10.44140625" style="615" customWidth="1"/>
    <col min="11014" max="11014" width="10.109375" style="615" customWidth="1"/>
    <col min="11015" max="11016" width="10.5546875" style="615" customWidth="1"/>
    <col min="11017" max="11017" width="11.6640625" style="615" customWidth="1"/>
    <col min="11018" max="11018" width="8.88671875" style="615"/>
    <col min="11019" max="11019" width="7.109375" style="615" customWidth="1"/>
    <col min="11020" max="11267" width="8.88671875" style="615"/>
    <col min="11268" max="11268" width="10" style="615" customWidth="1"/>
    <col min="11269" max="11269" width="10.44140625" style="615" customWidth="1"/>
    <col min="11270" max="11270" width="10.109375" style="615" customWidth="1"/>
    <col min="11271" max="11272" width="10.5546875" style="615" customWidth="1"/>
    <col min="11273" max="11273" width="11.6640625" style="615" customWidth="1"/>
    <col min="11274" max="11274" width="8.88671875" style="615"/>
    <col min="11275" max="11275" width="7.109375" style="615" customWidth="1"/>
    <col min="11276" max="11523" width="8.88671875" style="615"/>
    <col min="11524" max="11524" width="10" style="615" customWidth="1"/>
    <col min="11525" max="11525" width="10.44140625" style="615" customWidth="1"/>
    <col min="11526" max="11526" width="10.109375" style="615" customWidth="1"/>
    <col min="11527" max="11528" width="10.5546875" style="615" customWidth="1"/>
    <col min="11529" max="11529" width="11.6640625" style="615" customWidth="1"/>
    <col min="11530" max="11530" width="8.88671875" style="615"/>
    <col min="11531" max="11531" width="7.109375" style="615" customWidth="1"/>
    <col min="11532" max="11779" width="8.88671875" style="615"/>
    <col min="11780" max="11780" width="10" style="615" customWidth="1"/>
    <col min="11781" max="11781" width="10.44140625" style="615" customWidth="1"/>
    <col min="11782" max="11782" width="10.109375" style="615" customWidth="1"/>
    <col min="11783" max="11784" width="10.5546875" style="615" customWidth="1"/>
    <col min="11785" max="11785" width="11.6640625" style="615" customWidth="1"/>
    <col min="11786" max="11786" width="8.88671875" style="615"/>
    <col min="11787" max="11787" width="7.109375" style="615" customWidth="1"/>
    <col min="11788" max="12035" width="8.88671875" style="615"/>
    <col min="12036" max="12036" width="10" style="615" customWidth="1"/>
    <col min="12037" max="12037" width="10.44140625" style="615" customWidth="1"/>
    <col min="12038" max="12038" width="10.109375" style="615" customWidth="1"/>
    <col min="12039" max="12040" width="10.5546875" style="615" customWidth="1"/>
    <col min="12041" max="12041" width="11.6640625" style="615" customWidth="1"/>
    <col min="12042" max="12042" width="8.88671875" style="615"/>
    <col min="12043" max="12043" width="7.109375" style="615" customWidth="1"/>
    <col min="12044" max="12291" width="8.88671875" style="615"/>
    <col min="12292" max="12292" width="10" style="615" customWidth="1"/>
    <col min="12293" max="12293" width="10.44140625" style="615" customWidth="1"/>
    <col min="12294" max="12294" width="10.109375" style="615" customWidth="1"/>
    <col min="12295" max="12296" width="10.5546875" style="615" customWidth="1"/>
    <col min="12297" max="12297" width="11.6640625" style="615" customWidth="1"/>
    <col min="12298" max="12298" width="8.88671875" style="615"/>
    <col min="12299" max="12299" width="7.109375" style="615" customWidth="1"/>
    <col min="12300" max="12547" width="8.88671875" style="615"/>
    <col min="12548" max="12548" width="10" style="615" customWidth="1"/>
    <col min="12549" max="12549" width="10.44140625" style="615" customWidth="1"/>
    <col min="12550" max="12550" width="10.109375" style="615" customWidth="1"/>
    <col min="12551" max="12552" width="10.5546875" style="615" customWidth="1"/>
    <col min="12553" max="12553" width="11.6640625" style="615" customWidth="1"/>
    <col min="12554" max="12554" width="8.88671875" style="615"/>
    <col min="12555" max="12555" width="7.109375" style="615" customWidth="1"/>
    <col min="12556" max="12803" width="8.88671875" style="615"/>
    <col min="12804" max="12804" width="10" style="615" customWidth="1"/>
    <col min="12805" max="12805" width="10.44140625" style="615" customWidth="1"/>
    <col min="12806" max="12806" width="10.109375" style="615" customWidth="1"/>
    <col min="12807" max="12808" width="10.5546875" style="615" customWidth="1"/>
    <col min="12809" max="12809" width="11.6640625" style="615" customWidth="1"/>
    <col min="12810" max="12810" width="8.88671875" style="615"/>
    <col min="12811" max="12811" width="7.109375" style="615" customWidth="1"/>
    <col min="12812" max="13059" width="8.88671875" style="615"/>
    <col min="13060" max="13060" width="10" style="615" customWidth="1"/>
    <col min="13061" max="13061" width="10.44140625" style="615" customWidth="1"/>
    <col min="13062" max="13062" width="10.109375" style="615" customWidth="1"/>
    <col min="13063" max="13064" width="10.5546875" style="615" customWidth="1"/>
    <col min="13065" max="13065" width="11.6640625" style="615" customWidth="1"/>
    <col min="13066" max="13066" width="8.88671875" style="615"/>
    <col min="13067" max="13067" width="7.109375" style="615" customWidth="1"/>
    <col min="13068" max="13315" width="8.88671875" style="615"/>
    <col min="13316" max="13316" width="10" style="615" customWidth="1"/>
    <col min="13317" max="13317" width="10.44140625" style="615" customWidth="1"/>
    <col min="13318" max="13318" width="10.109375" style="615" customWidth="1"/>
    <col min="13319" max="13320" width="10.5546875" style="615" customWidth="1"/>
    <col min="13321" max="13321" width="11.6640625" style="615" customWidth="1"/>
    <col min="13322" max="13322" width="8.88671875" style="615"/>
    <col min="13323" max="13323" width="7.109375" style="615" customWidth="1"/>
    <col min="13324" max="13571" width="8.88671875" style="615"/>
    <col min="13572" max="13572" width="10" style="615" customWidth="1"/>
    <col min="13573" max="13573" width="10.44140625" style="615" customWidth="1"/>
    <col min="13574" max="13574" width="10.109375" style="615" customWidth="1"/>
    <col min="13575" max="13576" width="10.5546875" style="615" customWidth="1"/>
    <col min="13577" max="13577" width="11.6640625" style="615" customWidth="1"/>
    <col min="13578" max="13578" width="8.88671875" style="615"/>
    <col min="13579" max="13579" width="7.109375" style="615" customWidth="1"/>
    <col min="13580" max="13827" width="8.88671875" style="615"/>
    <col min="13828" max="13828" width="10" style="615" customWidth="1"/>
    <col min="13829" max="13829" width="10.44140625" style="615" customWidth="1"/>
    <col min="13830" max="13830" width="10.109375" style="615" customWidth="1"/>
    <col min="13831" max="13832" width="10.5546875" style="615" customWidth="1"/>
    <col min="13833" max="13833" width="11.6640625" style="615" customWidth="1"/>
    <col min="13834" max="13834" width="8.88671875" style="615"/>
    <col min="13835" max="13835" width="7.109375" style="615" customWidth="1"/>
    <col min="13836" max="14083" width="8.88671875" style="615"/>
    <col min="14084" max="14084" width="10" style="615" customWidth="1"/>
    <col min="14085" max="14085" width="10.44140625" style="615" customWidth="1"/>
    <col min="14086" max="14086" width="10.109375" style="615" customWidth="1"/>
    <col min="14087" max="14088" width="10.5546875" style="615" customWidth="1"/>
    <col min="14089" max="14089" width="11.6640625" style="615" customWidth="1"/>
    <col min="14090" max="14090" width="8.88671875" style="615"/>
    <col min="14091" max="14091" width="7.109375" style="615" customWidth="1"/>
    <col min="14092" max="14339" width="8.88671875" style="615"/>
    <col min="14340" max="14340" width="10" style="615" customWidth="1"/>
    <col min="14341" max="14341" width="10.44140625" style="615" customWidth="1"/>
    <col min="14342" max="14342" width="10.109375" style="615" customWidth="1"/>
    <col min="14343" max="14344" width="10.5546875" style="615" customWidth="1"/>
    <col min="14345" max="14345" width="11.6640625" style="615" customWidth="1"/>
    <col min="14346" max="14346" width="8.88671875" style="615"/>
    <col min="14347" max="14347" width="7.109375" style="615" customWidth="1"/>
    <col min="14348" max="14595" width="8.88671875" style="615"/>
    <col min="14596" max="14596" width="10" style="615" customWidth="1"/>
    <col min="14597" max="14597" width="10.44140625" style="615" customWidth="1"/>
    <col min="14598" max="14598" width="10.109375" style="615" customWidth="1"/>
    <col min="14599" max="14600" width="10.5546875" style="615" customWidth="1"/>
    <col min="14601" max="14601" width="11.6640625" style="615" customWidth="1"/>
    <col min="14602" max="14602" width="8.88671875" style="615"/>
    <col min="14603" max="14603" width="7.109375" style="615" customWidth="1"/>
    <col min="14604" max="14851" width="8.88671875" style="615"/>
    <col min="14852" max="14852" width="10" style="615" customWidth="1"/>
    <col min="14853" max="14853" width="10.44140625" style="615" customWidth="1"/>
    <col min="14854" max="14854" width="10.109375" style="615" customWidth="1"/>
    <col min="14855" max="14856" width="10.5546875" style="615" customWidth="1"/>
    <col min="14857" max="14857" width="11.6640625" style="615" customWidth="1"/>
    <col min="14858" max="14858" width="8.88671875" style="615"/>
    <col min="14859" max="14859" width="7.109375" style="615" customWidth="1"/>
    <col min="14860" max="15107" width="8.88671875" style="615"/>
    <col min="15108" max="15108" width="10" style="615" customWidth="1"/>
    <col min="15109" max="15109" width="10.44140625" style="615" customWidth="1"/>
    <col min="15110" max="15110" width="10.109375" style="615" customWidth="1"/>
    <col min="15111" max="15112" width="10.5546875" style="615" customWidth="1"/>
    <col min="15113" max="15113" width="11.6640625" style="615" customWidth="1"/>
    <col min="15114" max="15114" width="8.88671875" style="615"/>
    <col min="15115" max="15115" width="7.109375" style="615" customWidth="1"/>
    <col min="15116" max="15363" width="8.88671875" style="615"/>
    <col min="15364" max="15364" width="10" style="615" customWidth="1"/>
    <col min="15365" max="15365" width="10.44140625" style="615" customWidth="1"/>
    <col min="15366" max="15366" width="10.109375" style="615" customWidth="1"/>
    <col min="15367" max="15368" width="10.5546875" style="615" customWidth="1"/>
    <col min="15369" max="15369" width="11.6640625" style="615" customWidth="1"/>
    <col min="15370" max="15370" width="8.88671875" style="615"/>
    <col min="15371" max="15371" width="7.109375" style="615" customWidth="1"/>
    <col min="15372" max="15619" width="8.88671875" style="615"/>
    <col min="15620" max="15620" width="10" style="615" customWidth="1"/>
    <col min="15621" max="15621" width="10.44140625" style="615" customWidth="1"/>
    <col min="15622" max="15622" width="10.109375" style="615" customWidth="1"/>
    <col min="15623" max="15624" width="10.5546875" style="615" customWidth="1"/>
    <col min="15625" max="15625" width="11.6640625" style="615" customWidth="1"/>
    <col min="15626" max="15626" width="8.88671875" style="615"/>
    <col min="15627" max="15627" width="7.109375" style="615" customWidth="1"/>
    <col min="15628" max="15875" width="8.88671875" style="615"/>
    <col min="15876" max="15876" width="10" style="615" customWidth="1"/>
    <col min="15877" max="15877" width="10.44140625" style="615" customWidth="1"/>
    <col min="15878" max="15878" width="10.109375" style="615" customWidth="1"/>
    <col min="15879" max="15880" width="10.5546875" style="615" customWidth="1"/>
    <col min="15881" max="15881" width="11.6640625" style="615" customWidth="1"/>
    <col min="15882" max="15882" width="8.88671875" style="615"/>
    <col min="15883" max="15883" width="7.109375" style="615" customWidth="1"/>
    <col min="15884" max="16131" width="8.88671875" style="615"/>
    <col min="16132" max="16132" width="10" style="615" customWidth="1"/>
    <col min="16133" max="16133" width="10.44140625" style="615" customWidth="1"/>
    <col min="16134" max="16134" width="10.109375" style="615" customWidth="1"/>
    <col min="16135" max="16136" width="10.5546875" style="615" customWidth="1"/>
    <col min="16137" max="16137" width="11.6640625" style="615" customWidth="1"/>
    <col min="16138" max="16138" width="8.88671875" style="615"/>
    <col min="16139" max="16139" width="7.109375" style="615" customWidth="1"/>
    <col min="16140" max="16384" width="8.88671875" style="615"/>
  </cols>
  <sheetData>
    <row r="1" spans="1:27" ht="15.75" customHeight="1" x14ac:dyDescent="0.3">
      <c r="A1" s="1359" t="str">
        <f>CUTOFF3!A1</f>
        <v>ROSHNABAD BARRAGE</v>
      </c>
      <c r="B1" s="1360"/>
      <c r="C1" s="1360"/>
      <c r="D1" s="1360"/>
      <c r="E1" s="1360"/>
      <c r="F1" s="1360"/>
      <c r="G1" s="1360"/>
      <c r="H1" s="1360"/>
      <c r="I1" s="1360"/>
      <c r="J1" s="1360"/>
      <c r="K1" s="1360"/>
      <c r="L1" s="1360"/>
    </row>
    <row r="2" spans="1:27" x14ac:dyDescent="0.3">
      <c r="A2" s="1286" t="str">
        <f>Turf!A2</f>
        <v>TEHSIL :-SIDHI</v>
      </c>
      <c r="B2" s="1287"/>
      <c r="C2" s="1287"/>
      <c r="D2" s="1287"/>
      <c r="E2" s="1287"/>
      <c r="I2" s="1361" t="str">
        <f>Turf!E2</f>
        <v>DISTRICT :SINGRAULI</v>
      </c>
      <c r="J2" s="1362"/>
      <c r="K2" s="1362"/>
    </row>
    <row r="3" spans="1:27" x14ac:dyDescent="0.3">
      <c r="A3" s="1363" t="s">
        <v>510</v>
      </c>
      <c r="B3" s="1363"/>
      <c r="C3" s="1363"/>
      <c r="D3" s="1363"/>
      <c r="E3" s="1363"/>
      <c r="F3" s="1363"/>
      <c r="G3" s="1363"/>
      <c r="H3" s="1363"/>
      <c r="I3" s="1363"/>
      <c r="J3" s="1363"/>
      <c r="K3" s="1363"/>
      <c r="L3" s="1363"/>
    </row>
    <row r="4" spans="1:27" x14ac:dyDescent="0.3">
      <c r="A4" s="833" t="s">
        <v>511</v>
      </c>
      <c r="B4" s="616"/>
      <c r="C4" s="616"/>
      <c r="D4" s="616"/>
      <c r="E4" s="834">
        <v>0.15</v>
      </c>
      <c r="F4" s="832"/>
      <c r="G4" s="832"/>
      <c r="H4" s="833" t="s">
        <v>512</v>
      </c>
      <c r="I4" s="833"/>
    </row>
    <row r="5" spans="1:27" ht="16.2" x14ac:dyDescent="0.35">
      <c r="A5" s="616"/>
      <c r="B5" s="1364" t="s">
        <v>513</v>
      </c>
      <c r="C5" s="1364"/>
      <c r="D5" s="1364"/>
      <c r="E5" s="1364"/>
      <c r="F5" s="1364"/>
      <c r="G5" s="1364"/>
      <c r="H5" s="832"/>
      <c r="I5" s="832"/>
    </row>
    <row r="6" spans="1:27" ht="42.75" customHeight="1" x14ac:dyDescent="0.3">
      <c r="A6" s="1356" t="s">
        <v>162</v>
      </c>
      <c r="B6" s="1356" t="s">
        <v>431</v>
      </c>
      <c r="C6" s="1356" t="s">
        <v>514</v>
      </c>
      <c r="D6" s="1356" t="s">
        <v>515</v>
      </c>
      <c r="E6" s="1356" t="s">
        <v>418</v>
      </c>
      <c r="F6" s="1356" t="s">
        <v>516</v>
      </c>
      <c r="G6" s="1356"/>
      <c r="H6" s="1356"/>
      <c r="I6" s="1357" t="s">
        <v>517</v>
      </c>
      <c r="J6" s="1357" t="s">
        <v>438</v>
      </c>
      <c r="K6" s="1357" t="s">
        <v>518</v>
      </c>
      <c r="L6" s="1357" t="s">
        <v>8</v>
      </c>
    </row>
    <row r="7" spans="1:27" ht="18.75" customHeight="1" x14ac:dyDescent="0.3">
      <c r="A7" s="1356"/>
      <c r="B7" s="1356"/>
      <c r="C7" s="1356"/>
      <c r="D7" s="1356"/>
      <c r="E7" s="1356"/>
      <c r="F7" s="835" t="s">
        <v>421</v>
      </c>
      <c r="G7" s="835" t="s">
        <v>428</v>
      </c>
      <c r="H7" s="835" t="s">
        <v>159</v>
      </c>
      <c r="I7" s="1358"/>
      <c r="J7" s="1358"/>
      <c r="K7" s="1358"/>
      <c r="L7" s="1358"/>
    </row>
    <row r="8" spans="1:27" x14ac:dyDescent="0.3">
      <c r="A8" s="836">
        <v>1</v>
      </c>
      <c r="B8" s="836">
        <v>2</v>
      </c>
      <c r="C8" s="836"/>
      <c r="D8" s="836">
        <v>3</v>
      </c>
      <c r="E8" s="836">
        <v>4</v>
      </c>
      <c r="F8" s="836" t="s">
        <v>519</v>
      </c>
      <c r="G8" s="836" t="s">
        <v>520</v>
      </c>
      <c r="H8" s="836"/>
      <c r="I8" s="836"/>
      <c r="J8" s="836"/>
      <c r="K8" s="836"/>
      <c r="L8" s="836"/>
    </row>
    <row r="9" spans="1:27" x14ac:dyDescent="0.3">
      <c r="A9" s="837">
        <v>1</v>
      </c>
      <c r="B9" s="1043">
        <f>'e-w'!B31</f>
        <v>0</v>
      </c>
      <c r="C9" s="899">
        <f>'e-w'!C31</f>
        <v>477.834</v>
      </c>
      <c r="D9" s="838">
        <f t="shared" ref="D9:D10" si="0">C9-$E$4</f>
        <v>477.68400000000003</v>
      </c>
      <c r="E9" s="838">
        <v>0</v>
      </c>
      <c r="F9" s="839">
        <v>0</v>
      </c>
      <c r="G9" s="839">
        <v>0</v>
      </c>
      <c r="H9" s="839">
        <v>6</v>
      </c>
      <c r="I9" s="839">
        <f>AVERAGE(H9:H9)</f>
        <v>6</v>
      </c>
      <c r="J9" s="839">
        <v>0</v>
      </c>
      <c r="K9" s="839">
        <v>0</v>
      </c>
      <c r="L9" s="660">
        <f t="shared" ref="L9:L10" si="1">K9*J9*I9</f>
        <v>0</v>
      </c>
      <c r="M9" s="660"/>
      <c r="N9" s="659"/>
      <c r="O9" s="659"/>
      <c r="P9" s="659"/>
      <c r="Q9" s="659"/>
      <c r="R9" s="659"/>
      <c r="S9" s="659"/>
      <c r="T9" s="659"/>
      <c r="U9" s="659"/>
      <c r="V9" s="660"/>
      <c r="W9" s="660"/>
      <c r="X9" s="660"/>
      <c r="Y9" s="660"/>
      <c r="Z9" s="661"/>
      <c r="AA9" s="661"/>
    </row>
    <row r="10" spans="1:27" x14ac:dyDescent="0.3">
      <c r="A10" s="837">
        <v>2</v>
      </c>
      <c r="B10" s="1043">
        <f>'e-w'!B32</f>
        <v>20</v>
      </c>
      <c r="C10" s="899">
        <f>'e-w'!C32</f>
        <v>477.37495931758531</v>
      </c>
      <c r="D10" s="838">
        <f t="shared" si="0"/>
        <v>477.22495931758533</v>
      </c>
      <c r="E10" s="838">
        <f>'e-w'!D32</f>
        <v>119.62504068241469</v>
      </c>
      <c r="F10" s="839">
        <f>'e-w'!I32</f>
        <v>548.12520341207346</v>
      </c>
      <c r="G10" s="839">
        <f>'e-w'!J32</f>
        <v>498.12520341207346</v>
      </c>
      <c r="H10" s="839">
        <f>'e-w'!E32</f>
        <v>100</v>
      </c>
      <c r="I10" s="839">
        <f t="shared" ref="I10" si="2">AVERAGE(H9:H10)</f>
        <v>53</v>
      </c>
      <c r="J10" s="839">
        <f t="shared" ref="J10" si="3">B10-B9</f>
        <v>20</v>
      </c>
      <c r="K10" s="839">
        <f t="shared" ref="K10" si="4">C9-D9</f>
        <v>0.14999999999997726</v>
      </c>
      <c r="L10" s="660">
        <f t="shared" si="1"/>
        <v>158.9999999999759</v>
      </c>
      <c r="M10" s="660"/>
      <c r="N10" s="659"/>
      <c r="O10" s="659"/>
      <c r="P10" s="659"/>
      <c r="Q10" s="659"/>
      <c r="R10" s="659"/>
      <c r="S10" s="659"/>
      <c r="T10" s="659"/>
      <c r="U10" s="659"/>
      <c r="V10" s="660"/>
      <c r="W10" s="660"/>
      <c r="X10" s="660"/>
      <c r="Y10" s="660"/>
      <c r="Z10" s="661"/>
      <c r="AA10" s="661"/>
    </row>
    <row r="11" spans="1:27" x14ac:dyDescent="0.3">
      <c r="A11" s="837">
        <v>3</v>
      </c>
      <c r="B11" s="1043">
        <f>'e-w'!B33</f>
        <v>40</v>
      </c>
      <c r="C11" s="899">
        <f>'e-w'!C33</f>
        <v>476.60178899082564</v>
      </c>
      <c r="D11" s="838">
        <f t="shared" ref="D11:D46" si="5">C11-$E$4</f>
        <v>476.45178899082566</v>
      </c>
      <c r="E11" s="838">
        <f>'e-w'!D33</f>
        <v>120.39821100917436</v>
      </c>
      <c r="F11" s="839">
        <f>'e-w'!I33</f>
        <v>551.9910550458718</v>
      </c>
      <c r="G11" s="839">
        <f>'e-w'!J33</f>
        <v>501.9910550458718</v>
      </c>
      <c r="H11" s="839">
        <f>'e-w'!E33</f>
        <v>100</v>
      </c>
      <c r="I11" s="839">
        <f t="shared" ref="I11:I46" si="6">AVERAGE(H10:H11)</f>
        <v>100</v>
      </c>
      <c r="J11" s="839">
        <f t="shared" ref="J11:J46" si="7">B11-B10</f>
        <v>20</v>
      </c>
      <c r="K11" s="839">
        <f t="shared" ref="K11:K46" si="8">C10-D10</f>
        <v>0.14999999999997726</v>
      </c>
      <c r="L11" s="660">
        <f t="shared" ref="L11:L46" si="9">K11*J11*I11</f>
        <v>299.99999999995453</v>
      </c>
      <c r="M11" s="660"/>
      <c r="N11" s="659"/>
      <c r="O11" s="659"/>
      <c r="P11" s="659"/>
      <c r="Q11" s="659"/>
      <c r="R11" s="659"/>
      <c r="S11" s="659"/>
      <c r="T11" s="659"/>
      <c r="U11" s="659"/>
      <c r="V11" s="660"/>
      <c r="W11" s="660"/>
      <c r="X11" s="660"/>
      <c r="Y11" s="660"/>
      <c r="Z11" s="661"/>
      <c r="AA11" s="661"/>
    </row>
    <row r="12" spans="1:27" x14ac:dyDescent="0.3">
      <c r="A12" s="837">
        <v>4</v>
      </c>
      <c r="B12" s="1043">
        <f>'e-w'!B34</f>
        <v>60</v>
      </c>
      <c r="C12" s="899">
        <f>'e-w'!C34</f>
        <v>476.11086614173229</v>
      </c>
      <c r="D12" s="838">
        <f t="shared" si="5"/>
        <v>475.96086614173231</v>
      </c>
      <c r="E12" s="838">
        <f>'e-w'!D34</f>
        <v>120.88913385826771</v>
      </c>
      <c r="F12" s="839">
        <f>'e-w'!I34</f>
        <v>554.44566929133862</v>
      </c>
      <c r="G12" s="839">
        <f>'e-w'!J34</f>
        <v>504.44566929133856</v>
      </c>
      <c r="H12" s="839">
        <f>'e-w'!E34</f>
        <v>100</v>
      </c>
      <c r="I12" s="839">
        <f t="shared" si="6"/>
        <v>100</v>
      </c>
      <c r="J12" s="839">
        <f t="shared" si="7"/>
        <v>20</v>
      </c>
      <c r="K12" s="839">
        <f t="shared" si="8"/>
        <v>0.14999999999997726</v>
      </c>
      <c r="L12" s="660">
        <f t="shared" si="9"/>
        <v>299.99999999995453</v>
      </c>
      <c r="M12" s="660"/>
      <c r="N12" s="659"/>
      <c r="O12" s="659"/>
      <c r="P12" s="659"/>
      <c r="Q12" s="659"/>
      <c r="R12" s="659"/>
      <c r="S12" s="659"/>
      <c r="T12" s="659"/>
      <c r="U12" s="659"/>
      <c r="V12" s="660"/>
      <c r="W12" s="660"/>
      <c r="X12" s="660"/>
      <c r="Y12" s="660"/>
      <c r="Z12" s="661"/>
      <c r="AA12" s="661"/>
    </row>
    <row r="13" spans="1:27" x14ac:dyDescent="0.3">
      <c r="A13" s="837">
        <v>5</v>
      </c>
      <c r="B13" s="1043">
        <f>'e-w'!B35</f>
        <v>80</v>
      </c>
      <c r="C13" s="899">
        <f>'e-w'!C35</f>
        <v>475.51279921259845</v>
      </c>
      <c r="D13" s="838">
        <f t="shared" si="5"/>
        <v>475.36279921259847</v>
      </c>
      <c r="E13" s="838">
        <f>'e-w'!D35</f>
        <v>121.48720078740155</v>
      </c>
      <c r="F13" s="839">
        <f>'e-w'!I35</f>
        <v>557.43600393700774</v>
      </c>
      <c r="G13" s="839">
        <f>'e-w'!J35</f>
        <v>507.43600393700774</v>
      </c>
      <c r="H13" s="839">
        <f>'e-w'!E35</f>
        <v>100</v>
      </c>
      <c r="I13" s="839">
        <f t="shared" si="6"/>
        <v>100</v>
      </c>
      <c r="J13" s="839">
        <f t="shared" si="7"/>
        <v>20</v>
      </c>
      <c r="K13" s="839">
        <f t="shared" si="8"/>
        <v>0.14999999999997726</v>
      </c>
      <c r="L13" s="660">
        <f t="shared" si="9"/>
        <v>299.99999999995453</v>
      </c>
      <c r="M13" s="660"/>
      <c r="N13" s="659"/>
      <c r="O13" s="659"/>
      <c r="P13" s="659"/>
      <c r="Q13" s="659"/>
      <c r="R13" s="659"/>
      <c r="S13" s="659"/>
      <c r="T13" s="659"/>
      <c r="U13" s="659"/>
      <c r="V13" s="660"/>
      <c r="W13" s="660"/>
      <c r="X13" s="660"/>
      <c r="Y13" s="660"/>
      <c r="Z13" s="661"/>
      <c r="AA13" s="661"/>
    </row>
    <row r="14" spans="1:27" x14ac:dyDescent="0.3">
      <c r="A14" s="837">
        <v>6</v>
      </c>
      <c r="B14" s="1043">
        <f>'e-w'!B36</f>
        <v>100</v>
      </c>
      <c r="C14" s="899">
        <f>'e-w'!C36</f>
        <v>474.85713612565439</v>
      </c>
      <c r="D14" s="838">
        <f t="shared" si="5"/>
        <v>474.70713612565442</v>
      </c>
      <c r="E14" s="838">
        <f>'e-w'!D36</f>
        <v>122.14286387434561</v>
      </c>
      <c r="F14" s="839">
        <f>'e-w'!I36</f>
        <v>560.71431937172804</v>
      </c>
      <c r="G14" s="839">
        <f>'e-w'!J36</f>
        <v>510.71431937172804</v>
      </c>
      <c r="H14" s="839">
        <f>'e-w'!E36</f>
        <v>100</v>
      </c>
      <c r="I14" s="839">
        <f t="shared" si="6"/>
        <v>100</v>
      </c>
      <c r="J14" s="839">
        <f t="shared" si="7"/>
        <v>20</v>
      </c>
      <c r="K14" s="839">
        <f t="shared" si="8"/>
        <v>0.14999999999997726</v>
      </c>
      <c r="L14" s="660">
        <f t="shared" si="9"/>
        <v>299.99999999995453</v>
      </c>
      <c r="M14" s="660"/>
      <c r="N14" s="659"/>
      <c r="O14" s="659"/>
      <c r="P14" s="659"/>
      <c r="Q14" s="659"/>
      <c r="R14" s="659"/>
      <c r="S14" s="659"/>
      <c r="T14" s="659"/>
      <c r="U14" s="659"/>
      <c r="V14" s="660"/>
      <c r="W14" s="660"/>
      <c r="X14" s="660"/>
      <c r="Y14" s="660"/>
      <c r="Z14" s="661"/>
      <c r="AA14" s="661"/>
    </row>
    <row r="15" spans="1:27" x14ac:dyDescent="0.3">
      <c r="A15" s="837">
        <v>7</v>
      </c>
      <c r="B15" s="1043">
        <f>'e-w'!B37</f>
        <v>120</v>
      </c>
      <c r="C15" s="899">
        <f>'e-w'!C37</f>
        <v>474.7220789473684</v>
      </c>
      <c r="D15" s="838">
        <f t="shared" si="5"/>
        <v>474.57207894736842</v>
      </c>
      <c r="E15" s="838">
        <f>'e-w'!D37</f>
        <v>122.2779210526316</v>
      </c>
      <c r="F15" s="839">
        <f>'e-w'!I37</f>
        <v>561.38960526315805</v>
      </c>
      <c r="G15" s="839">
        <f>'e-w'!J37</f>
        <v>511.38960526315799</v>
      </c>
      <c r="H15" s="839">
        <f>'e-w'!E37</f>
        <v>100</v>
      </c>
      <c r="I15" s="839">
        <f t="shared" si="6"/>
        <v>100</v>
      </c>
      <c r="J15" s="839">
        <f t="shared" si="7"/>
        <v>20</v>
      </c>
      <c r="K15" s="839">
        <f t="shared" si="8"/>
        <v>0.14999999999997726</v>
      </c>
      <c r="L15" s="660">
        <f t="shared" si="9"/>
        <v>299.99999999995453</v>
      </c>
      <c r="M15" s="660"/>
      <c r="N15" s="659"/>
      <c r="O15" s="659"/>
      <c r="P15" s="659"/>
      <c r="Q15" s="659"/>
      <c r="R15" s="659"/>
      <c r="S15" s="659"/>
      <c r="T15" s="659"/>
      <c r="U15" s="659"/>
      <c r="V15" s="660"/>
      <c r="W15" s="660"/>
      <c r="X15" s="660"/>
      <c r="Y15" s="660"/>
      <c r="Z15" s="661"/>
      <c r="AA15" s="661"/>
    </row>
    <row r="16" spans="1:27" x14ac:dyDescent="0.3">
      <c r="A16" s="837">
        <v>8</v>
      </c>
      <c r="B16" s="1043">
        <f>'e-w'!B38</f>
        <v>140</v>
      </c>
      <c r="C16" s="899">
        <f>'e-w'!C38</f>
        <v>474.76499999999999</v>
      </c>
      <c r="D16" s="838">
        <f t="shared" si="5"/>
        <v>474.61500000000001</v>
      </c>
      <c r="E16" s="838">
        <f>'e-w'!D38</f>
        <v>122.23500000000001</v>
      </c>
      <c r="F16" s="839">
        <f>'e-w'!I38</f>
        <v>561.17500000000007</v>
      </c>
      <c r="G16" s="839">
        <f>'e-w'!J38</f>
        <v>511.17500000000007</v>
      </c>
      <c r="H16" s="839">
        <f>'e-w'!E38</f>
        <v>100</v>
      </c>
      <c r="I16" s="839">
        <f t="shared" si="6"/>
        <v>100</v>
      </c>
      <c r="J16" s="839">
        <f t="shared" si="7"/>
        <v>20</v>
      </c>
      <c r="K16" s="839">
        <f t="shared" si="8"/>
        <v>0.14999999999997726</v>
      </c>
      <c r="L16" s="660">
        <f t="shared" si="9"/>
        <v>299.99999999995453</v>
      </c>
      <c r="M16" s="660"/>
      <c r="N16" s="659"/>
      <c r="O16" s="659"/>
      <c r="P16" s="659"/>
      <c r="Q16" s="659"/>
      <c r="R16" s="659"/>
      <c r="S16" s="659"/>
      <c r="T16" s="659"/>
      <c r="U16" s="659"/>
      <c r="V16" s="660"/>
      <c r="W16" s="660"/>
      <c r="X16" s="660"/>
      <c r="Y16" s="660"/>
      <c r="Z16" s="661"/>
      <c r="AA16" s="661"/>
    </row>
    <row r="17" spans="1:27" x14ac:dyDescent="0.3">
      <c r="A17" s="837">
        <v>9</v>
      </c>
      <c r="B17" s="1043">
        <f>'e-w'!B39</f>
        <v>160</v>
      </c>
      <c r="C17" s="899">
        <f>'e-w'!C39</f>
        <v>474.62121052631579</v>
      </c>
      <c r="D17" s="838">
        <f t="shared" si="5"/>
        <v>474.47121052631582</v>
      </c>
      <c r="E17" s="838">
        <f>'e-w'!D39</f>
        <v>122.37878947368421</v>
      </c>
      <c r="F17" s="839">
        <f>'e-w'!I39</f>
        <v>561.8939473684211</v>
      </c>
      <c r="G17" s="839">
        <f>'e-w'!J39</f>
        <v>511.89394736842104</v>
      </c>
      <c r="H17" s="839">
        <f>'e-w'!E39</f>
        <v>100</v>
      </c>
      <c r="I17" s="839">
        <f t="shared" si="6"/>
        <v>100</v>
      </c>
      <c r="J17" s="839">
        <f t="shared" si="7"/>
        <v>20</v>
      </c>
      <c r="K17" s="839">
        <f t="shared" si="8"/>
        <v>0.14999999999997726</v>
      </c>
      <c r="L17" s="660">
        <f t="shared" si="9"/>
        <v>299.99999999995453</v>
      </c>
      <c r="M17" s="660"/>
      <c r="N17" s="659"/>
      <c r="O17" s="659"/>
      <c r="P17" s="659"/>
      <c r="Q17" s="659"/>
      <c r="R17" s="659"/>
      <c r="S17" s="659"/>
      <c r="T17" s="659"/>
      <c r="U17" s="659"/>
      <c r="V17" s="660"/>
      <c r="W17" s="660"/>
      <c r="X17" s="660"/>
      <c r="Y17" s="660"/>
      <c r="Z17" s="661"/>
      <c r="AA17" s="661"/>
    </row>
    <row r="18" spans="1:27" x14ac:dyDescent="0.3">
      <c r="A18" s="837">
        <v>10</v>
      </c>
      <c r="B18" s="1043">
        <f>'e-w'!B40</f>
        <v>180</v>
      </c>
      <c r="C18" s="899">
        <f>'e-w'!C40</f>
        <v>474.47307894736844</v>
      </c>
      <c r="D18" s="838">
        <f t="shared" si="5"/>
        <v>474.32307894736846</v>
      </c>
      <c r="E18" s="838">
        <f>'e-w'!D40</f>
        <v>122.52692105263156</v>
      </c>
      <c r="F18" s="839">
        <f>'e-w'!I40</f>
        <v>562.63460526315782</v>
      </c>
      <c r="G18" s="839">
        <f>'e-w'!J40</f>
        <v>512.63460526315782</v>
      </c>
      <c r="H18" s="839">
        <f>'e-w'!E40</f>
        <v>100</v>
      </c>
      <c r="I18" s="839">
        <f t="shared" si="6"/>
        <v>100</v>
      </c>
      <c r="J18" s="839">
        <f t="shared" si="7"/>
        <v>20</v>
      </c>
      <c r="K18" s="839">
        <f t="shared" si="8"/>
        <v>0.14999999999997726</v>
      </c>
      <c r="L18" s="660">
        <f t="shared" si="9"/>
        <v>299.99999999995453</v>
      </c>
      <c r="M18" s="660"/>
      <c r="N18" s="659"/>
      <c r="O18" s="659"/>
      <c r="P18" s="659"/>
      <c r="Q18" s="659"/>
      <c r="R18" s="659"/>
      <c r="S18" s="659"/>
      <c r="T18" s="659"/>
      <c r="U18" s="659"/>
      <c r="V18" s="660"/>
      <c r="W18" s="660"/>
      <c r="X18" s="660"/>
      <c r="Y18" s="660"/>
      <c r="Z18" s="661"/>
      <c r="AA18" s="661"/>
    </row>
    <row r="19" spans="1:27" x14ac:dyDescent="0.3">
      <c r="A19" s="837">
        <v>11</v>
      </c>
      <c r="B19" s="1043">
        <f>'e-w'!B41</f>
        <v>200</v>
      </c>
      <c r="C19" s="899">
        <f>'e-w'!C41</f>
        <v>474.26559210526312</v>
      </c>
      <c r="D19" s="838">
        <f t="shared" si="5"/>
        <v>474.11559210526315</v>
      </c>
      <c r="E19" s="838">
        <f>'e-w'!D41</f>
        <v>122.73440789473688</v>
      </c>
      <c r="F19" s="839">
        <f>'e-w'!I41</f>
        <v>563.67203947368444</v>
      </c>
      <c r="G19" s="839">
        <f>'e-w'!J41</f>
        <v>513.67203947368444</v>
      </c>
      <c r="H19" s="839">
        <f>'e-w'!E41</f>
        <v>100</v>
      </c>
      <c r="I19" s="839">
        <f t="shared" si="6"/>
        <v>100</v>
      </c>
      <c r="J19" s="839">
        <f t="shared" si="7"/>
        <v>20</v>
      </c>
      <c r="K19" s="839">
        <f t="shared" si="8"/>
        <v>0.14999999999997726</v>
      </c>
      <c r="L19" s="660">
        <f t="shared" si="9"/>
        <v>299.99999999995453</v>
      </c>
      <c r="M19" s="660"/>
      <c r="N19" s="659"/>
      <c r="O19" s="659"/>
      <c r="P19" s="659"/>
      <c r="Q19" s="659"/>
      <c r="R19" s="659"/>
      <c r="S19" s="659"/>
      <c r="T19" s="659"/>
      <c r="U19" s="659"/>
      <c r="V19" s="660"/>
      <c r="W19" s="660"/>
      <c r="X19" s="660"/>
      <c r="Y19" s="660"/>
      <c r="Z19" s="661"/>
      <c r="AA19" s="661"/>
    </row>
    <row r="20" spans="1:27" x14ac:dyDescent="0.3">
      <c r="A20" s="837">
        <v>12</v>
      </c>
      <c r="B20" s="1043">
        <f>'e-w'!B42</f>
        <v>220</v>
      </c>
      <c r="C20" s="899">
        <f>'e-w'!C42</f>
        <v>470.31336842105264</v>
      </c>
      <c r="D20" s="838">
        <f t="shared" si="5"/>
        <v>470.16336842105267</v>
      </c>
      <c r="E20" s="838">
        <f>'e-w'!D42</f>
        <v>126.68663157894736</v>
      </c>
      <c r="F20" s="839">
        <f>'e-w'!I42</f>
        <v>583.43315789473672</v>
      </c>
      <c r="G20" s="839">
        <f>'e-w'!J42</f>
        <v>533.43315789473672</v>
      </c>
      <c r="H20" s="839">
        <f>'e-w'!E42</f>
        <v>100</v>
      </c>
      <c r="I20" s="839">
        <f t="shared" si="6"/>
        <v>100</v>
      </c>
      <c r="J20" s="839">
        <f t="shared" si="7"/>
        <v>20</v>
      </c>
      <c r="K20" s="839">
        <f t="shared" si="8"/>
        <v>0.14999999999997726</v>
      </c>
      <c r="L20" s="660">
        <f t="shared" si="9"/>
        <v>299.99999999995453</v>
      </c>
      <c r="M20" s="660"/>
      <c r="N20" s="659"/>
      <c r="O20" s="659"/>
      <c r="P20" s="659"/>
      <c r="Q20" s="659"/>
      <c r="R20" s="659"/>
      <c r="S20" s="659"/>
      <c r="T20" s="659"/>
      <c r="U20" s="659"/>
      <c r="V20" s="660"/>
      <c r="W20" s="660"/>
      <c r="X20" s="660"/>
      <c r="Y20" s="660"/>
      <c r="Z20" s="661"/>
      <c r="AA20" s="661"/>
    </row>
    <row r="21" spans="1:27" x14ac:dyDescent="0.3">
      <c r="A21" s="837">
        <v>13</v>
      </c>
      <c r="B21" s="1043">
        <f>'e-w'!B43</f>
        <v>240</v>
      </c>
      <c r="C21" s="899">
        <f>'e-w'!C43</f>
        <v>469.86581578947369</v>
      </c>
      <c r="D21" s="838">
        <f t="shared" si="5"/>
        <v>469.71581578947371</v>
      </c>
      <c r="E21" s="838">
        <f>'e-w'!D43</f>
        <v>127.13418421052631</v>
      </c>
      <c r="F21" s="839">
        <f>'e-w'!I43</f>
        <v>585.67092105263157</v>
      </c>
      <c r="G21" s="839">
        <f>'e-w'!J43</f>
        <v>535.67092105263157</v>
      </c>
      <c r="H21" s="839">
        <f>'e-w'!E43</f>
        <v>100</v>
      </c>
      <c r="I21" s="839">
        <f t="shared" si="6"/>
        <v>100</v>
      </c>
      <c r="J21" s="839">
        <f t="shared" si="7"/>
        <v>20</v>
      </c>
      <c r="K21" s="839">
        <f t="shared" si="8"/>
        <v>0.14999999999997726</v>
      </c>
      <c r="L21" s="660">
        <f t="shared" si="9"/>
        <v>299.99999999995453</v>
      </c>
      <c r="M21" s="660"/>
      <c r="N21" s="659"/>
      <c r="O21" s="659"/>
      <c r="P21" s="659"/>
      <c r="Q21" s="659"/>
      <c r="R21" s="659"/>
      <c r="S21" s="659"/>
      <c r="T21" s="659"/>
      <c r="U21" s="659"/>
      <c r="V21" s="660"/>
      <c r="W21" s="660"/>
      <c r="X21" s="660"/>
      <c r="Y21" s="660"/>
      <c r="Z21" s="661"/>
      <c r="AA21" s="661"/>
    </row>
    <row r="22" spans="1:27" x14ac:dyDescent="0.3">
      <c r="A22" s="837">
        <v>14</v>
      </c>
      <c r="B22" s="1043">
        <f>'e-w'!B44</f>
        <v>260</v>
      </c>
      <c r="C22" s="899">
        <f>'e-w'!C44</f>
        <v>469.42184210526324</v>
      </c>
      <c r="D22" s="838">
        <f t="shared" si="5"/>
        <v>469.27184210526326</v>
      </c>
      <c r="E22" s="838">
        <f>'e-w'!D44</f>
        <v>127.57815789473676</v>
      </c>
      <c r="F22" s="839">
        <f>'e-w'!I44</f>
        <v>587.89078947368375</v>
      </c>
      <c r="G22" s="839">
        <f>'e-w'!J44</f>
        <v>537.89078947368375</v>
      </c>
      <c r="H22" s="839">
        <f>'e-w'!E44</f>
        <v>100</v>
      </c>
      <c r="I22" s="839">
        <f t="shared" si="6"/>
        <v>100</v>
      </c>
      <c r="J22" s="839">
        <f t="shared" si="7"/>
        <v>20</v>
      </c>
      <c r="K22" s="839">
        <f t="shared" si="8"/>
        <v>0.14999999999997726</v>
      </c>
      <c r="L22" s="660">
        <f t="shared" si="9"/>
        <v>299.99999999995453</v>
      </c>
      <c r="M22" s="660"/>
      <c r="N22" s="659"/>
      <c r="O22" s="659"/>
      <c r="P22" s="659"/>
      <c r="Q22" s="659"/>
      <c r="R22" s="659"/>
      <c r="S22" s="659"/>
      <c r="T22" s="659"/>
      <c r="U22" s="659"/>
      <c r="V22" s="660"/>
      <c r="W22" s="660"/>
      <c r="X22" s="660"/>
      <c r="Y22" s="660"/>
      <c r="Z22" s="661"/>
      <c r="AA22" s="661"/>
    </row>
    <row r="23" spans="1:27" x14ac:dyDescent="0.3">
      <c r="A23" s="837">
        <v>15</v>
      </c>
      <c r="B23" s="1043">
        <f>'e-w'!B45</f>
        <v>280</v>
      </c>
      <c r="C23" s="899">
        <f>'e-w'!C45</f>
        <v>469.52473684210526</v>
      </c>
      <c r="D23" s="838">
        <f t="shared" si="5"/>
        <v>469.37473684210528</v>
      </c>
      <c r="E23" s="838">
        <f>'e-w'!D45</f>
        <v>127.47526315789474</v>
      </c>
      <c r="F23" s="839">
        <f>'e-w'!I45</f>
        <v>587.37631578947367</v>
      </c>
      <c r="G23" s="839">
        <f>'e-w'!J45</f>
        <v>537.37631578947367</v>
      </c>
      <c r="H23" s="839">
        <f>'e-w'!E45</f>
        <v>100</v>
      </c>
      <c r="I23" s="839">
        <f t="shared" si="6"/>
        <v>100</v>
      </c>
      <c r="J23" s="839">
        <f t="shared" si="7"/>
        <v>20</v>
      </c>
      <c r="K23" s="839">
        <f t="shared" si="8"/>
        <v>0.14999999999997726</v>
      </c>
      <c r="L23" s="660">
        <f t="shared" si="9"/>
        <v>299.99999999995453</v>
      </c>
      <c r="M23" s="660"/>
      <c r="N23" s="659"/>
      <c r="O23" s="659"/>
      <c r="P23" s="659"/>
      <c r="Q23" s="659"/>
      <c r="R23" s="659"/>
      <c r="S23" s="659"/>
      <c r="T23" s="659"/>
      <c r="U23" s="659"/>
      <c r="V23" s="660"/>
      <c r="W23" s="660"/>
      <c r="X23" s="660"/>
      <c r="Y23" s="660"/>
      <c r="Z23" s="661"/>
      <c r="AA23" s="661"/>
    </row>
    <row r="24" spans="1:27" x14ac:dyDescent="0.3">
      <c r="A24" s="837">
        <v>16</v>
      </c>
      <c r="B24" s="1043">
        <f>'e-w'!B46</f>
        <v>300</v>
      </c>
      <c r="C24" s="899">
        <f>'e-w'!C46</f>
        <v>468.85885526315792</v>
      </c>
      <c r="D24" s="838">
        <f t="shared" si="5"/>
        <v>468.70885526315794</v>
      </c>
      <c r="E24" s="838">
        <f>'e-w'!D46</f>
        <v>128.14114473684208</v>
      </c>
      <c r="F24" s="839">
        <f>'e-w'!I46</f>
        <v>590.7057236842104</v>
      </c>
      <c r="G24" s="839">
        <f>'e-w'!J46</f>
        <v>540.7057236842104</v>
      </c>
      <c r="H24" s="839">
        <f>'e-w'!E46</f>
        <v>100</v>
      </c>
      <c r="I24" s="839">
        <f t="shared" si="6"/>
        <v>100</v>
      </c>
      <c r="J24" s="839">
        <f t="shared" si="7"/>
        <v>20</v>
      </c>
      <c r="K24" s="839">
        <f t="shared" si="8"/>
        <v>0.14999999999997726</v>
      </c>
      <c r="L24" s="660">
        <f t="shared" si="9"/>
        <v>299.99999999995453</v>
      </c>
      <c r="M24" s="660"/>
      <c r="N24" s="659"/>
      <c r="O24" s="659"/>
      <c r="P24" s="659"/>
      <c r="Q24" s="659"/>
      <c r="R24" s="659"/>
      <c r="S24" s="659"/>
      <c r="T24" s="659"/>
      <c r="U24" s="659"/>
      <c r="V24" s="660"/>
      <c r="W24" s="660"/>
      <c r="X24" s="660"/>
      <c r="Y24" s="660"/>
      <c r="Z24" s="661"/>
      <c r="AA24" s="661"/>
    </row>
    <row r="25" spans="1:27" x14ac:dyDescent="0.3">
      <c r="A25" s="837">
        <v>17</v>
      </c>
      <c r="B25" s="1043">
        <f>'e-w'!B47</f>
        <v>320</v>
      </c>
      <c r="C25" s="899">
        <f>'e-w'!C47</f>
        <v>468.42110526315793</v>
      </c>
      <c r="D25" s="838">
        <f t="shared" si="5"/>
        <v>468.27110526315795</v>
      </c>
      <c r="E25" s="838">
        <f>'e-w'!D47</f>
        <v>128.57889473684207</v>
      </c>
      <c r="F25" s="839">
        <f>'e-w'!I47</f>
        <v>592.89447368421042</v>
      </c>
      <c r="G25" s="839">
        <f>'e-w'!J47</f>
        <v>542.89447368421042</v>
      </c>
      <c r="H25" s="839">
        <f>'e-w'!E47</f>
        <v>100</v>
      </c>
      <c r="I25" s="839">
        <f t="shared" si="6"/>
        <v>100</v>
      </c>
      <c r="J25" s="839">
        <f t="shared" si="7"/>
        <v>20</v>
      </c>
      <c r="K25" s="839">
        <f t="shared" si="8"/>
        <v>0.14999999999997726</v>
      </c>
      <c r="L25" s="660">
        <f t="shared" si="9"/>
        <v>299.99999999995453</v>
      </c>
      <c r="M25" s="660"/>
      <c r="N25" s="659"/>
      <c r="O25" s="659"/>
      <c r="P25" s="659"/>
      <c r="Q25" s="659"/>
      <c r="R25" s="659"/>
      <c r="S25" s="659"/>
      <c r="T25" s="659"/>
      <c r="U25" s="659"/>
      <c r="V25" s="660"/>
      <c r="W25" s="660"/>
      <c r="X25" s="660"/>
      <c r="Y25" s="660"/>
      <c r="Z25" s="661"/>
      <c r="AA25" s="661"/>
    </row>
    <row r="26" spans="1:27" x14ac:dyDescent="0.3">
      <c r="A26" s="837">
        <v>18</v>
      </c>
      <c r="B26" s="1043">
        <f>'e-w'!B48</f>
        <v>340</v>
      </c>
      <c r="C26" s="899">
        <f>'e-w'!C48</f>
        <v>468.19992105263151</v>
      </c>
      <c r="D26" s="838">
        <f t="shared" si="5"/>
        <v>468.04992105263153</v>
      </c>
      <c r="E26" s="838">
        <f>'e-w'!D48</f>
        <v>128.80007894736849</v>
      </c>
      <c r="F26" s="839">
        <f>'e-w'!I48</f>
        <v>594.00039473684251</v>
      </c>
      <c r="G26" s="839">
        <f>'e-w'!J48</f>
        <v>544.00039473684251</v>
      </c>
      <c r="H26" s="839">
        <f>'e-w'!E48</f>
        <v>100</v>
      </c>
      <c r="I26" s="839">
        <f t="shared" si="6"/>
        <v>100</v>
      </c>
      <c r="J26" s="839">
        <f t="shared" si="7"/>
        <v>20</v>
      </c>
      <c r="K26" s="839">
        <f t="shared" si="8"/>
        <v>0.14999999999997726</v>
      </c>
      <c r="L26" s="660">
        <f t="shared" si="9"/>
        <v>299.99999999995453</v>
      </c>
      <c r="M26" s="660"/>
      <c r="N26" s="659"/>
      <c r="O26" s="659"/>
      <c r="P26" s="659"/>
      <c r="Q26" s="659"/>
      <c r="R26" s="659"/>
      <c r="S26" s="659"/>
      <c r="T26" s="659"/>
      <c r="U26" s="659"/>
      <c r="V26" s="660"/>
      <c r="W26" s="660"/>
      <c r="X26" s="660"/>
      <c r="Y26" s="660"/>
      <c r="Z26" s="661"/>
      <c r="AA26" s="661"/>
    </row>
    <row r="27" spans="1:27" x14ac:dyDescent="0.3">
      <c r="A27" s="837">
        <v>19</v>
      </c>
      <c r="B27" s="1043">
        <f>'e-w'!B49</f>
        <v>360</v>
      </c>
      <c r="C27" s="899">
        <f>'e-w'!C49</f>
        <v>462.14211688311696</v>
      </c>
      <c r="D27" s="838">
        <f t="shared" si="5"/>
        <v>461.99211688311698</v>
      </c>
      <c r="E27" s="838">
        <f>'e-w'!D49</f>
        <v>134.85788311688304</v>
      </c>
      <c r="F27" s="839">
        <f>'e-w'!I49</f>
        <v>624.28941558441522</v>
      </c>
      <c r="G27" s="839">
        <f>'e-w'!J49</f>
        <v>574.28941558441522</v>
      </c>
      <c r="H27" s="839">
        <f>'e-w'!E49</f>
        <v>100</v>
      </c>
      <c r="I27" s="839">
        <f t="shared" si="6"/>
        <v>100</v>
      </c>
      <c r="J27" s="839">
        <f t="shared" si="7"/>
        <v>20</v>
      </c>
      <c r="K27" s="839">
        <f t="shared" si="8"/>
        <v>0.14999999999997726</v>
      </c>
      <c r="L27" s="660">
        <f t="shared" si="9"/>
        <v>299.99999999995453</v>
      </c>
      <c r="M27" s="660"/>
      <c r="N27" s="659"/>
      <c r="O27" s="659"/>
      <c r="P27" s="659"/>
      <c r="Q27" s="659"/>
      <c r="R27" s="659"/>
      <c r="S27" s="659"/>
      <c r="T27" s="659"/>
      <c r="U27" s="659"/>
      <c r="V27" s="660"/>
      <c r="W27" s="660"/>
      <c r="X27" s="660"/>
      <c r="Y27" s="660"/>
      <c r="Z27" s="661"/>
      <c r="AA27" s="661"/>
    </row>
    <row r="28" spans="1:27" x14ac:dyDescent="0.3">
      <c r="A28" s="837">
        <v>20</v>
      </c>
      <c r="B28" s="1043">
        <f>'e-w'!B50</f>
        <v>380</v>
      </c>
      <c r="C28" s="899">
        <f>'e-w'!C50</f>
        <v>460.22500000000002</v>
      </c>
      <c r="D28" s="838">
        <f t="shared" si="5"/>
        <v>460.07500000000005</v>
      </c>
      <c r="E28" s="838">
        <f>'e-w'!D50</f>
        <v>136.77499999999998</v>
      </c>
      <c r="F28" s="839">
        <f>'e-w'!I50</f>
        <v>633.87499999999989</v>
      </c>
      <c r="G28" s="839">
        <f>'e-w'!J50</f>
        <v>583.87499999999989</v>
      </c>
      <c r="H28" s="839">
        <f>'e-w'!E50</f>
        <v>100</v>
      </c>
      <c r="I28" s="839">
        <f t="shared" si="6"/>
        <v>100</v>
      </c>
      <c r="J28" s="839">
        <f t="shared" si="7"/>
        <v>20</v>
      </c>
      <c r="K28" s="839">
        <f t="shared" si="8"/>
        <v>0.14999999999997726</v>
      </c>
      <c r="L28" s="660">
        <f t="shared" si="9"/>
        <v>299.99999999995453</v>
      </c>
      <c r="M28" s="660"/>
      <c r="N28" s="659"/>
      <c r="O28" s="659"/>
      <c r="P28" s="659"/>
      <c r="Q28" s="659"/>
      <c r="R28" s="659"/>
      <c r="S28" s="659"/>
      <c r="T28" s="659"/>
      <c r="U28" s="659"/>
      <c r="V28" s="660"/>
      <c r="W28" s="660"/>
      <c r="X28" s="660"/>
      <c r="Y28" s="660"/>
      <c r="Z28" s="661"/>
      <c r="AA28" s="661"/>
    </row>
    <row r="29" spans="1:27" x14ac:dyDescent="0.3">
      <c r="A29" s="837">
        <v>21</v>
      </c>
      <c r="B29" s="1043">
        <f>'e-w'!B51</f>
        <v>400</v>
      </c>
      <c r="C29" s="899">
        <f>'e-w'!C51</f>
        <v>460.22500000000002</v>
      </c>
      <c r="D29" s="838">
        <f t="shared" si="5"/>
        <v>460.07500000000005</v>
      </c>
      <c r="E29" s="838">
        <f>'e-w'!D51</f>
        <v>136.77499999999998</v>
      </c>
      <c r="F29" s="839">
        <f>'e-w'!I51</f>
        <v>633.87499999999989</v>
      </c>
      <c r="G29" s="839">
        <f>'e-w'!J51</f>
        <v>583.87499999999989</v>
      </c>
      <c r="H29" s="839">
        <f>'e-w'!E51</f>
        <v>100</v>
      </c>
      <c r="I29" s="839">
        <f t="shared" si="6"/>
        <v>100</v>
      </c>
      <c r="J29" s="839">
        <f t="shared" si="7"/>
        <v>20</v>
      </c>
      <c r="K29" s="839">
        <f t="shared" si="8"/>
        <v>0.14999999999997726</v>
      </c>
      <c r="L29" s="660">
        <f t="shared" si="9"/>
        <v>299.99999999995453</v>
      </c>
      <c r="M29" s="660"/>
      <c r="N29" s="659"/>
      <c r="O29" s="659"/>
      <c r="P29" s="659"/>
      <c r="Q29" s="659"/>
      <c r="R29" s="659"/>
      <c r="S29" s="659"/>
      <c r="T29" s="659"/>
      <c r="U29" s="659"/>
      <c r="V29" s="660"/>
      <c r="W29" s="660"/>
      <c r="X29" s="660"/>
      <c r="Y29" s="660"/>
      <c r="Z29" s="661"/>
      <c r="AA29" s="661"/>
    </row>
    <row r="30" spans="1:27" x14ac:dyDescent="0.3">
      <c r="A30" s="837">
        <v>22</v>
      </c>
      <c r="B30" s="1043">
        <f>'e-w'!B52</f>
        <v>420</v>
      </c>
      <c r="C30" s="899">
        <f>'e-w'!C52</f>
        <v>460.22500000000002</v>
      </c>
      <c r="D30" s="838">
        <f t="shared" si="5"/>
        <v>460.07500000000005</v>
      </c>
      <c r="E30" s="838">
        <f>'e-w'!D52</f>
        <v>136.77499999999998</v>
      </c>
      <c r="F30" s="839">
        <f>'e-w'!I52</f>
        <v>633.87499999999989</v>
      </c>
      <c r="G30" s="839">
        <f>'e-w'!J52</f>
        <v>583.87499999999989</v>
      </c>
      <c r="H30" s="839">
        <f>'e-w'!E52</f>
        <v>100</v>
      </c>
      <c r="I30" s="839">
        <f t="shared" si="6"/>
        <v>100</v>
      </c>
      <c r="J30" s="839">
        <f t="shared" si="7"/>
        <v>20</v>
      </c>
      <c r="K30" s="839">
        <f t="shared" si="8"/>
        <v>0.14999999999997726</v>
      </c>
      <c r="L30" s="660">
        <f t="shared" si="9"/>
        <v>299.99999999995453</v>
      </c>
      <c r="M30" s="660"/>
      <c r="N30" s="659"/>
      <c r="O30" s="659"/>
      <c r="P30" s="659"/>
      <c r="Q30" s="659"/>
      <c r="R30" s="659"/>
      <c r="S30" s="659"/>
      <c r="T30" s="659"/>
      <c r="U30" s="659"/>
      <c r="V30" s="660"/>
      <c r="W30" s="660"/>
      <c r="X30" s="660"/>
      <c r="Y30" s="660"/>
      <c r="Z30" s="661"/>
      <c r="AA30" s="661"/>
    </row>
    <row r="31" spans="1:27" x14ac:dyDescent="0.3">
      <c r="A31" s="837">
        <v>23</v>
      </c>
      <c r="B31" s="1043">
        <f>'e-w'!B53</f>
        <v>440</v>
      </c>
      <c r="C31" s="899">
        <f>'e-w'!C53</f>
        <v>464.81158441558438</v>
      </c>
      <c r="D31" s="838">
        <f t="shared" si="5"/>
        <v>464.6615844155844</v>
      </c>
      <c r="E31" s="838">
        <f>'e-w'!D53</f>
        <v>132.18841558441562</v>
      </c>
      <c r="F31" s="839">
        <f>'e-w'!I53</f>
        <v>610.94207792207817</v>
      </c>
      <c r="G31" s="839">
        <f>'e-w'!J53</f>
        <v>560.94207792207817</v>
      </c>
      <c r="H31" s="839">
        <f>'e-w'!E53</f>
        <v>100</v>
      </c>
      <c r="I31" s="839">
        <f t="shared" si="6"/>
        <v>100</v>
      </c>
      <c r="J31" s="839">
        <f t="shared" si="7"/>
        <v>20</v>
      </c>
      <c r="K31" s="839">
        <f t="shared" si="8"/>
        <v>0.14999999999997726</v>
      </c>
      <c r="L31" s="660">
        <f t="shared" si="9"/>
        <v>299.99999999995453</v>
      </c>
      <c r="M31" s="660"/>
      <c r="N31" s="659"/>
      <c r="O31" s="659"/>
      <c r="P31" s="659"/>
      <c r="Q31" s="659"/>
      <c r="R31" s="659"/>
      <c r="S31" s="659"/>
      <c r="T31" s="659"/>
      <c r="U31" s="659"/>
      <c r="V31" s="660"/>
      <c r="W31" s="660"/>
      <c r="X31" s="660"/>
      <c r="Y31" s="660"/>
      <c r="Z31" s="661"/>
      <c r="AA31" s="661"/>
    </row>
    <row r="32" spans="1:27" x14ac:dyDescent="0.3">
      <c r="A32" s="837">
        <v>24</v>
      </c>
      <c r="B32" s="1043">
        <f>'e-w'!B54</f>
        <v>460</v>
      </c>
      <c r="C32" s="899">
        <f>'e-w'!C54</f>
        <v>467.01165789473686</v>
      </c>
      <c r="D32" s="838">
        <f t="shared" si="5"/>
        <v>466.86165789473688</v>
      </c>
      <c r="E32" s="838">
        <f>'e-w'!D54</f>
        <v>129.98834210526314</v>
      </c>
      <c r="F32" s="839">
        <f>'e-w'!I54</f>
        <v>599.94171052631577</v>
      </c>
      <c r="G32" s="839">
        <f>'e-w'!J54</f>
        <v>549.94171052631577</v>
      </c>
      <c r="H32" s="839">
        <f>'e-w'!E54</f>
        <v>100</v>
      </c>
      <c r="I32" s="839">
        <f t="shared" si="6"/>
        <v>100</v>
      </c>
      <c r="J32" s="839">
        <f t="shared" si="7"/>
        <v>20</v>
      </c>
      <c r="K32" s="839">
        <f t="shared" si="8"/>
        <v>0.14999999999997726</v>
      </c>
      <c r="L32" s="660">
        <f t="shared" si="9"/>
        <v>299.99999999995453</v>
      </c>
      <c r="M32" s="660"/>
      <c r="N32" s="659"/>
      <c r="O32" s="659"/>
      <c r="P32" s="659"/>
      <c r="Q32" s="659"/>
      <c r="R32" s="659"/>
      <c r="S32" s="659"/>
      <c r="T32" s="659"/>
      <c r="U32" s="659"/>
      <c r="V32" s="660"/>
      <c r="W32" s="660"/>
      <c r="X32" s="660"/>
      <c r="Y32" s="660"/>
      <c r="Z32" s="661"/>
      <c r="AA32" s="661"/>
    </row>
    <row r="33" spans="1:27" x14ac:dyDescent="0.3">
      <c r="A33" s="837">
        <v>25</v>
      </c>
      <c r="B33" s="1043">
        <f>'e-w'!B55</f>
        <v>480</v>
      </c>
      <c r="C33" s="899">
        <f>'e-w'!C55</f>
        <v>468.48202597402599</v>
      </c>
      <c r="D33" s="838">
        <f t="shared" si="5"/>
        <v>468.33202597402601</v>
      </c>
      <c r="E33" s="838">
        <f>'e-w'!D55</f>
        <v>128.51797402597401</v>
      </c>
      <c r="F33" s="839">
        <f>'e-w'!I55</f>
        <v>592.58987012987006</v>
      </c>
      <c r="G33" s="839">
        <f>'e-w'!J55</f>
        <v>542.58987012987006</v>
      </c>
      <c r="H33" s="839">
        <f>'e-w'!E55</f>
        <v>100</v>
      </c>
      <c r="I33" s="839">
        <f t="shared" si="6"/>
        <v>100</v>
      </c>
      <c r="J33" s="839">
        <f t="shared" si="7"/>
        <v>20</v>
      </c>
      <c r="K33" s="839">
        <f t="shared" si="8"/>
        <v>0.14999999999997726</v>
      </c>
      <c r="L33" s="660">
        <f t="shared" si="9"/>
        <v>299.99999999995453</v>
      </c>
      <c r="M33" s="660"/>
      <c r="N33" s="659"/>
      <c r="O33" s="659"/>
      <c r="P33" s="659"/>
      <c r="Q33" s="659"/>
      <c r="R33" s="659"/>
      <c r="S33" s="659"/>
      <c r="T33" s="659"/>
      <c r="U33" s="659"/>
      <c r="V33" s="660"/>
      <c r="W33" s="660"/>
      <c r="X33" s="660"/>
      <c r="Y33" s="660"/>
      <c r="Z33" s="661"/>
      <c r="AA33" s="661"/>
    </row>
    <row r="34" spans="1:27" x14ac:dyDescent="0.3">
      <c r="A34" s="837">
        <v>26</v>
      </c>
      <c r="B34" s="1043">
        <f>'e-w'!B56</f>
        <v>500</v>
      </c>
      <c r="C34" s="899">
        <f>'e-w'!C56</f>
        <v>471.3044210526316</v>
      </c>
      <c r="D34" s="838">
        <f t="shared" si="5"/>
        <v>471.15442105263162</v>
      </c>
      <c r="E34" s="838">
        <f>'e-w'!D56</f>
        <v>125.6955789473684</v>
      </c>
      <c r="F34" s="839">
        <f>'e-w'!I56</f>
        <v>578.47789473684202</v>
      </c>
      <c r="G34" s="839">
        <f>'e-w'!J56</f>
        <v>528.47789473684202</v>
      </c>
      <c r="H34" s="839">
        <f>'e-w'!E56</f>
        <v>100</v>
      </c>
      <c r="I34" s="839">
        <f t="shared" si="6"/>
        <v>100</v>
      </c>
      <c r="J34" s="839">
        <f t="shared" si="7"/>
        <v>20</v>
      </c>
      <c r="K34" s="839">
        <f t="shared" si="8"/>
        <v>0.14999999999997726</v>
      </c>
      <c r="L34" s="660">
        <f t="shared" si="9"/>
        <v>299.99999999995453</v>
      </c>
      <c r="M34" s="660"/>
      <c r="N34" s="659"/>
      <c r="O34" s="659"/>
      <c r="P34" s="659"/>
      <c r="Q34" s="659"/>
      <c r="R34" s="659"/>
      <c r="S34" s="659"/>
      <c r="T34" s="659"/>
      <c r="U34" s="659"/>
      <c r="V34" s="660"/>
      <c r="W34" s="660"/>
      <c r="X34" s="660"/>
      <c r="Y34" s="660"/>
      <c r="Z34" s="661"/>
      <c r="AA34" s="661"/>
    </row>
    <row r="35" spans="1:27" x14ac:dyDescent="0.3">
      <c r="A35" s="837">
        <v>27</v>
      </c>
      <c r="B35" s="1043">
        <f>'e-w'!B57</f>
        <v>520</v>
      </c>
      <c r="C35" s="899">
        <f>'e-w'!C57</f>
        <v>470.79352631578945</v>
      </c>
      <c r="D35" s="838">
        <f t="shared" si="5"/>
        <v>470.64352631578947</v>
      </c>
      <c r="E35" s="838">
        <f>'e-w'!D57</f>
        <v>126.20647368421055</v>
      </c>
      <c r="F35" s="839">
        <f>'e-w'!I57</f>
        <v>581.03236842105275</v>
      </c>
      <c r="G35" s="839">
        <f>'e-w'!J57</f>
        <v>531.03236842105275</v>
      </c>
      <c r="H35" s="839">
        <f>'e-w'!E57</f>
        <v>100</v>
      </c>
      <c r="I35" s="839">
        <f t="shared" si="6"/>
        <v>100</v>
      </c>
      <c r="J35" s="839">
        <f t="shared" si="7"/>
        <v>20</v>
      </c>
      <c r="K35" s="839">
        <f t="shared" si="8"/>
        <v>0.14999999999997726</v>
      </c>
      <c r="L35" s="660">
        <f t="shared" si="9"/>
        <v>299.99999999995453</v>
      </c>
      <c r="M35" s="660"/>
      <c r="N35" s="659"/>
      <c r="O35" s="659"/>
      <c r="P35" s="659"/>
      <c r="Q35" s="659"/>
      <c r="R35" s="659"/>
      <c r="S35" s="659"/>
      <c r="T35" s="659"/>
      <c r="U35" s="659"/>
      <c r="V35" s="660"/>
      <c r="W35" s="660"/>
      <c r="X35" s="660"/>
      <c r="Y35" s="660"/>
      <c r="Z35" s="661"/>
      <c r="AA35" s="661"/>
    </row>
    <row r="36" spans="1:27" x14ac:dyDescent="0.3">
      <c r="A36" s="837">
        <v>28</v>
      </c>
      <c r="B36" s="1043">
        <f>'e-w'!B58</f>
        <v>540</v>
      </c>
      <c r="C36" s="899">
        <f>'e-w'!C58</f>
        <v>467.65193421052629</v>
      </c>
      <c r="D36" s="838">
        <f t="shared" si="5"/>
        <v>467.50193421052631</v>
      </c>
      <c r="E36" s="838">
        <f>'e-w'!D58</f>
        <v>129.34806578947371</v>
      </c>
      <c r="F36" s="839">
        <f>'e-w'!I58</f>
        <v>596.74032894736854</v>
      </c>
      <c r="G36" s="839">
        <f>'e-w'!J58</f>
        <v>546.74032894736854</v>
      </c>
      <c r="H36" s="839">
        <f>'e-w'!E58</f>
        <v>100</v>
      </c>
      <c r="I36" s="839">
        <f t="shared" si="6"/>
        <v>100</v>
      </c>
      <c r="J36" s="839">
        <f t="shared" si="7"/>
        <v>20</v>
      </c>
      <c r="K36" s="839">
        <f t="shared" si="8"/>
        <v>0.14999999999997726</v>
      </c>
      <c r="L36" s="660">
        <f t="shared" si="9"/>
        <v>299.99999999995453</v>
      </c>
      <c r="M36" s="660"/>
      <c r="N36" s="659"/>
      <c r="O36" s="659"/>
      <c r="P36" s="659"/>
      <c r="Q36" s="659"/>
      <c r="R36" s="659"/>
      <c r="S36" s="659"/>
      <c r="T36" s="659"/>
      <c r="U36" s="659"/>
      <c r="V36" s="660"/>
      <c r="W36" s="660"/>
      <c r="X36" s="660"/>
      <c r="Y36" s="660"/>
      <c r="Z36" s="661"/>
      <c r="AA36" s="661"/>
    </row>
    <row r="37" spans="1:27" x14ac:dyDescent="0.3">
      <c r="A37" s="837">
        <v>29</v>
      </c>
      <c r="B37" s="1043">
        <f>'e-w'!B59</f>
        <v>560</v>
      </c>
      <c r="C37" s="899">
        <f>'e-w'!C59</f>
        <v>468.157974025974</v>
      </c>
      <c r="D37" s="838">
        <f t="shared" si="5"/>
        <v>468.00797402597402</v>
      </c>
      <c r="E37" s="838">
        <f>'e-w'!D59</f>
        <v>128.842025974026</v>
      </c>
      <c r="F37" s="839">
        <f>'e-w'!I59</f>
        <v>594.21012987013</v>
      </c>
      <c r="G37" s="839">
        <f>'e-w'!J59</f>
        <v>544.21012987013</v>
      </c>
      <c r="H37" s="839">
        <f>'e-w'!E59</f>
        <v>100</v>
      </c>
      <c r="I37" s="839">
        <f t="shared" si="6"/>
        <v>100</v>
      </c>
      <c r="J37" s="839">
        <f t="shared" si="7"/>
        <v>20</v>
      </c>
      <c r="K37" s="839">
        <f t="shared" si="8"/>
        <v>0.14999999999997726</v>
      </c>
      <c r="L37" s="660">
        <f t="shared" si="9"/>
        <v>299.99999999995453</v>
      </c>
      <c r="M37" s="660"/>
      <c r="N37" s="659"/>
      <c r="O37" s="659"/>
      <c r="P37" s="659"/>
      <c r="Q37" s="659"/>
      <c r="R37" s="659"/>
      <c r="S37" s="659"/>
      <c r="T37" s="659"/>
      <c r="U37" s="659"/>
      <c r="V37" s="660"/>
      <c r="W37" s="660"/>
      <c r="X37" s="660"/>
      <c r="Y37" s="660"/>
      <c r="Z37" s="661"/>
      <c r="AA37" s="661"/>
    </row>
    <row r="38" spans="1:27" x14ac:dyDescent="0.3">
      <c r="A38" s="837">
        <v>30</v>
      </c>
      <c r="B38" s="1043">
        <f>'e-w'!B60</f>
        <v>580</v>
      </c>
      <c r="C38" s="899">
        <f>'e-w'!C60</f>
        <v>471.00294736842108</v>
      </c>
      <c r="D38" s="838">
        <f t="shared" si="5"/>
        <v>470.8529473684211</v>
      </c>
      <c r="E38" s="838">
        <f>'e-w'!D60</f>
        <v>125.99705263157892</v>
      </c>
      <c r="F38" s="839">
        <f>'e-w'!I60</f>
        <v>579.98526315789468</v>
      </c>
      <c r="G38" s="839">
        <f>'e-w'!J60</f>
        <v>529.98526315789468</v>
      </c>
      <c r="H38" s="839">
        <f>'e-w'!E60</f>
        <v>100</v>
      </c>
      <c r="I38" s="839">
        <f t="shared" si="6"/>
        <v>100</v>
      </c>
      <c r="J38" s="839">
        <f t="shared" si="7"/>
        <v>20</v>
      </c>
      <c r="K38" s="839">
        <f t="shared" si="8"/>
        <v>0.14999999999997726</v>
      </c>
      <c r="L38" s="660">
        <f t="shared" si="9"/>
        <v>299.99999999995453</v>
      </c>
      <c r="M38" s="660"/>
      <c r="N38" s="659"/>
      <c r="O38" s="659"/>
      <c r="P38" s="659"/>
      <c r="Q38" s="659"/>
      <c r="R38" s="659"/>
      <c r="S38" s="659"/>
      <c r="T38" s="659"/>
      <c r="U38" s="659"/>
      <c r="V38" s="660"/>
      <c r="W38" s="660"/>
      <c r="X38" s="660"/>
      <c r="Y38" s="660"/>
      <c r="Z38" s="661"/>
      <c r="AA38" s="661"/>
    </row>
    <row r="39" spans="1:27" x14ac:dyDescent="0.3">
      <c r="A39" s="837">
        <v>31</v>
      </c>
      <c r="B39" s="1043">
        <f>'e-w'!B61</f>
        <v>600</v>
      </c>
      <c r="C39" s="899">
        <f>'e-w'!C61</f>
        <v>470.72336842105267</v>
      </c>
      <c r="D39" s="838">
        <f t="shared" si="5"/>
        <v>470.57336842105269</v>
      </c>
      <c r="E39" s="838">
        <f>'e-w'!D61</f>
        <v>126.27663157894733</v>
      </c>
      <c r="F39" s="839">
        <f>'e-w'!I61</f>
        <v>581.38315789473666</v>
      </c>
      <c r="G39" s="839">
        <f>'e-w'!J61</f>
        <v>531.38315789473666</v>
      </c>
      <c r="H39" s="839">
        <f>'e-w'!E61</f>
        <v>100</v>
      </c>
      <c r="I39" s="839">
        <f t="shared" si="6"/>
        <v>100</v>
      </c>
      <c r="J39" s="839">
        <f t="shared" si="7"/>
        <v>20</v>
      </c>
      <c r="K39" s="839">
        <f t="shared" si="8"/>
        <v>0.14999999999997726</v>
      </c>
      <c r="L39" s="660">
        <f t="shared" si="9"/>
        <v>299.99999999995453</v>
      </c>
      <c r="M39" s="660"/>
      <c r="N39" s="659"/>
      <c r="O39" s="659"/>
      <c r="P39" s="659"/>
      <c r="Q39" s="659"/>
      <c r="R39" s="659"/>
      <c r="S39" s="659"/>
      <c r="T39" s="659"/>
      <c r="U39" s="659"/>
      <c r="V39" s="660"/>
      <c r="W39" s="660"/>
      <c r="X39" s="660"/>
      <c r="Y39" s="660"/>
      <c r="Z39" s="661"/>
      <c r="AA39" s="661"/>
    </row>
    <row r="40" spans="1:27" x14ac:dyDescent="0.3">
      <c r="A40" s="837">
        <v>32</v>
      </c>
      <c r="B40" s="1043">
        <f>'e-w'!B62</f>
        <v>620</v>
      </c>
      <c r="C40" s="899">
        <f>'e-w'!C62</f>
        <v>472.39347368421051</v>
      </c>
      <c r="D40" s="838">
        <f t="shared" si="5"/>
        <v>472.24347368421053</v>
      </c>
      <c r="E40" s="838">
        <f>'e-w'!D62</f>
        <v>124.60652631578949</v>
      </c>
      <c r="F40" s="839">
        <f>'e-w'!I62</f>
        <v>573.03263157894753</v>
      </c>
      <c r="G40" s="839">
        <f>'e-w'!J62</f>
        <v>523.03263157894753</v>
      </c>
      <c r="H40" s="839">
        <f>'e-w'!E62</f>
        <v>100</v>
      </c>
      <c r="I40" s="839">
        <f t="shared" si="6"/>
        <v>100</v>
      </c>
      <c r="J40" s="839">
        <f t="shared" si="7"/>
        <v>20</v>
      </c>
      <c r="K40" s="839">
        <f t="shared" si="8"/>
        <v>0.14999999999997726</v>
      </c>
      <c r="L40" s="660">
        <f t="shared" si="9"/>
        <v>299.99999999995453</v>
      </c>
      <c r="M40" s="660"/>
      <c r="N40" s="659"/>
      <c r="O40" s="659"/>
      <c r="P40" s="659"/>
      <c r="Q40" s="659"/>
      <c r="R40" s="659"/>
      <c r="S40" s="659"/>
      <c r="T40" s="659"/>
      <c r="U40" s="659"/>
      <c r="V40" s="660"/>
      <c r="W40" s="660"/>
      <c r="X40" s="660"/>
      <c r="Y40" s="660"/>
      <c r="Z40" s="661"/>
      <c r="AA40" s="661"/>
    </row>
    <row r="41" spans="1:27" x14ac:dyDescent="0.3">
      <c r="A41" s="837">
        <v>33</v>
      </c>
      <c r="B41" s="1043">
        <f>'e-w'!B63</f>
        <v>640</v>
      </c>
      <c r="C41" s="899">
        <f>'e-w'!C63</f>
        <v>473.79128947368423</v>
      </c>
      <c r="D41" s="838">
        <f t="shared" si="5"/>
        <v>473.64128947368425</v>
      </c>
      <c r="E41" s="838">
        <f>'e-w'!D63</f>
        <v>123.20871052631577</v>
      </c>
      <c r="F41" s="839">
        <f>'e-w'!I63</f>
        <v>566.0435526315789</v>
      </c>
      <c r="G41" s="839">
        <f>'e-w'!J63</f>
        <v>516.0435526315789</v>
      </c>
      <c r="H41" s="839">
        <f>'e-w'!E63</f>
        <v>100</v>
      </c>
      <c r="I41" s="839">
        <f t="shared" si="6"/>
        <v>100</v>
      </c>
      <c r="J41" s="839">
        <f t="shared" si="7"/>
        <v>20</v>
      </c>
      <c r="K41" s="839">
        <f t="shared" si="8"/>
        <v>0.14999999999997726</v>
      </c>
      <c r="L41" s="660">
        <f t="shared" si="9"/>
        <v>299.99999999995453</v>
      </c>
      <c r="M41" s="660"/>
      <c r="N41" s="659"/>
      <c r="O41" s="659"/>
      <c r="P41" s="659"/>
      <c r="Q41" s="659"/>
      <c r="R41" s="659"/>
      <c r="S41" s="659"/>
      <c r="T41" s="659"/>
      <c r="U41" s="659"/>
      <c r="V41" s="660"/>
      <c r="W41" s="660"/>
      <c r="X41" s="660"/>
      <c r="Y41" s="660"/>
      <c r="Z41" s="661"/>
      <c r="AA41" s="661"/>
    </row>
    <row r="42" spans="1:27" x14ac:dyDescent="0.3">
      <c r="A42" s="837">
        <v>34</v>
      </c>
      <c r="B42" s="1043">
        <f>'e-w'!B64</f>
        <v>660</v>
      </c>
      <c r="C42" s="899">
        <f>'e-w'!C64</f>
        <v>473.54386842105259</v>
      </c>
      <c r="D42" s="838">
        <f t="shared" si="5"/>
        <v>473.39386842105262</v>
      </c>
      <c r="E42" s="838">
        <f>'e-w'!D64</f>
        <v>123.45613157894741</v>
      </c>
      <c r="F42" s="839">
        <f>'e-w'!I64</f>
        <v>567.28065789473703</v>
      </c>
      <c r="G42" s="839">
        <f>'e-w'!J64</f>
        <v>517.28065789473703</v>
      </c>
      <c r="H42" s="839">
        <f>'e-w'!E64</f>
        <v>100</v>
      </c>
      <c r="I42" s="839">
        <f t="shared" si="6"/>
        <v>100</v>
      </c>
      <c r="J42" s="839">
        <f t="shared" si="7"/>
        <v>20</v>
      </c>
      <c r="K42" s="839">
        <f t="shared" si="8"/>
        <v>0.14999999999997726</v>
      </c>
      <c r="L42" s="660">
        <f t="shared" si="9"/>
        <v>299.99999999995453</v>
      </c>
      <c r="M42" s="660"/>
      <c r="N42" s="659"/>
      <c r="O42" s="659"/>
      <c r="P42" s="659"/>
      <c r="Q42" s="659"/>
      <c r="R42" s="659"/>
      <c r="S42" s="659"/>
      <c r="T42" s="659"/>
      <c r="U42" s="659"/>
      <c r="V42" s="660"/>
      <c r="W42" s="660"/>
      <c r="X42" s="660"/>
      <c r="Y42" s="660"/>
      <c r="Z42" s="661"/>
      <c r="AA42" s="661"/>
    </row>
    <row r="43" spans="1:27" x14ac:dyDescent="0.3">
      <c r="A43" s="837">
        <v>35</v>
      </c>
      <c r="B43" s="1043">
        <f>'e-w'!B65</f>
        <v>680</v>
      </c>
      <c r="C43" s="899">
        <f>'e-w'!C65</f>
        <v>476.3522631578947</v>
      </c>
      <c r="D43" s="838">
        <f t="shared" si="5"/>
        <v>476.20226315789472</v>
      </c>
      <c r="E43" s="838">
        <f>'e-w'!D65</f>
        <v>120.6477368421053</v>
      </c>
      <c r="F43" s="839">
        <f>'e-w'!I65</f>
        <v>553.23868421052657</v>
      </c>
      <c r="G43" s="839">
        <f>'e-w'!J65</f>
        <v>503.23868421052651</v>
      </c>
      <c r="H43" s="839">
        <f>'e-w'!E65</f>
        <v>100</v>
      </c>
      <c r="I43" s="839">
        <f t="shared" si="6"/>
        <v>100</v>
      </c>
      <c r="J43" s="839">
        <f t="shared" si="7"/>
        <v>20</v>
      </c>
      <c r="K43" s="839">
        <f t="shared" si="8"/>
        <v>0.14999999999997726</v>
      </c>
      <c r="L43" s="660">
        <f t="shared" si="9"/>
        <v>299.99999999995453</v>
      </c>
      <c r="M43" s="660"/>
      <c r="N43" s="659"/>
      <c r="O43" s="659"/>
      <c r="P43" s="659"/>
      <c r="Q43" s="659"/>
      <c r="R43" s="659"/>
      <c r="S43" s="659"/>
      <c r="T43" s="659"/>
      <c r="U43" s="659"/>
      <c r="V43" s="660"/>
      <c r="W43" s="660"/>
      <c r="X43" s="660"/>
      <c r="Y43" s="660"/>
      <c r="Z43" s="661"/>
      <c r="AA43" s="661"/>
    </row>
    <row r="44" spans="1:27" x14ac:dyDescent="0.3">
      <c r="A44" s="837">
        <v>36</v>
      </c>
      <c r="B44" s="1043">
        <f>'e-w'!B66</f>
        <v>700</v>
      </c>
      <c r="C44" s="899">
        <f>'e-w'!C66</f>
        <v>476.68867105263155</v>
      </c>
      <c r="D44" s="838">
        <f t="shared" si="5"/>
        <v>476.53867105263157</v>
      </c>
      <c r="E44" s="838">
        <f>'e-w'!D66</f>
        <v>120.31132894736845</v>
      </c>
      <c r="F44" s="839">
        <f>'e-w'!I66</f>
        <v>551.55664473684226</v>
      </c>
      <c r="G44" s="839">
        <f>'e-w'!J66</f>
        <v>501.55664473684226</v>
      </c>
      <c r="H44" s="839">
        <f>'e-w'!E66</f>
        <v>100</v>
      </c>
      <c r="I44" s="839">
        <f t="shared" si="6"/>
        <v>100</v>
      </c>
      <c r="J44" s="839">
        <f t="shared" si="7"/>
        <v>20</v>
      </c>
      <c r="K44" s="839">
        <f t="shared" si="8"/>
        <v>0.14999999999997726</v>
      </c>
      <c r="L44" s="660">
        <f t="shared" si="9"/>
        <v>299.99999999995453</v>
      </c>
      <c r="M44" s="660"/>
      <c r="N44" s="659"/>
      <c r="O44" s="659"/>
      <c r="P44" s="659"/>
      <c r="Q44" s="659"/>
      <c r="R44" s="659"/>
      <c r="S44" s="659"/>
      <c r="T44" s="659"/>
      <c r="U44" s="659"/>
      <c r="V44" s="660"/>
      <c r="W44" s="660"/>
      <c r="X44" s="660"/>
      <c r="Y44" s="660"/>
      <c r="Z44" s="661"/>
      <c r="AA44" s="661"/>
    </row>
    <row r="45" spans="1:27" x14ac:dyDescent="0.3">
      <c r="A45" s="837">
        <v>37</v>
      </c>
      <c r="B45" s="1043">
        <f>'e-w'!B67</f>
        <v>720</v>
      </c>
      <c r="C45" s="899">
        <f>'e-w'!C67</f>
        <v>476.85950000000003</v>
      </c>
      <c r="D45" s="838">
        <f t="shared" si="5"/>
        <v>476.70950000000005</v>
      </c>
      <c r="E45" s="838">
        <f>'e-w'!D67</f>
        <v>120.14049999999997</v>
      </c>
      <c r="F45" s="839">
        <f>'e-w'!I67</f>
        <v>550.70249999999987</v>
      </c>
      <c r="G45" s="839">
        <f>'e-w'!J67</f>
        <v>500.70249999999987</v>
      </c>
      <c r="H45" s="839">
        <f>'e-w'!E67</f>
        <v>100</v>
      </c>
      <c r="I45" s="839">
        <f t="shared" si="6"/>
        <v>100</v>
      </c>
      <c r="J45" s="839">
        <f t="shared" si="7"/>
        <v>20</v>
      </c>
      <c r="K45" s="839">
        <f t="shared" si="8"/>
        <v>0.14999999999997726</v>
      </c>
      <c r="L45" s="660">
        <f t="shared" si="9"/>
        <v>299.99999999995453</v>
      </c>
      <c r="M45" s="660"/>
      <c r="N45" s="659"/>
      <c r="O45" s="659"/>
      <c r="P45" s="659"/>
      <c r="Q45" s="659"/>
      <c r="R45" s="659"/>
      <c r="S45" s="659"/>
      <c r="T45" s="659"/>
      <c r="U45" s="659"/>
      <c r="V45" s="660"/>
      <c r="W45" s="660"/>
      <c r="X45" s="660"/>
      <c r="Y45" s="660"/>
      <c r="Z45" s="661"/>
      <c r="AA45" s="661"/>
    </row>
    <row r="46" spans="1:27" x14ac:dyDescent="0.3">
      <c r="A46" s="837">
        <v>38</v>
      </c>
      <c r="B46" s="1043">
        <f>'e-w'!B68</f>
        <v>740</v>
      </c>
      <c r="C46" s="899">
        <f>'e-w'!C68</f>
        <v>477.35500000000002</v>
      </c>
      <c r="D46" s="838">
        <f t="shared" si="5"/>
        <v>477.20500000000004</v>
      </c>
      <c r="E46" s="838">
        <f>'e-w'!D68</f>
        <v>119.64499999999998</v>
      </c>
      <c r="F46" s="839">
        <f>'e-w'!I68</f>
        <v>548.22499999999991</v>
      </c>
      <c r="G46" s="839">
        <f>'e-w'!J68</f>
        <v>498.22499999999991</v>
      </c>
      <c r="H46" s="839">
        <f>'e-w'!E68</f>
        <v>100</v>
      </c>
      <c r="I46" s="839">
        <f t="shared" si="6"/>
        <v>100</v>
      </c>
      <c r="J46" s="839">
        <f t="shared" si="7"/>
        <v>20</v>
      </c>
      <c r="K46" s="839">
        <f t="shared" si="8"/>
        <v>0.14999999999997726</v>
      </c>
      <c r="L46" s="660">
        <f t="shared" si="9"/>
        <v>299.99999999995453</v>
      </c>
      <c r="M46" s="660"/>
      <c r="N46" s="659"/>
      <c r="O46" s="659"/>
      <c r="P46" s="659"/>
      <c r="Q46" s="659"/>
      <c r="R46" s="659"/>
      <c r="S46" s="659"/>
      <c r="T46" s="659"/>
      <c r="U46" s="659"/>
      <c r="V46" s="660"/>
      <c r="W46" s="660"/>
      <c r="X46" s="660"/>
      <c r="Y46" s="660"/>
      <c r="Z46" s="661"/>
      <c r="AA46" s="661"/>
    </row>
    <row r="47" spans="1:27" x14ac:dyDescent="0.3">
      <c r="A47" s="837"/>
      <c r="B47" s="840"/>
      <c r="C47" s="840"/>
      <c r="D47" s="661"/>
      <c r="E47" s="841"/>
      <c r="F47" s="661"/>
      <c r="G47" s="661"/>
      <c r="H47" s="1348" t="s">
        <v>8</v>
      </c>
      <c r="I47" s="1349"/>
      <c r="J47" s="1350"/>
      <c r="K47" s="1351">
        <f>SUM(L9:L46)</f>
        <v>10958.999999998339</v>
      </c>
      <c r="L47" s="1351"/>
    </row>
    <row r="48" spans="1:27" x14ac:dyDescent="0.3">
      <c r="A48" s="840"/>
      <c r="B48" s="840"/>
      <c r="C48" s="840"/>
      <c r="D48" s="661"/>
      <c r="E48" s="841"/>
      <c r="F48" s="661"/>
      <c r="G48" s="661"/>
      <c r="H48" s="843"/>
      <c r="I48" s="843"/>
      <c r="J48" s="843"/>
      <c r="K48" s="842"/>
      <c r="L48" s="842"/>
    </row>
    <row r="49" spans="1:13" x14ac:dyDescent="0.3">
      <c r="A49" s="840"/>
      <c r="B49" s="844" t="s">
        <v>406</v>
      </c>
      <c r="C49" s="845">
        <v>0.3</v>
      </c>
      <c r="D49" s="829" t="s">
        <v>114</v>
      </c>
      <c r="E49" s="1352">
        <f>K47*C49</f>
        <v>3287.6999999995019</v>
      </c>
      <c r="F49" s="1352"/>
      <c r="G49" s="1352"/>
      <c r="H49" s="1352"/>
      <c r="I49" s="1352"/>
      <c r="J49" s="843"/>
      <c r="K49" s="842"/>
      <c r="L49" s="842"/>
    </row>
    <row r="50" spans="1:13" ht="21.6" customHeight="1" x14ac:dyDescent="0.3">
      <c r="A50" s="840"/>
      <c r="B50" s="844" t="s">
        <v>521</v>
      </c>
      <c r="C50" s="845">
        <v>0.7</v>
      </c>
      <c r="D50" s="829" t="s">
        <v>114</v>
      </c>
      <c r="E50" s="1352">
        <f>K47*C50</f>
        <v>7671.2999999988369</v>
      </c>
      <c r="F50" s="1352"/>
      <c r="G50" s="1352"/>
      <c r="H50" s="1352"/>
      <c r="I50" s="1352"/>
      <c r="M50" s="661"/>
    </row>
    <row r="51" spans="1:13" ht="21.6" customHeight="1" x14ac:dyDescent="0.3">
      <c r="A51" s="840"/>
      <c r="B51" s="844"/>
      <c r="C51" s="845"/>
      <c r="D51" s="829"/>
      <c r="E51" s="846"/>
      <c r="F51" s="846"/>
      <c r="G51" s="846"/>
      <c r="H51" s="846"/>
      <c r="I51" s="846"/>
      <c r="M51" s="661"/>
    </row>
    <row r="52" spans="1:13" ht="15.75" customHeight="1" x14ac:dyDescent="0.3">
      <c r="A52" s="840"/>
      <c r="B52" s="695" t="e">
        <f>CUTOFF3!D57</f>
        <v>#REF!</v>
      </c>
      <c r="D52" s="661"/>
      <c r="F52" s="691"/>
      <c r="G52" s="691"/>
      <c r="H52" s="691"/>
      <c r="I52" s="693">
        <f>Turf!F47</f>
        <v>0</v>
      </c>
    </row>
    <row r="53" spans="1:13" ht="15.75" customHeight="1" x14ac:dyDescent="0.3">
      <c r="A53" s="847"/>
      <c r="B53" s="695" t="e">
        <f>CUTOFF3!D58</f>
        <v>#REF!</v>
      </c>
      <c r="F53" s="691"/>
      <c r="G53" s="691"/>
      <c r="H53" s="691"/>
      <c r="I53" s="693">
        <f>Turf!F48</f>
        <v>0</v>
      </c>
    </row>
    <row r="54" spans="1:13" ht="15.75" customHeight="1" x14ac:dyDescent="0.3">
      <c r="B54" s="695" t="e">
        <f>CUTOFF3!D59</f>
        <v>#REF!</v>
      </c>
      <c r="E54" s="691"/>
      <c r="F54" s="691"/>
      <c r="G54" s="691"/>
      <c r="H54" s="691"/>
      <c r="I54" s="693">
        <f>Turf!F49</f>
        <v>0</v>
      </c>
    </row>
    <row r="64" spans="1:13" x14ac:dyDescent="0.3">
      <c r="H64" s="1353"/>
      <c r="I64" s="1354"/>
      <c r="J64" s="1355"/>
    </row>
  </sheetData>
  <customSheetViews>
    <customSheetView guid="{5161B42F-120B-436B-80F4-9BB578173AD5}" scale="70" fitToPage="1">
      <selection activeCell="K24" sqref="K24:L24"/>
      <pageMargins left="0.70866141732283505" right="0.70866141732283505" top="0.74803149606299202" bottom="0.74803149606299202" header="0.31496062992126" footer="0.31496062992126"/>
      <printOptions horizontalCentered="1"/>
      <pageSetup scale="82" fitToHeight="0" orientation="portrait" r:id="rId1"/>
      <headerFooter>
        <oddFooter>&amp;R&amp;P</oddFooter>
      </headerFooter>
    </customSheetView>
  </customSheetViews>
  <mergeCells count="20">
    <mergeCell ref="A1:L1"/>
    <mergeCell ref="A2:E2"/>
    <mergeCell ref="I2:K2"/>
    <mergeCell ref="A3:L3"/>
    <mergeCell ref="B5:G5"/>
    <mergeCell ref="A6:A7"/>
    <mergeCell ref="B6:B7"/>
    <mergeCell ref="C6:C7"/>
    <mergeCell ref="D6:D7"/>
    <mergeCell ref="E6:E7"/>
    <mergeCell ref="F6:H6"/>
    <mergeCell ref="I6:I7"/>
    <mergeCell ref="J6:J7"/>
    <mergeCell ref="K6:K7"/>
    <mergeCell ref="L6:L7"/>
    <mergeCell ref="H47:J47"/>
    <mergeCell ref="K47:L47"/>
    <mergeCell ref="E49:I49"/>
    <mergeCell ref="E50:I50"/>
    <mergeCell ref="H64:J64"/>
  </mergeCells>
  <printOptions horizontalCentered="1"/>
  <pageMargins left="0.70866141732283505" right="0.70866141732283505" top="0.74803149606299202" bottom="0.74803149606299202" header="0.31496062992126" footer="0.31496062992126"/>
  <pageSetup scale="81" fitToHeight="0" orientation="portrait" r:id="rId2"/>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57"/>
  <sheetViews>
    <sheetView view="pageBreakPreview" zoomScale="60" zoomScaleNormal="85" workbookViewId="0">
      <selection activeCell="N30" sqref="N30"/>
    </sheetView>
  </sheetViews>
  <sheetFormatPr defaultColWidth="9.109375" defaultRowHeight="13.2" x14ac:dyDescent="0.25"/>
  <cols>
    <col min="1" max="8" width="9.109375" style="449"/>
    <col min="9" max="9" width="9.6640625" style="449" customWidth="1"/>
    <col min="10" max="10" width="15.109375" style="449" customWidth="1"/>
    <col min="11" max="16384" width="9.109375" style="449"/>
  </cols>
  <sheetData>
    <row r="1" spans="1:27" ht="15.6" x14ac:dyDescent="0.25">
      <c r="A1" s="1339" t="str">
        <f>WIDTH!A1</f>
        <v>ROSHNABAD BARRAGE</v>
      </c>
      <c r="B1" s="1248"/>
      <c r="C1" s="1248"/>
      <c r="D1" s="1248"/>
      <c r="E1" s="1248"/>
      <c r="F1" s="1248"/>
      <c r="G1" s="1248"/>
      <c r="H1" s="1248"/>
      <c r="I1" s="1248"/>
      <c r="J1" s="1248"/>
    </row>
    <row r="2" spans="1:27" ht="14.4" x14ac:dyDescent="0.3">
      <c r="A2" s="697" t="str">
        <f>WIDTH!A2</f>
        <v>TEHSIL :-SIDHI</v>
      </c>
      <c r="B2" s="698"/>
      <c r="C2" s="698"/>
      <c r="D2" s="699"/>
      <c r="E2" s="698"/>
      <c r="F2" s="596"/>
      <c r="G2" s="596"/>
      <c r="H2" s="1311" t="str">
        <f>WIDTH!I2</f>
        <v>DISTRICT :SINGRAULI</v>
      </c>
      <c r="I2" s="1311"/>
      <c r="J2" s="1311"/>
    </row>
    <row r="3" spans="1:27" ht="15.6" x14ac:dyDescent="0.25">
      <c r="A3" s="1367" t="s">
        <v>522</v>
      </c>
      <c r="B3" s="1367"/>
      <c r="C3" s="1367"/>
      <c r="D3" s="1367"/>
      <c r="E3" s="1367"/>
      <c r="F3" s="1367"/>
      <c r="G3" s="1367"/>
      <c r="H3" s="1367"/>
      <c r="I3" s="1367"/>
      <c r="J3" s="1367"/>
    </row>
    <row r="4" spans="1:27" ht="13.8" x14ac:dyDescent="0.3">
      <c r="A4" s="569"/>
      <c r="B4" s="569"/>
      <c r="C4" s="569"/>
      <c r="D4" s="569"/>
      <c r="E4" s="569"/>
      <c r="F4" s="569"/>
      <c r="G4" s="569" t="s">
        <v>523</v>
      </c>
      <c r="H4" s="569">
        <v>0.15</v>
      </c>
      <c r="I4" s="569"/>
      <c r="J4" s="569"/>
    </row>
    <row r="5" spans="1:27" ht="55.2" x14ac:dyDescent="0.25">
      <c r="A5" s="818" t="s">
        <v>524</v>
      </c>
      <c r="B5" s="818" t="s">
        <v>525</v>
      </c>
      <c r="C5" s="818" t="s">
        <v>526</v>
      </c>
      <c r="D5" s="830" t="s">
        <v>527</v>
      </c>
      <c r="E5" s="830" t="s">
        <v>528</v>
      </c>
      <c r="F5" s="830" t="s">
        <v>529</v>
      </c>
      <c r="G5" s="830" t="s">
        <v>530</v>
      </c>
      <c r="H5" s="830" t="s">
        <v>531</v>
      </c>
      <c r="I5" s="830" t="s">
        <v>532</v>
      </c>
      <c r="J5" s="830" t="s">
        <v>533</v>
      </c>
    </row>
    <row r="6" spans="1:27" ht="13.8" x14ac:dyDescent="0.25">
      <c r="A6" s="821">
        <v>1</v>
      </c>
      <c r="B6" s="821">
        <v>2</v>
      </c>
      <c r="C6" s="821">
        <v>3</v>
      </c>
      <c r="D6" s="821">
        <v>4</v>
      </c>
      <c r="E6" s="821">
        <v>5</v>
      </c>
      <c r="F6" s="821">
        <v>6</v>
      </c>
      <c r="G6" s="821">
        <v>7</v>
      </c>
      <c r="H6" s="821">
        <v>8</v>
      </c>
      <c r="I6" s="821">
        <v>9</v>
      </c>
      <c r="J6" s="821">
        <v>10</v>
      </c>
    </row>
    <row r="7" spans="1:27" ht="13.8" x14ac:dyDescent="0.25">
      <c r="A7" s="821"/>
      <c r="B7" s="821"/>
      <c r="C7" s="821"/>
      <c r="D7" s="821"/>
      <c r="E7" s="821"/>
      <c r="F7" s="821"/>
      <c r="G7" s="821"/>
      <c r="H7" s="821"/>
      <c r="I7" s="821"/>
      <c r="J7" s="821"/>
    </row>
    <row r="8" spans="1:27" s="615" customFormat="1" ht="15.6" x14ac:dyDescent="0.3">
      <c r="A8" s="848">
        <f>'e-w'!B31</f>
        <v>0</v>
      </c>
      <c r="B8" s="1011">
        <f>'Excvtn (2)'!B14</f>
        <v>0</v>
      </c>
      <c r="C8" s="1033">
        <f>'e-w'!C31</f>
        <v>477.834</v>
      </c>
      <c r="D8" s="728">
        <f t="shared" ref="D8:D45" si="0">$H$4</f>
        <v>0.15</v>
      </c>
      <c r="E8" s="728">
        <f t="shared" ref="E8:E9" si="1">IF(C8-D8&gt;0,C8-D8,0)</f>
        <v>477.68400000000003</v>
      </c>
      <c r="F8" s="849">
        <f>WIDTH!H9</f>
        <v>6</v>
      </c>
      <c r="G8" s="728">
        <f t="shared" ref="G8:G9" si="2">IF(C8&gt;0,10,0)</f>
        <v>10</v>
      </c>
      <c r="H8" s="850">
        <f t="shared" ref="H8:H9" si="3">F8+G8</f>
        <v>16</v>
      </c>
      <c r="I8" s="728"/>
      <c r="J8" s="728"/>
      <c r="K8" s="851"/>
      <c r="L8" s="659"/>
      <c r="M8" s="660"/>
      <c r="N8" s="659"/>
      <c r="O8" s="659"/>
      <c r="P8" s="659"/>
      <c r="Q8" s="659"/>
      <c r="R8" s="659"/>
      <c r="S8" s="659"/>
      <c r="T8" s="659"/>
      <c r="U8" s="659"/>
      <c r="V8" s="660"/>
      <c r="W8" s="660"/>
      <c r="X8" s="660"/>
      <c r="Y8" s="660"/>
      <c r="Z8" s="661"/>
      <c r="AA8" s="661"/>
    </row>
    <row r="9" spans="1:27" s="615" customFormat="1" ht="15.6" x14ac:dyDescent="0.3">
      <c r="A9" s="1011">
        <f>'e-w'!B32</f>
        <v>20</v>
      </c>
      <c r="B9" s="1011">
        <f>A9-A8</f>
        <v>20</v>
      </c>
      <c r="C9" s="1033">
        <f>'e-w'!C32</f>
        <v>477.37495931758531</v>
      </c>
      <c r="D9" s="728">
        <f t="shared" si="0"/>
        <v>0.15</v>
      </c>
      <c r="E9" s="728">
        <f t="shared" si="1"/>
        <v>477.22495931758533</v>
      </c>
      <c r="F9" s="849">
        <f>WIDTH!H10</f>
        <v>100</v>
      </c>
      <c r="G9" s="728">
        <f t="shared" si="2"/>
        <v>10</v>
      </c>
      <c r="H9" s="850">
        <f t="shared" si="3"/>
        <v>110</v>
      </c>
      <c r="I9" s="728">
        <f t="shared" ref="I9" si="4">B9*H9</f>
        <v>2200</v>
      </c>
      <c r="J9" s="728">
        <f t="shared" ref="J9" si="5">(I8+I9)/2</f>
        <v>1100</v>
      </c>
      <c r="K9" s="851"/>
      <c r="L9" s="659"/>
      <c r="M9" s="660"/>
      <c r="N9" s="659"/>
      <c r="O9" s="659"/>
      <c r="P9" s="659"/>
      <c r="Q9" s="659"/>
      <c r="R9" s="659"/>
      <c r="S9" s="659"/>
      <c r="T9" s="659"/>
      <c r="U9" s="659"/>
      <c r="V9" s="660"/>
      <c r="W9" s="660"/>
      <c r="X9" s="660"/>
      <c r="Y9" s="660"/>
      <c r="Z9" s="661"/>
      <c r="AA9" s="661"/>
    </row>
    <row r="10" spans="1:27" s="615" customFormat="1" ht="15.6" x14ac:dyDescent="0.3">
      <c r="A10" s="1011">
        <f>'e-w'!B33</f>
        <v>40</v>
      </c>
      <c r="B10" s="1011">
        <f t="shared" ref="B10:B45" si="6">A10-A9</f>
        <v>20</v>
      </c>
      <c r="C10" s="1033">
        <f>'e-w'!C33</f>
        <v>476.60178899082564</v>
      </c>
      <c r="D10" s="728">
        <f t="shared" si="0"/>
        <v>0.15</v>
      </c>
      <c r="E10" s="728">
        <f t="shared" ref="E10:E45" si="7">IF(C10-D10&gt;0,C10-D10,0)</f>
        <v>476.45178899082566</v>
      </c>
      <c r="F10" s="849">
        <f>WIDTH!H11</f>
        <v>100</v>
      </c>
      <c r="G10" s="728">
        <f t="shared" ref="G10:G45" si="8">IF(C10&gt;0,10,0)</f>
        <v>10</v>
      </c>
      <c r="H10" s="850">
        <f t="shared" ref="H10:H45" si="9">F10+G10</f>
        <v>110</v>
      </c>
      <c r="I10" s="728">
        <f t="shared" ref="I10:I45" si="10">B10*H10</f>
        <v>2200</v>
      </c>
      <c r="J10" s="728">
        <f t="shared" ref="J10:J45" si="11">(I9+I10)/2</f>
        <v>2200</v>
      </c>
      <c r="K10" s="851"/>
      <c r="L10" s="659"/>
      <c r="M10" s="660"/>
      <c r="N10" s="659"/>
      <c r="O10" s="659"/>
      <c r="P10" s="659"/>
      <c r="Q10" s="659"/>
      <c r="R10" s="659"/>
      <c r="S10" s="659"/>
      <c r="T10" s="659"/>
      <c r="U10" s="659"/>
      <c r="V10" s="660"/>
      <c r="W10" s="660"/>
      <c r="X10" s="660"/>
      <c r="Y10" s="660"/>
      <c r="Z10" s="661"/>
      <c r="AA10" s="661"/>
    </row>
    <row r="11" spans="1:27" s="615" customFormat="1" ht="15.6" x14ac:dyDescent="0.3">
      <c r="A11" s="1011">
        <f>'e-w'!B34</f>
        <v>60</v>
      </c>
      <c r="B11" s="1011">
        <f t="shared" si="6"/>
        <v>20</v>
      </c>
      <c r="C11" s="1033">
        <f>'e-w'!C34</f>
        <v>476.11086614173229</v>
      </c>
      <c r="D11" s="728">
        <f t="shared" si="0"/>
        <v>0.15</v>
      </c>
      <c r="E11" s="728">
        <f t="shared" si="7"/>
        <v>475.96086614173231</v>
      </c>
      <c r="F11" s="849">
        <f>WIDTH!H12</f>
        <v>100</v>
      </c>
      <c r="G11" s="728">
        <f t="shared" si="8"/>
        <v>10</v>
      </c>
      <c r="H11" s="850">
        <f t="shared" si="9"/>
        <v>110</v>
      </c>
      <c r="I11" s="728">
        <f t="shared" si="10"/>
        <v>2200</v>
      </c>
      <c r="J11" s="728">
        <f t="shared" si="11"/>
        <v>2200</v>
      </c>
      <c r="K11" s="851"/>
      <c r="L11" s="659"/>
      <c r="M11" s="660"/>
      <c r="N11" s="659"/>
      <c r="O11" s="659"/>
      <c r="P11" s="659"/>
      <c r="Q11" s="659"/>
      <c r="R11" s="659"/>
      <c r="S11" s="659"/>
      <c r="T11" s="659"/>
      <c r="U11" s="659"/>
      <c r="V11" s="660"/>
      <c r="W11" s="660"/>
      <c r="X11" s="660"/>
      <c r="Y11" s="660"/>
      <c r="Z11" s="661"/>
      <c r="AA11" s="661"/>
    </row>
    <row r="12" spans="1:27" s="615" customFormat="1" ht="15.6" x14ac:dyDescent="0.3">
      <c r="A12" s="1011">
        <f>'e-w'!B35</f>
        <v>80</v>
      </c>
      <c r="B12" s="1011">
        <f t="shared" si="6"/>
        <v>20</v>
      </c>
      <c r="C12" s="1033">
        <f>'e-w'!C35</f>
        <v>475.51279921259845</v>
      </c>
      <c r="D12" s="728">
        <f t="shared" si="0"/>
        <v>0.15</v>
      </c>
      <c r="E12" s="728">
        <f t="shared" si="7"/>
        <v>475.36279921259847</v>
      </c>
      <c r="F12" s="849">
        <f>WIDTH!H13</f>
        <v>100</v>
      </c>
      <c r="G12" s="728">
        <f t="shared" si="8"/>
        <v>10</v>
      </c>
      <c r="H12" s="850">
        <f t="shared" si="9"/>
        <v>110</v>
      </c>
      <c r="I12" s="728">
        <f t="shared" si="10"/>
        <v>2200</v>
      </c>
      <c r="J12" s="728">
        <f t="shared" si="11"/>
        <v>2200</v>
      </c>
      <c r="K12" s="851"/>
      <c r="L12" s="659"/>
      <c r="M12" s="660"/>
      <c r="N12" s="659"/>
      <c r="O12" s="659"/>
      <c r="P12" s="659"/>
      <c r="Q12" s="659"/>
      <c r="R12" s="659"/>
      <c r="S12" s="659"/>
      <c r="T12" s="659"/>
      <c r="U12" s="659"/>
      <c r="V12" s="660"/>
      <c r="W12" s="660"/>
      <c r="X12" s="660"/>
      <c r="Y12" s="660"/>
      <c r="Z12" s="661"/>
      <c r="AA12" s="661"/>
    </row>
    <row r="13" spans="1:27" s="615" customFormat="1" ht="15.6" x14ac:dyDescent="0.3">
      <c r="A13" s="1011">
        <f>'e-w'!B36</f>
        <v>100</v>
      </c>
      <c r="B13" s="1011">
        <f t="shared" si="6"/>
        <v>20</v>
      </c>
      <c r="C13" s="1033">
        <f>'e-w'!C36</f>
        <v>474.85713612565439</v>
      </c>
      <c r="D13" s="728">
        <f t="shared" si="0"/>
        <v>0.15</v>
      </c>
      <c r="E13" s="728">
        <f t="shared" si="7"/>
        <v>474.70713612565442</v>
      </c>
      <c r="F13" s="849">
        <f>WIDTH!H14</f>
        <v>100</v>
      </c>
      <c r="G13" s="728">
        <f t="shared" si="8"/>
        <v>10</v>
      </c>
      <c r="H13" s="850">
        <f t="shared" si="9"/>
        <v>110</v>
      </c>
      <c r="I13" s="728">
        <f t="shared" si="10"/>
        <v>2200</v>
      </c>
      <c r="J13" s="728">
        <f t="shared" si="11"/>
        <v>2200</v>
      </c>
      <c r="K13" s="851"/>
      <c r="L13" s="659"/>
      <c r="M13" s="660"/>
      <c r="N13" s="659"/>
      <c r="O13" s="659"/>
      <c r="P13" s="659"/>
      <c r="Q13" s="659"/>
      <c r="R13" s="659"/>
      <c r="S13" s="659"/>
      <c r="T13" s="659"/>
      <c r="U13" s="659"/>
      <c r="V13" s="660"/>
      <c r="W13" s="660"/>
      <c r="X13" s="660"/>
      <c r="Y13" s="660"/>
      <c r="Z13" s="661"/>
      <c r="AA13" s="661"/>
    </row>
    <row r="14" spans="1:27" s="615" customFormat="1" ht="15.6" x14ac:dyDescent="0.3">
      <c r="A14" s="1011">
        <f>'e-w'!B37</f>
        <v>120</v>
      </c>
      <c r="B14" s="1011">
        <f t="shared" si="6"/>
        <v>20</v>
      </c>
      <c r="C14" s="1033">
        <f>'e-w'!C37</f>
        <v>474.7220789473684</v>
      </c>
      <c r="D14" s="728">
        <f t="shared" si="0"/>
        <v>0.15</v>
      </c>
      <c r="E14" s="728">
        <f t="shared" si="7"/>
        <v>474.57207894736842</v>
      </c>
      <c r="F14" s="849">
        <f>WIDTH!H15</f>
        <v>100</v>
      </c>
      <c r="G14" s="728">
        <f t="shared" si="8"/>
        <v>10</v>
      </c>
      <c r="H14" s="850">
        <f t="shared" si="9"/>
        <v>110</v>
      </c>
      <c r="I14" s="728">
        <f t="shared" si="10"/>
        <v>2200</v>
      </c>
      <c r="J14" s="728">
        <f t="shared" si="11"/>
        <v>2200</v>
      </c>
      <c r="K14" s="851"/>
      <c r="L14" s="659"/>
      <c r="M14" s="660"/>
      <c r="N14" s="659"/>
      <c r="O14" s="659"/>
      <c r="P14" s="659"/>
      <c r="Q14" s="659"/>
      <c r="R14" s="659"/>
      <c r="S14" s="659"/>
      <c r="T14" s="659"/>
      <c r="U14" s="659"/>
      <c r="V14" s="660"/>
      <c r="W14" s="660"/>
      <c r="X14" s="660"/>
      <c r="Y14" s="660"/>
      <c r="Z14" s="661"/>
      <c r="AA14" s="661"/>
    </row>
    <row r="15" spans="1:27" s="615" customFormat="1" ht="15.6" x14ac:dyDescent="0.3">
      <c r="A15" s="1011">
        <f>'e-w'!B38</f>
        <v>140</v>
      </c>
      <c r="B15" s="1011">
        <f t="shared" si="6"/>
        <v>20</v>
      </c>
      <c r="C15" s="1033">
        <f>'e-w'!C38</f>
        <v>474.76499999999999</v>
      </c>
      <c r="D15" s="728">
        <f t="shared" si="0"/>
        <v>0.15</v>
      </c>
      <c r="E15" s="728">
        <f t="shared" si="7"/>
        <v>474.61500000000001</v>
      </c>
      <c r="F15" s="849">
        <f>WIDTH!H16</f>
        <v>100</v>
      </c>
      <c r="G15" s="728">
        <f t="shared" si="8"/>
        <v>10</v>
      </c>
      <c r="H15" s="850">
        <f t="shared" si="9"/>
        <v>110</v>
      </c>
      <c r="I15" s="728">
        <f t="shared" si="10"/>
        <v>2200</v>
      </c>
      <c r="J15" s="728">
        <f t="shared" si="11"/>
        <v>2200</v>
      </c>
      <c r="K15" s="851"/>
      <c r="L15" s="659"/>
      <c r="M15" s="660"/>
      <c r="N15" s="659"/>
      <c r="O15" s="659"/>
      <c r="P15" s="659"/>
      <c r="Q15" s="659"/>
      <c r="R15" s="659"/>
      <c r="S15" s="659"/>
      <c r="T15" s="659"/>
      <c r="U15" s="659"/>
      <c r="V15" s="660"/>
      <c r="W15" s="660"/>
      <c r="X15" s="660"/>
      <c r="Y15" s="660"/>
      <c r="Z15" s="661"/>
      <c r="AA15" s="661"/>
    </row>
    <row r="16" spans="1:27" s="615" customFormat="1" ht="15.6" x14ac:dyDescent="0.3">
      <c r="A16" s="1011">
        <f>'e-w'!B39</f>
        <v>160</v>
      </c>
      <c r="B16" s="1011">
        <f t="shared" si="6"/>
        <v>20</v>
      </c>
      <c r="C16" s="1033">
        <f>'e-w'!C39</f>
        <v>474.62121052631579</v>
      </c>
      <c r="D16" s="728">
        <f t="shared" si="0"/>
        <v>0.15</v>
      </c>
      <c r="E16" s="728">
        <f t="shared" si="7"/>
        <v>474.47121052631582</v>
      </c>
      <c r="F16" s="849">
        <f>WIDTH!H17</f>
        <v>100</v>
      </c>
      <c r="G16" s="728">
        <f t="shared" si="8"/>
        <v>10</v>
      </c>
      <c r="H16" s="850">
        <f t="shared" si="9"/>
        <v>110</v>
      </c>
      <c r="I16" s="728">
        <f t="shared" si="10"/>
        <v>2200</v>
      </c>
      <c r="J16" s="728">
        <f t="shared" si="11"/>
        <v>2200</v>
      </c>
      <c r="K16" s="851"/>
      <c r="L16" s="659"/>
      <c r="M16" s="660"/>
      <c r="N16" s="659"/>
      <c r="O16" s="659"/>
      <c r="P16" s="659"/>
      <c r="Q16" s="659"/>
      <c r="R16" s="659"/>
      <c r="S16" s="659"/>
      <c r="T16" s="659"/>
      <c r="U16" s="659"/>
      <c r="V16" s="660"/>
      <c r="W16" s="660"/>
      <c r="X16" s="660"/>
      <c r="Y16" s="660"/>
      <c r="Z16" s="661"/>
      <c r="AA16" s="661"/>
    </row>
    <row r="17" spans="1:27" s="615" customFormat="1" ht="15.6" x14ac:dyDescent="0.3">
      <c r="A17" s="1011">
        <f>'e-w'!B40</f>
        <v>180</v>
      </c>
      <c r="B17" s="1011">
        <f t="shared" si="6"/>
        <v>20</v>
      </c>
      <c r="C17" s="1033">
        <f>'e-w'!C40</f>
        <v>474.47307894736844</v>
      </c>
      <c r="D17" s="728">
        <f t="shared" si="0"/>
        <v>0.15</v>
      </c>
      <c r="E17" s="728">
        <f t="shared" si="7"/>
        <v>474.32307894736846</v>
      </c>
      <c r="F17" s="849">
        <f>WIDTH!H18</f>
        <v>100</v>
      </c>
      <c r="G17" s="728">
        <f t="shared" si="8"/>
        <v>10</v>
      </c>
      <c r="H17" s="850">
        <f t="shared" si="9"/>
        <v>110</v>
      </c>
      <c r="I17" s="728">
        <f t="shared" si="10"/>
        <v>2200</v>
      </c>
      <c r="J17" s="728">
        <f t="shared" si="11"/>
        <v>2200</v>
      </c>
      <c r="K17" s="851"/>
      <c r="L17" s="659"/>
      <c r="M17" s="660"/>
      <c r="N17" s="659"/>
      <c r="O17" s="659"/>
      <c r="P17" s="659"/>
      <c r="Q17" s="659"/>
      <c r="R17" s="659"/>
      <c r="S17" s="659"/>
      <c r="T17" s="659"/>
      <c r="U17" s="659"/>
      <c r="V17" s="660"/>
      <c r="W17" s="660"/>
      <c r="X17" s="660"/>
      <c r="Y17" s="660"/>
      <c r="Z17" s="661"/>
      <c r="AA17" s="661"/>
    </row>
    <row r="18" spans="1:27" s="615" customFormat="1" ht="15.6" x14ac:dyDescent="0.3">
      <c r="A18" s="1011">
        <f>'e-w'!B41</f>
        <v>200</v>
      </c>
      <c r="B18" s="1011">
        <f t="shared" si="6"/>
        <v>20</v>
      </c>
      <c r="C18" s="1033">
        <f>'e-w'!C41</f>
        <v>474.26559210526312</v>
      </c>
      <c r="D18" s="728">
        <f t="shared" si="0"/>
        <v>0.15</v>
      </c>
      <c r="E18" s="728">
        <f t="shared" si="7"/>
        <v>474.11559210526315</v>
      </c>
      <c r="F18" s="849">
        <f>WIDTH!H19</f>
        <v>100</v>
      </c>
      <c r="G18" s="728">
        <f t="shared" si="8"/>
        <v>10</v>
      </c>
      <c r="H18" s="850">
        <f t="shared" si="9"/>
        <v>110</v>
      </c>
      <c r="I18" s="728">
        <f t="shared" si="10"/>
        <v>2200</v>
      </c>
      <c r="J18" s="728">
        <f t="shared" si="11"/>
        <v>2200</v>
      </c>
      <c r="K18" s="851"/>
      <c r="L18" s="659"/>
      <c r="M18" s="660"/>
      <c r="N18" s="659"/>
      <c r="O18" s="659"/>
      <c r="P18" s="659"/>
      <c r="Q18" s="659"/>
      <c r="R18" s="659"/>
      <c r="S18" s="659"/>
      <c r="T18" s="659"/>
      <c r="U18" s="659"/>
      <c r="V18" s="660"/>
      <c r="W18" s="660"/>
      <c r="X18" s="660"/>
      <c r="Y18" s="660"/>
      <c r="Z18" s="661"/>
      <c r="AA18" s="661"/>
    </row>
    <row r="19" spans="1:27" s="615" customFormat="1" ht="15.6" x14ac:dyDescent="0.3">
      <c r="A19" s="1011">
        <f>'e-w'!B42</f>
        <v>220</v>
      </c>
      <c r="B19" s="1011">
        <f t="shared" si="6"/>
        <v>20</v>
      </c>
      <c r="C19" s="1033">
        <f>'e-w'!C42</f>
        <v>470.31336842105264</v>
      </c>
      <c r="D19" s="728">
        <f t="shared" si="0"/>
        <v>0.15</v>
      </c>
      <c r="E19" s="728">
        <f t="shared" si="7"/>
        <v>470.16336842105267</v>
      </c>
      <c r="F19" s="849">
        <f>WIDTH!H20</f>
        <v>100</v>
      </c>
      <c r="G19" s="728">
        <f t="shared" si="8"/>
        <v>10</v>
      </c>
      <c r="H19" s="850">
        <f t="shared" si="9"/>
        <v>110</v>
      </c>
      <c r="I19" s="728">
        <f t="shared" si="10"/>
        <v>2200</v>
      </c>
      <c r="J19" s="728">
        <f t="shared" si="11"/>
        <v>2200</v>
      </c>
      <c r="K19" s="851"/>
      <c r="L19" s="659"/>
      <c r="M19" s="660"/>
      <c r="N19" s="659"/>
      <c r="O19" s="659"/>
      <c r="P19" s="659"/>
      <c r="Q19" s="659"/>
      <c r="R19" s="659"/>
      <c r="S19" s="659"/>
      <c r="T19" s="659"/>
      <c r="U19" s="659"/>
      <c r="V19" s="660"/>
      <c r="W19" s="660"/>
      <c r="X19" s="660"/>
      <c r="Y19" s="660"/>
      <c r="Z19" s="661"/>
      <c r="AA19" s="661"/>
    </row>
    <row r="20" spans="1:27" s="615" customFormat="1" ht="15.6" x14ac:dyDescent="0.3">
      <c r="A20" s="1011">
        <f>'e-w'!B43</f>
        <v>240</v>
      </c>
      <c r="B20" s="1011">
        <f t="shared" si="6"/>
        <v>20</v>
      </c>
      <c r="C20" s="1033">
        <f>'e-w'!C43</f>
        <v>469.86581578947369</v>
      </c>
      <c r="D20" s="728">
        <f t="shared" si="0"/>
        <v>0.15</v>
      </c>
      <c r="E20" s="728">
        <f t="shared" si="7"/>
        <v>469.71581578947371</v>
      </c>
      <c r="F20" s="849">
        <f>WIDTH!H21</f>
        <v>100</v>
      </c>
      <c r="G20" s="728">
        <f t="shared" si="8"/>
        <v>10</v>
      </c>
      <c r="H20" s="850">
        <f t="shared" si="9"/>
        <v>110</v>
      </c>
      <c r="I20" s="728">
        <f t="shared" si="10"/>
        <v>2200</v>
      </c>
      <c r="J20" s="728">
        <f t="shared" si="11"/>
        <v>2200</v>
      </c>
      <c r="K20" s="851"/>
      <c r="L20" s="659"/>
      <c r="M20" s="660"/>
      <c r="N20" s="659"/>
      <c r="O20" s="659"/>
      <c r="P20" s="659"/>
      <c r="Q20" s="659"/>
      <c r="R20" s="659"/>
      <c r="S20" s="659"/>
      <c r="T20" s="659"/>
      <c r="U20" s="659"/>
      <c r="V20" s="660"/>
      <c r="W20" s="660"/>
      <c r="X20" s="660"/>
      <c r="Y20" s="660"/>
      <c r="Z20" s="661"/>
      <c r="AA20" s="661"/>
    </row>
    <row r="21" spans="1:27" s="615" customFormat="1" ht="15.6" x14ac:dyDescent="0.3">
      <c r="A21" s="1011">
        <f>'e-w'!B44</f>
        <v>260</v>
      </c>
      <c r="B21" s="1011">
        <f t="shared" si="6"/>
        <v>20</v>
      </c>
      <c r="C21" s="1033">
        <f>'e-w'!C44</f>
        <v>469.42184210526324</v>
      </c>
      <c r="D21" s="728">
        <f t="shared" si="0"/>
        <v>0.15</v>
      </c>
      <c r="E21" s="728">
        <f t="shared" si="7"/>
        <v>469.27184210526326</v>
      </c>
      <c r="F21" s="849">
        <f>WIDTH!H22</f>
        <v>100</v>
      </c>
      <c r="G21" s="728">
        <f t="shared" si="8"/>
        <v>10</v>
      </c>
      <c r="H21" s="850">
        <f t="shared" si="9"/>
        <v>110</v>
      </c>
      <c r="I21" s="728">
        <f t="shared" si="10"/>
        <v>2200</v>
      </c>
      <c r="J21" s="728">
        <f t="shared" si="11"/>
        <v>2200</v>
      </c>
      <c r="K21" s="851"/>
      <c r="L21" s="659"/>
      <c r="M21" s="660"/>
      <c r="N21" s="659"/>
      <c r="O21" s="659"/>
      <c r="P21" s="659"/>
      <c r="Q21" s="659"/>
      <c r="R21" s="659"/>
      <c r="S21" s="659"/>
      <c r="T21" s="659"/>
      <c r="U21" s="659"/>
      <c r="V21" s="660"/>
      <c r="W21" s="660"/>
      <c r="X21" s="660"/>
      <c r="Y21" s="660"/>
      <c r="Z21" s="661"/>
      <c r="AA21" s="661"/>
    </row>
    <row r="22" spans="1:27" s="615" customFormat="1" ht="15.6" x14ac:dyDescent="0.3">
      <c r="A22" s="1011">
        <f>'e-w'!B45</f>
        <v>280</v>
      </c>
      <c r="B22" s="1011">
        <f t="shared" si="6"/>
        <v>20</v>
      </c>
      <c r="C22" s="1033">
        <f>'e-w'!C45</f>
        <v>469.52473684210526</v>
      </c>
      <c r="D22" s="728">
        <f t="shared" si="0"/>
        <v>0.15</v>
      </c>
      <c r="E22" s="728">
        <f t="shared" si="7"/>
        <v>469.37473684210528</v>
      </c>
      <c r="F22" s="849">
        <f>WIDTH!H23</f>
        <v>100</v>
      </c>
      <c r="G22" s="728">
        <f t="shared" si="8"/>
        <v>10</v>
      </c>
      <c r="H22" s="850">
        <f t="shared" si="9"/>
        <v>110</v>
      </c>
      <c r="I22" s="728">
        <f t="shared" si="10"/>
        <v>2200</v>
      </c>
      <c r="J22" s="728">
        <f t="shared" si="11"/>
        <v>2200</v>
      </c>
      <c r="K22" s="851"/>
      <c r="L22" s="659"/>
      <c r="M22" s="660"/>
      <c r="N22" s="659"/>
      <c r="O22" s="659"/>
      <c r="P22" s="659"/>
      <c r="Q22" s="659"/>
      <c r="R22" s="659"/>
      <c r="S22" s="659"/>
      <c r="T22" s="659"/>
      <c r="U22" s="659"/>
      <c r="V22" s="660"/>
      <c r="W22" s="660"/>
      <c r="X22" s="660"/>
      <c r="Y22" s="660"/>
      <c r="Z22" s="661"/>
      <c r="AA22" s="661"/>
    </row>
    <row r="23" spans="1:27" s="615" customFormat="1" ht="15.6" x14ac:dyDescent="0.3">
      <c r="A23" s="1011">
        <f>'e-w'!B46</f>
        <v>300</v>
      </c>
      <c r="B23" s="1011">
        <f t="shared" si="6"/>
        <v>20</v>
      </c>
      <c r="C23" s="1033">
        <f>'e-w'!C46</f>
        <v>468.85885526315792</v>
      </c>
      <c r="D23" s="728">
        <f t="shared" si="0"/>
        <v>0.15</v>
      </c>
      <c r="E23" s="728">
        <f t="shared" si="7"/>
        <v>468.70885526315794</v>
      </c>
      <c r="F23" s="849">
        <f>WIDTH!H24</f>
        <v>100</v>
      </c>
      <c r="G23" s="728">
        <f t="shared" si="8"/>
        <v>10</v>
      </c>
      <c r="H23" s="850">
        <f t="shared" si="9"/>
        <v>110</v>
      </c>
      <c r="I23" s="728">
        <f t="shared" si="10"/>
        <v>2200</v>
      </c>
      <c r="J23" s="728">
        <f t="shared" si="11"/>
        <v>2200</v>
      </c>
      <c r="K23" s="851"/>
      <c r="L23" s="659"/>
      <c r="M23" s="660"/>
      <c r="N23" s="659"/>
      <c r="O23" s="659"/>
      <c r="P23" s="659"/>
      <c r="Q23" s="659"/>
      <c r="R23" s="659"/>
      <c r="S23" s="659"/>
      <c r="T23" s="659"/>
      <c r="U23" s="659"/>
      <c r="V23" s="660"/>
      <c r="W23" s="660"/>
      <c r="X23" s="660"/>
      <c r="Y23" s="660"/>
      <c r="Z23" s="661"/>
      <c r="AA23" s="661"/>
    </row>
    <row r="24" spans="1:27" s="615" customFormat="1" ht="15.6" x14ac:dyDescent="0.3">
      <c r="A24" s="1011">
        <f>'e-w'!B47</f>
        <v>320</v>
      </c>
      <c r="B24" s="1011">
        <f t="shared" si="6"/>
        <v>20</v>
      </c>
      <c r="C24" s="1033">
        <f>'e-w'!C47</f>
        <v>468.42110526315793</v>
      </c>
      <c r="D24" s="728">
        <f t="shared" si="0"/>
        <v>0.15</v>
      </c>
      <c r="E24" s="728">
        <f t="shared" si="7"/>
        <v>468.27110526315795</v>
      </c>
      <c r="F24" s="849">
        <f>WIDTH!H25</f>
        <v>100</v>
      </c>
      <c r="G24" s="728">
        <f t="shared" si="8"/>
        <v>10</v>
      </c>
      <c r="H24" s="850">
        <f t="shared" si="9"/>
        <v>110</v>
      </c>
      <c r="I24" s="728">
        <f t="shared" si="10"/>
        <v>2200</v>
      </c>
      <c r="J24" s="728">
        <f t="shared" si="11"/>
        <v>2200</v>
      </c>
      <c r="K24" s="851"/>
      <c r="L24" s="659"/>
      <c r="M24" s="660"/>
      <c r="N24" s="659"/>
      <c r="O24" s="659"/>
      <c r="P24" s="659"/>
      <c r="Q24" s="659"/>
      <c r="R24" s="659"/>
      <c r="S24" s="659"/>
      <c r="T24" s="659"/>
      <c r="U24" s="659"/>
      <c r="V24" s="660"/>
      <c r="W24" s="660"/>
      <c r="X24" s="660"/>
      <c r="Y24" s="660"/>
      <c r="Z24" s="661"/>
      <c r="AA24" s="661"/>
    </row>
    <row r="25" spans="1:27" s="615" customFormat="1" ht="15.6" x14ac:dyDescent="0.3">
      <c r="A25" s="1011">
        <f>'e-w'!B48</f>
        <v>340</v>
      </c>
      <c r="B25" s="1011">
        <f t="shared" si="6"/>
        <v>20</v>
      </c>
      <c r="C25" s="1033">
        <f>'e-w'!C48</f>
        <v>468.19992105263151</v>
      </c>
      <c r="D25" s="728">
        <f t="shared" si="0"/>
        <v>0.15</v>
      </c>
      <c r="E25" s="728">
        <f t="shared" si="7"/>
        <v>468.04992105263153</v>
      </c>
      <c r="F25" s="849">
        <f>WIDTH!H26</f>
        <v>100</v>
      </c>
      <c r="G25" s="728">
        <f t="shared" si="8"/>
        <v>10</v>
      </c>
      <c r="H25" s="850">
        <f t="shared" si="9"/>
        <v>110</v>
      </c>
      <c r="I25" s="728">
        <f t="shared" si="10"/>
        <v>2200</v>
      </c>
      <c r="J25" s="728">
        <f t="shared" si="11"/>
        <v>2200</v>
      </c>
      <c r="K25" s="851"/>
      <c r="L25" s="659"/>
      <c r="M25" s="660"/>
      <c r="N25" s="659"/>
      <c r="O25" s="659"/>
      <c r="P25" s="659"/>
      <c r="Q25" s="659"/>
      <c r="R25" s="659"/>
      <c r="S25" s="659"/>
      <c r="T25" s="659"/>
      <c r="U25" s="659"/>
      <c r="V25" s="660"/>
      <c r="W25" s="660"/>
      <c r="X25" s="660"/>
      <c r="Y25" s="660"/>
      <c r="Z25" s="661"/>
      <c r="AA25" s="661"/>
    </row>
    <row r="26" spans="1:27" s="615" customFormat="1" ht="15.6" x14ac:dyDescent="0.3">
      <c r="A26" s="1011">
        <f>'e-w'!B49</f>
        <v>360</v>
      </c>
      <c r="B26" s="1011">
        <f t="shared" si="6"/>
        <v>20</v>
      </c>
      <c r="C26" s="1033">
        <f>'e-w'!C49</f>
        <v>462.14211688311696</v>
      </c>
      <c r="D26" s="728">
        <f t="shared" si="0"/>
        <v>0.15</v>
      </c>
      <c r="E26" s="728">
        <f t="shared" si="7"/>
        <v>461.99211688311698</v>
      </c>
      <c r="F26" s="849">
        <f>WIDTH!H27</f>
        <v>100</v>
      </c>
      <c r="G26" s="728">
        <f t="shared" si="8"/>
        <v>10</v>
      </c>
      <c r="H26" s="850">
        <f t="shared" si="9"/>
        <v>110</v>
      </c>
      <c r="I26" s="728">
        <f t="shared" si="10"/>
        <v>2200</v>
      </c>
      <c r="J26" s="728">
        <f t="shared" si="11"/>
        <v>2200</v>
      </c>
      <c r="K26" s="851"/>
      <c r="L26" s="659"/>
      <c r="M26" s="660"/>
      <c r="N26" s="659"/>
      <c r="O26" s="659"/>
      <c r="P26" s="659"/>
      <c r="Q26" s="659"/>
      <c r="R26" s="659"/>
      <c r="S26" s="659"/>
      <c r="T26" s="659"/>
      <c r="U26" s="659"/>
      <c r="V26" s="660"/>
      <c r="W26" s="660"/>
      <c r="X26" s="660"/>
      <c r="Y26" s="660"/>
      <c r="Z26" s="661"/>
      <c r="AA26" s="661"/>
    </row>
    <row r="27" spans="1:27" s="615" customFormat="1" ht="15.6" x14ac:dyDescent="0.3">
      <c r="A27" s="1011">
        <f>'e-w'!B50</f>
        <v>380</v>
      </c>
      <c r="B27" s="1011">
        <f t="shared" si="6"/>
        <v>20</v>
      </c>
      <c r="C27" s="1033">
        <f>'e-w'!C50</f>
        <v>460.22500000000002</v>
      </c>
      <c r="D27" s="728">
        <f t="shared" si="0"/>
        <v>0.15</v>
      </c>
      <c r="E27" s="728">
        <f t="shared" si="7"/>
        <v>460.07500000000005</v>
      </c>
      <c r="F27" s="849">
        <f>WIDTH!H28</f>
        <v>100</v>
      </c>
      <c r="G27" s="728">
        <f t="shared" si="8"/>
        <v>10</v>
      </c>
      <c r="H27" s="850">
        <f t="shared" si="9"/>
        <v>110</v>
      </c>
      <c r="I27" s="728">
        <f t="shared" si="10"/>
        <v>2200</v>
      </c>
      <c r="J27" s="728">
        <f t="shared" si="11"/>
        <v>2200</v>
      </c>
      <c r="K27" s="851"/>
      <c r="L27" s="659"/>
      <c r="M27" s="660"/>
      <c r="N27" s="659"/>
      <c r="O27" s="659"/>
      <c r="P27" s="659"/>
      <c r="Q27" s="659"/>
      <c r="R27" s="659"/>
      <c r="S27" s="659"/>
      <c r="T27" s="659"/>
      <c r="U27" s="659"/>
      <c r="V27" s="660"/>
      <c r="W27" s="660"/>
      <c r="X27" s="660"/>
      <c r="Y27" s="660"/>
      <c r="Z27" s="661"/>
      <c r="AA27" s="661"/>
    </row>
    <row r="28" spans="1:27" s="615" customFormat="1" ht="15.6" x14ac:dyDescent="0.3">
      <c r="A28" s="1011">
        <f>'e-w'!B51</f>
        <v>400</v>
      </c>
      <c r="B28" s="1011">
        <f t="shared" si="6"/>
        <v>20</v>
      </c>
      <c r="C28" s="1033">
        <f>'e-w'!C51</f>
        <v>460.22500000000002</v>
      </c>
      <c r="D28" s="728">
        <f t="shared" si="0"/>
        <v>0.15</v>
      </c>
      <c r="E28" s="728">
        <f t="shared" si="7"/>
        <v>460.07500000000005</v>
      </c>
      <c r="F28" s="849">
        <f>WIDTH!H29</f>
        <v>100</v>
      </c>
      <c r="G28" s="728">
        <f t="shared" si="8"/>
        <v>10</v>
      </c>
      <c r="H28" s="850">
        <f t="shared" si="9"/>
        <v>110</v>
      </c>
      <c r="I28" s="728">
        <f t="shared" si="10"/>
        <v>2200</v>
      </c>
      <c r="J28" s="728">
        <f t="shared" si="11"/>
        <v>2200</v>
      </c>
      <c r="K28" s="851"/>
      <c r="L28" s="659"/>
      <c r="M28" s="660"/>
      <c r="N28" s="659"/>
      <c r="O28" s="659"/>
      <c r="P28" s="659"/>
      <c r="Q28" s="659"/>
      <c r="R28" s="659"/>
      <c r="S28" s="659"/>
      <c r="T28" s="659"/>
      <c r="U28" s="659"/>
      <c r="V28" s="660"/>
      <c r="W28" s="660"/>
      <c r="X28" s="660"/>
      <c r="Y28" s="660"/>
      <c r="Z28" s="661"/>
      <c r="AA28" s="661"/>
    </row>
    <row r="29" spans="1:27" s="615" customFormat="1" ht="15.6" x14ac:dyDescent="0.3">
      <c r="A29" s="1011">
        <f>'e-w'!B52</f>
        <v>420</v>
      </c>
      <c r="B29" s="1011">
        <f t="shared" si="6"/>
        <v>20</v>
      </c>
      <c r="C29" s="1033">
        <f>'e-w'!C52</f>
        <v>460.22500000000002</v>
      </c>
      <c r="D29" s="728">
        <f t="shared" si="0"/>
        <v>0.15</v>
      </c>
      <c r="E29" s="728">
        <f t="shared" si="7"/>
        <v>460.07500000000005</v>
      </c>
      <c r="F29" s="849">
        <f>WIDTH!H30</f>
        <v>100</v>
      </c>
      <c r="G29" s="728">
        <f t="shared" si="8"/>
        <v>10</v>
      </c>
      <c r="H29" s="850">
        <f t="shared" si="9"/>
        <v>110</v>
      </c>
      <c r="I29" s="728">
        <f t="shared" si="10"/>
        <v>2200</v>
      </c>
      <c r="J29" s="728">
        <f t="shared" si="11"/>
        <v>2200</v>
      </c>
      <c r="K29" s="851"/>
      <c r="L29" s="659"/>
      <c r="M29" s="660"/>
      <c r="N29" s="659"/>
      <c r="O29" s="659"/>
      <c r="P29" s="659"/>
      <c r="Q29" s="659"/>
      <c r="R29" s="659"/>
      <c r="S29" s="659"/>
      <c r="T29" s="659"/>
      <c r="U29" s="659"/>
      <c r="V29" s="660"/>
      <c r="W29" s="660"/>
      <c r="X29" s="660"/>
      <c r="Y29" s="660"/>
      <c r="Z29" s="661"/>
      <c r="AA29" s="661"/>
    </row>
    <row r="30" spans="1:27" s="615" customFormat="1" ht="15.6" x14ac:dyDescent="0.3">
      <c r="A30" s="1011">
        <f>'e-w'!B53</f>
        <v>440</v>
      </c>
      <c r="B30" s="1011">
        <f t="shared" si="6"/>
        <v>20</v>
      </c>
      <c r="C30" s="1033">
        <f>'e-w'!C53</f>
        <v>464.81158441558438</v>
      </c>
      <c r="D30" s="728">
        <f t="shared" si="0"/>
        <v>0.15</v>
      </c>
      <c r="E30" s="728">
        <f t="shared" si="7"/>
        <v>464.6615844155844</v>
      </c>
      <c r="F30" s="849">
        <f>WIDTH!H31</f>
        <v>100</v>
      </c>
      <c r="G30" s="728">
        <f t="shared" si="8"/>
        <v>10</v>
      </c>
      <c r="H30" s="850">
        <f t="shared" si="9"/>
        <v>110</v>
      </c>
      <c r="I30" s="728">
        <f t="shared" si="10"/>
        <v>2200</v>
      </c>
      <c r="J30" s="728">
        <f t="shared" si="11"/>
        <v>2200</v>
      </c>
      <c r="K30" s="851"/>
      <c r="L30" s="659"/>
      <c r="M30" s="660"/>
      <c r="N30" s="659"/>
      <c r="O30" s="659"/>
      <c r="P30" s="659"/>
      <c r="Q30" s="659"/>
      <c r="R30" s="659"/>
      <c r="S30" s="659"/>
      <c r="T30" s="659"/>
      <c r="U30" s="659"/>
      <c r="V30" s="660"/>
      <c r="W30" s="660"/>
      <c r="X30" s="660"/>
      <c r="Y30" s="660"/>
      <c r="Z30" s="661"/>
      <c r="AA30" s="661"/>
    </row>
    <row r="31" spans="1:27" s="615" customFormat="1" ht="15.6" x14ac:dyDescent="0.3">
      <c r="A31" s="1011">
        <f>'e-w'!B54</f>
        <v>460</v>
      </c>
      <c r="B31" s="1011">
        <f t="shared" si="6"/>
        <v>20</v>
      </c>
      <c r="C31" s="1033">
        <f>'e-w'!C54</f>
        <v>467.01165789473686</v>
      </c>
      <c r="D31" s="728">
        <f t="shared" si="0"/>
        <v>0.15</v>
      </c>
      <c r="E31" s="728">
        <f t="shared" si="7"/>
        <v>466.86165789473688</v>
      </c>
      <c r="F31" s="849">
        <f>WIDTH!H32</f>
        <v>100</v>
      </c>
      <c r="G31" s="728">
        <f t="shared" si="8"/>
        <v>10</v>
      </c>
      <c r="H31" s="850">
        <f t="shared" si="9"/>
        <v>110</v>
      </c>
      <c r="I31" s="728">
        <f t="shared" si="10"/>
        <v>2200</v>
      </c>
      <c r="J31" s="728">
        <f t="shared" si="11"/>
        <v>2200</v>
      </c>
      <c r="K31" s="851"/>
      <c r="L31" s="659"/>
      <c r="M31" s="660"/>
      <c r="N31" s="659"/>
      <c r="O31" s="659"/>
      <c r="P31" s="659"/>
      <c r="Q31" s="659"/>
      <c r="R31" s="659"/>
      <c r="S31" s="659"/>
      <c r="T31" s="659"/>
      <c r="U31" s="659"/>
      <c r="V31" s="660"/>
      <c r="W31" s="660"/>
      <c r="X31" s="660"/>
      <c r="Y31" s="660"/>
      <c r="Z31" s="661"/>
      <c r="AA31" s="661"/>
    </row>
    <row r="32" spans="1:27" ht="13.8" x14ac:dyDescent="0.25">
      <c r="A32" s="1011">
        <f>'e-w'!B55</f>
        <v>480</v>
      </c>
      <c r="B32" s="1011">
        <f t="shared" si="6"/>
        <v>20</v>
      </c>
      <c r="C32" s="1033">
        <f>'e-w'!C55</f>
        <v>468.48202597402599</v>
      </c>
      <c r="D32" s="728">
        <f t="shared" si="0"/>
        <v>0.15</v>
      </c>
      <c r="E32" s="728">
        <f t="shared" si="7"/>
        <v>468.33202597402601</v>
      </c>
      <c r="F32" s="849">
        <f>WIDTH!H33</f>
        <v>100</v>
      </c>
      <c r="G32" s="728">
        <f t="shared" si="8"/>
        <v>10</v>
      </c>
      <c r="H32" s="850">
        <f t="shared" si="9"/>
        <v>110</v>
      </c>
      <c r="I32" s="728">
        <f t="shared" si="10"/>
        <v>2200</v>
      </c>
      <c r="J32" s="728">
        <f t="shared" si="11"/>
        <v>2200</v>
      </c>
    </row>
    <row r="33" spans="1:10" ht="13.8" x14ac:dyDescent="0.25">
      <c r="A33" s="1011">
        <f>'e-w'!B56</f>
        <v>500</v>
      </c>
      <c r="B33" s="1011">
        <f t="shared" si="6"/>
        <v>20</v>
      </c>
      <c r="C33" s="1033">
        <f>'e-w'!C56</f>
        <v>471.3044210526316</v>
      </c>
      <c r="D33" s="728">
        <f t="shared" si="0"/>
        <v>0.15</v>
      </c>
      <c r="E33" s="728">
        <f t="shared" si="7"/>
        <v>471.15442105263162</v>
      </c>
      <c r="F33" s="849">
        <f>WIDTH!H34</f>
        <v>100</v>
      </c>
      <c r="G33" s="728">
        <f t="shared" si="8"/>
        <v>10</v>
      </c>
      <c r="H33" s="850">
        <f t="shared" si="9"/>
        <v>110</v>
      </c>
      <c r="I33" s="728">
        <f t="shared" si="10"/>
        <v>2200</v>
      </c>
      <c r="J33" s="728">
        <f t="shared" si="11"/>
        <v>2200</v>
      </c>
    </row>
    <row r="34" spans="1:10" ht="13.8" x14ac:dyDescent="0.25">
      <c r="A34" s="1011">
        <f>'e-w'!B57</f>
        <v>520</v>
      </c>
      <c r="B34" s="1011">
        <f t="shared" si="6"/>
        <v>20</v>
      </c>
      <c r="C34" s="1033">
        <f>'e-w'!C57</f>
        <v>470.79352631578945</v>
      </c>
      <c r="D34" s="728">
        <f t="shared" si="0"/>
        <v>0.15</v>
      </c>
      <c r="E34" s="728">
        <f t="shared" si="7"/>
        <v>470.64352631578947</v>
      </c>
      <c r="F34" s="849">
        <f>WIDTH!H35</f>
        <v>100</v>
      </c>
      <c r="G34" s="728">
        <f t="shared" si="8"/>
        <v>10</v>
      </c>
      <c r="H34" s="850">
        <f t="shared" si="9"/>
        <v>110</v>
      </c>
      <c r="I34" s="728">
        <f t="shared" si="10"/>
        <v>2200</v>
      </c>
      <c r="J34" s="728">
        <f t="shared" si="11"/>
        <v>2200</v>
      </c>
    </row>
    <row r="35" spans="1:10" ht="13.8" x14ac:dyDescent="0.25">
      <c r="A35" s="1011">
        <f>'e-w'!B58</f>
        <v>540</v>
      </c>
      <c r="B35" s="1011">
        <f t="shared" si="6"/>
        <v>20</v>
      </c>
      <c r="C35" s="1033">
        <f>'e-w'!C58</f>
        <v>467.65193421052629</v>
      </c>
      <c r="D35" s="728">
        <f t="shared" si="0"/>
        <v>0.15</v>
      </c>
      <c r="E35" s="728">
        <f t="shared" si="7"/>
        <v>467.50193421052631</v>
      </c>
      <c r="F35" s="849">
        <f>WIDTH!H36</f>
        <v>100</v>
      </c>
      <c r="G35" s="728">
        <f t="shared" si="8"/>
        <v>10</v>
      </c>
      <c r="H35" s="850">
        <f t="shared" si="9"/>
        <v>110</v>
      </c>
      <c r="I35" s="728">
        <f t="shared" si="10"/>
        <v>2200</v>
      </c>
      <c r="J35" s="728">
        <f t="shared" si="11"/>
        <v>2200</v>
      </c>
    </row>
    <row r="36" spans="1:10" ht="13.8" x14ac:dyDescent="0.25">
      <c r="A36" s="1011">
        <f>'e-w'!B59</f>
        <v>560</v>
      </c>
      <c r="B36" s="1011">
        <f t="shared" si="6"/>
        <v>20</v>
      </c>
      <c r="C36" s="1033">
        <f>'e-w'!C59</f>
        <v>468.157974025974</v>
      </c>
      <c r="D36" s="728">
        <f t="shared" si="0"/>
        <v>0.15</v>
      </c>
      <c r="E36" s="728">
        <f t="shared" si="7"/>
        <v>468.00797402597402</v>
      </c>
      <c r="F36" s="849">
        <f>WIDTH!H37</f>
        <v>100</v>
      </c>
      <c r="G36" s="728">
        <f t="shared" si="8"/>
        <v>10</v>
      </c>
      <c r="H36" s="850">
        <f t="shared" si="9"/>
        <v>110</v>
      </c>
      <c r="I36" s="728">
        <f t="shared" si="10"/>
        <v>2200</v>
      </c>
      <c r="J36" s="728">
        <f t="shared" si="11"/>
        <v>2200</v>
      </c>
    </row>
    <row r="37" spans="1:10" ht="13.8" x14ac:dyDescent="0.25">
      <c r="A37" s="1011">
        <f>'e-w'!B60</f>
        <v>580</v>
      </c>
      <c r="B37" s="1011">
        <f t="shared" si="6"/>
        <v>20</v>
      </c>
      <c r="C37" s="1033">
        <f>'e-w'!C60</f>
        <v>471.00294736842108</v>
      </c>
      <c r="D37" s="728">
        <f t="shared" si="0"/>
        <v>0.15</v>
      </c>
      <c r="E37" s="728">
        <f t="shared" si="7"/>
        <v>470.8529473684211</v>
      </c>
      <c r="F37" s="849">
        <f>WIDTH!H38</f>
        <v>100</v>
      </c>
      <c r="G37" s="728">
        <f t="shared" si="8"/>
        <v>10</v>
      </c>
      <c r="H37" s="850">
        <f t="shared" si="9"/>
        <v>110</v>
      </c>
      <c r="I37" s="728">
        <f t="shared" si="10"/>
        <v>2200</v>
      </c>
      <c r="J37" s="728">
        <f t="shared" si="11"/>
        <v>2200</v>
      </c>
    </row>
    <row r="38" spans="1:10" ht="13.8" x14ac:dyDescent="0.25">
      <c r="A38" s="1011">
        <f>'e-w'!B61</f>
        <v>600</v>
      </c>
      <c r="B38" s="1011">
        <f t="shared" si="6"/>
        <v>20</v>
      </c>
      <c r="C38" s="1033">
        <f>'e-w'!C61</f>
        <v>470.72336842105267</v>
      </c>
      <c r="D38" s="728">
        <f t="shared" si="0"/>
        <v>0.15</v>
      </c>
      <c r="E38" s="728">
        <f t="shared" si="7"/>
        <v>470.57336842105269</v>
      </c>
      <c r="F38" s="849">
        <f>WIDTH!H39</f>
        <v>100</v>
      </c>
      <c r="G38" s="728">
        <f t="shared" si="8"/>
        <v>10</v>
      </c>
      <c r="H38" s="850">
        <f t="shared" si="9"/>
        <v>110</v>
      </c>
      <c r="I38" s="728">
        <f t="shared" si="10"/>
        <v>2200</v>
      </c>
      <c r="J38" s="728">
        <f t="shared" si="11"/>
        <v>2200</v>
      </c>
    </row>
    <row r="39" spans="1:10" ht="13.8" x14ac:dyDescent="0.25">
      <c r="A39" s="1011">
        <f>'e-w'!B62</f>
        <v>620</v>
      </c>
      <c r="B39" s="1011">
        <f t="shared" si="6"/>
        <v>20</v>
      </c>
      <c r="C39" s="1033">
        <f>'e-w'!C62</f>
        <v>472.39347368421051</v>
      </c>
      <c r="D39" s="728">
        <f t="shared" si="0"/>
        <v>0.15</v>
      </c>
      <c r="E39" s="728">
        <f t="shared" si="7"/>
        <v>472.24347368421053</v>
      </c>
      <c r="F39" s="849">
        <f>WIDTH!H40</f>
        <v>100</v>
      </c>
      <c r="G39" s="728">
        <f t="shared" si="8"/>
        <v>10</v>
      </c>
      <c r="H39" s="850">
        <f t="shared" si="9"/>
        <v>110</v>
      </c>
      <c r="I39" s="728">
        <f t="shared" si="10"/>
        <v>2200</v>
      </c>
      <c r="J39" s="728">
        <f t="shared" si="11"/>
        <v>2200</v>
      </c>
    </row>
    <row r="40" spans="1:10" ht="13.8" x14ac:dyDescent="0.25">
      <c r="A40" s="1011">
        <f>'e-w'!B63</f>
        <v>640</v>
      </c>
      <c r="B40" s="1011">
        <f t="shared" si="6"/>
        <v>20</v>
      </c>
      <c r="C40" s="1033">
        <f>'e-w'!C63</f>
        <v>473.79128947368423</v>
      </c>
      <c r="D40" s="728">
        <f t="shared" si="0"/>
        <v>0.15</v>
      </c>
      <c r="E40" s="728">
        <f t="shared" si="7"/>
        <v>473.64128947368425</v>
      </c>
      <c r="F40" s="849">
        <f>WIDTH!H41</f>
        <v>100</v>
      </c>
      <c r="G40" s="728">
        <f t="shared" si="8"/>
        <v>10</v>
      </c>
      <c r="H40" s="850">
        <f t="shared" si="9"/>
        <v>110</v>
      </c>
      <c r="I40" s="728">
        <f t="shared" si="10"/>
        <v>2200</v>
      </c>
      <c r="J40" s="728">
        <f t="shared" si="11"/>
        <v>2200</v>
      </c>
    </row>
    <row r="41" spans="1:10" ht="13.8" x14ac:dyDescent="0.25">
      <c r="A41" s="1011">
        <f>'e-w'!B64</f>
        <v>660</v>
      </c>
      <c r="B41" s="1011">
        <f t="shared" si="6"/>
        <v>20</v>
      </c>
      <c r="C41" s="1033">
        <f>'e-w'!C64</f>
        <v>473.54386842105259</v>
      </c>
      <c r="D41" s="728">
        <f t="shared" si="0"/>
        <v>0.15</v>
      </c>
      <c r="E41" s="728">
        <f t="shared" si="7"/>
        <v>473.39386842105262</v>
      </c>
      <c r="F41" s="849">
        <f>WIDTH!H42</f>
        <v>100</v>
      </c>
      <c r="G41" s="728">
        <f t="shared" si="8"/>
        <v>10</v>
      </c>
      <c r="H41" s="850">
        <f t="shared" si="9"/>
        <v>110</v>
      </c>
      <c r="I41" s="728">
        <f t="shared" si="10"/>
        <v>2200</v>
      </c>
      <c r="J41" s="728">
        <f t="shared" si="11"/>
        <v>2200</v>
      </c>
    </row>
    <row r="42" spans="1:10" ht="13.8" x14ac:dyDescent="0.25">
      <c r="A42" s="1011">
        <f>'e-w'!B65</f>
        <v>680</v>
      </c>
      <c r="B42" s="1011">
        <f t="shared" si="6"/>
        <v>20</v>
      </c>
      <c r="C42" s="1033">
        <f>'e-w'!C65</f>
        <v>476.3522631578947</v>
      </c>
      <c r="D42" s="728">
        <f t="shared" si="0"/>
        <v>0.15</v>
      </c>
      <c r="E42" s="728">
        <f t="shared" si="7"/>
        <v>476.20226315789472</v>
      </c>
      <c r="F42" s="849">
        <f>WIDTH!H43</f>
        <v>100</v>
      </c>
      <c r="G42" s="728">
        <f t="shared" si="8"/>
        <v>10</v>
      </c>
      <c r="H42" s="850">
        <f t="shared" si="9"/>
        <v>110</v>
      </c>
      <c r="I42" s="728">
        <f t="shared" si="10"/>
        <v>2200</v>
      </c>
      <c r="J42" s="728">
        <f t="shared" si="11"/>
        <v>2200</v>
      </c>
    </row>
    <row r="43" spans="1:10" ht="13.8" x14ac:dyDescent="0.25">
      <c r="A43" s="1011">
        <f>'e-w'!B66</f>
        <v>700</v>
      </c>
      <c r="B43" s="1011">
        <f t="shared" si="6"/>
        <v>20</v>
      </c>
      <c r="C43" s="1033">
        <f>'e-w'!C66</f>
        <v>476.68867105263155</v>
      </c>
      <c r="D43" s="728">
        <f t="shared" si="0"/>
        <v>0.15</v>
      </c>
      <c r="E43" s="728">
        <f t="shared" si="7"/>
        <v>476.53867105263157</v>
      </c>
      <c r="F43" s="849">
        <f>WIDTH!H44</f>
        <v>100</v>
      </c>
      <c r="G43" s="728">
        <f t="shared" si="8"/>
        <v>10</v>
      </c>
      <c r="H43" s="850">
        <f t="shared" si="9"/>
        <v>110</v>
      </c>
      <c r="I43" s="728">
        <f t="shared" si="10"/>
        <v>2200</v>
      </c>
      <c r="J43" s="728">
        <f t="shared" si="11"/>
        <v>2200</v>
      </c>
    </row>
    <row r="44" spans="1:10" ht="13.8" x14ac:dyDescent="0.25">
      <c r="A44" s="1011">
        <f>'e-w'!B67</f>
        <v>720</v>
      </c>
      <c r="B44" s="1011">
        <f t="shared" si="6"/>
        <v>20</v>
      </c>
      <c r="C44" s="1033">
        <f>'e-w'!C67</f>
        <v>476.85950000000003</v>
      </c>
      <c r="D44" s="728">
        <f t="shared" si="0"/>
        <v>0.15</v>
      </c>
      <c r="E44" s="728">
        <f t="shared" si="7"/>
        <v>476.70950000000005</v>
      </c>
      <c r="F44" s="849">
        <f>WIDTH!H45</f>
        <v>100</v>
      </c>
      <c r="G44" s="728">
        <f t="shared" si="8"/>
        <v>10</v>
      </c>
      <c r="H44" s="850">
        <f t="shared" si="9"/>
        <v>110</v>
      </c>
      <c r="I44" s="728">
        <f t="shared" si="10"/>
        <v>2200</v>
      </c>
      <c r="J44" s="728">
        <f t="shared" si="11"/>
        <v>2200</v>
      </c>
    </row>
    <row r="45" spans="1:10" ht="13.8" x14ac:dyDescent="0.25">
      <c r="A45" s="1011">
        <f>'e-w'!B68</f>
        <v>740</v>
      </c>
      <c r="B45" s="1011">
        <f t="shared" si="6"/>
        <v>20</v>
      </c>
      <c r="C45" s="1033">
        <f>'e-w'!C68</f>
        <v>477.35500000000002</v>
      </c>
      <c r="D45" s="728">
        <f t="shared" si="0"/>
        <v>0.15</v>
      </c>
      <c r="E45" s="728">
        <f t="shared" si="7"/>
        <v>477.20500000000004</v>
      </c>
      <c r="F45" s="849">
        <f>WIDTH!H46</f>
        <v>100</v>
      </c>
      <c r="G45" s="728">
        <f t="shared" si="8"/>
        <v>10</v>
      </c>
      <c r="H45" s="850">
        <f t="shared" si="9"/>
        <v>110</v>
      </c>
      <c r="I45" s="728">
        <f t="shared" si="10"/>
        <v>2200</v>
      </c>
      <c r="J45" s="728">
        <f t="shared" si="11"/>
        <v>2200</v>
      </c>
    </row>
    <row r="46" spans="1:10" ht="13.8" x14ac:dyDescent="0.3">
      <c r="A46" s="852"/>
      <c r="B46" s="745"/>
      <c r="C46" s="745"/>
      <c r="D46" s="745"/>
      <c r="E46" s="569"/>
      <c r="F46" s="569"/>
      <c r="G46" s="569"/>
      <c r="H46" s="569"/>
      <c r="I46" s="569" t="s">
        <v>15</v>
      </c>
      <c r="J46" s="853">
        <f>SUM(J9:J45)</f>
        <v>80300</v>
      </c>
    </row>
    <row r="47" spans="1:10" ht="13.8" x14ac:dyDescent="0.3">
      <c r="A47" s="854" t="s">
        <v>444</v>
      </c>
      <c r="B47" s="855" t="s">
        <v>534</v>
      </c>
      <c r="C47" s="855"/>
      <c r="D47" s="855"/>
      <c r="E47" s="569"/>
      <c r="F47" s="829" t="s">
        <v>114</v>
      </c>
      <c r="G47" s="1365">
        <f>J46</f>
        <v>80300</v>
      </c>
      <c r="H47" s="1365"/>
      <c r="I47" s="569"/>
      <c r="J47" s="745"/>
    </row>
    <row r="48" spans="1:10" ht="13.8" x14ac:dyDescent="0.3">
      <c r="A48" s="852"/>
      <c r="B48" s="855"/>
      <c r="C48" s="855"/>
      <c r="D48" s="855"/>
      <c r="E48" s="569"/>
      <c r="F48" s="829"/>
      <c r="G48" s="856"/>
      <c r="H48" s="856"/>
      <c r="I48" s="569"/>
      <c r="J48" s="745"/>
    </row>
    <row r="49" spans="1:10" ht="13.8" x14ac:dyDescent="0.3">
      <c r="B49" s="857">
        <v>0.4</v>
      </c>
      <c r="C49" s="855" t="s">
        <v>535</v>
      </c>
      <c r="D49" s="855"/>
      <c r="E49" s="745"/>
      <c r="F49" s="829" t="s">
        <v>114</v>
      </c>
      <c r="G49" s="1365">
        <f>G47*B49</f>
        <v>32120</v>
      </c>
      <c r="H49" s="1365"/>
      <c r="I49" s="1366"/>
      <c r="J49" s="1366"/>
    </row>
    <row r="50" spans="1:10" ht="13.8" x14ac:dyDescent="0.3">
      <c r="A50" s="852"/>
      <c r="B50" s="857">
        <v>0.4</v>
      </c>
      <c r="C50" s="855" t="s">
        <v>536</v>
      </c>
      <c r="D50" s="745"/>
      <c r="E50" s="745"/>
      <c r="F50" s="829" t="s">
        <v>114</v>
      </c>
      <c r="G50" s="1365">
        <f>G47*B50</f>
        <v>32120</v>
      </c>
      <c r="H50" s="1365"/>
      <c r="I50" s="745"/>
      <c r="J50" s="750"/>
    </row>
    <row r="51" spans="1:10" ht="13.8" x14ac:dyDescent="0.3">
      <c r="B51" s="857">
        <v>0.2</v>
      </c>
      <c r="C51" s="855" t="s">
        <v>537</v>
      </c>
      <c r="F51" s="829" t="s">
        <v>114</v>
      </c>
      <c r="G51" s="1365">
        <f>G47*B51</f>
        <v>16060</v>
      </c>
      <c r="H51" s="1365"/>
    </row>
    <row r="54" spans="1:10" ht="13.8" x14ac:dyDescent="0.25">
      <c r="A54" s="859"/>
      <c r="B54" s="860"/>
      <c r="C54" s="861" t="e">
        <f>WIDTH!B52</f>
        <v>#REF!</v>
      </c>
      <c r="D54" s="862"/>
      <c r="E54" s="863"/>
      <c r="F54" s="864"/>
      <c r="G54" s="864"/>
      <c r="H54" s="865">
        <f>WIDTH!I52</f>
        <v>0</v>
      </c>
    </row>
    <row r="55" spans="1:10" ht="13.8" x14ac:dyDescent="0.25">
      <c r="A55" s="859"/>
      <c r="B55" s="860"/>
      <c r="C55" s="861" t="e">
        <f>WIDTH!B53</f>
        <v>#REF!</v>
      </c>
      <c r="D55" s="862"/>
      <c r="E55" s="863"/>
      <c r="F55" s="864"/>
      <c r="G55" s="864"/>
      <c r="H55" s="865">
        <f>WIDTH!I53</f>
        <v>0</v>
      </c>
    </row>
    <row r="56" spans="1:10" ht="13.8" x14ac:dyDescent="0.25">
      <c r="A56" s="859"/>
      <c r="B56" s="866"/>
      <c r="C56" s="861" t="e">
        <f>WIDTH!B54</f>
        <v>#REF!</v>
      </c>
      <c r="D56" s="867"/>
      <c r="E56" s="863"/>
      <c r="F56" s="864"/>
      <c r="G56" s="864"/>
      <c r="H56" s="865">
        <f>WIDTH!I54</f>
        <v>0</v>
      </c>
    </row>
    <row r="57" spans="1:10" ht="13.8" x14ac:dyDescent="0.25">
      <c r="A57" s="859"/>
      <c r="B57" s="859"/>
      <c r="C57" s="859"/>
      <c r="D57" s="859"/>
      <c r="E57" s="868"/>
      <c r="F57" s="869"/>
      <c r="G57" s="869"/>
      <c r="H57" s="869"/>
    </row>
  </sheetData>
  <customSheetViews>
    <customSheetView guid="{5161B42F-120B-436B-80F4-9BB578173AD5}" scale="85" topLeftCell="A7">
      <selection activeCell="D30" sqref="D30"/>
      <pageMargins left="0.70866141732283505" right="0.70866141732283505" top="0.74803149606299202" bottom="0.74803149606299202" header="0.31496062992126" footer="0.31496062992126"/>
      <printOptions horizontalCentered="1"/>
      <pageSetup scale="90" fitToHeight="6" orientation="portrait" r:id="rId1"/>
      <headerFooter>
        <oddFooter>&amp;R&amp;P</oddFooter>
      </headerFooter>
    </customSheetView>
  </customSheetViews>
  <mergeCells count="8">
    <mergeCell ref="G49:H49"/>
    <mergeCell ref="I49:J49"/>
    <mergeCell ref="G50:H50"/>
    <mergeCell ref="G51:H51"/>
    <mergeCell ref="A1:J1"/>
    <mergeCell ref="H2:J2"/>
    <mergeCell ref="A3:J3"/>
    <mergeCell ref="G47:H47"/>
  </mergeCells>
  <printOptions horizontalCentered="1"/>
  <pageMargins left="0.70866141732283505" right="0.70866141732283505" top="0.74803149606299202" bottom="0.74803149606299202" header="0.31496062992126" footer="0.31496062992126"/>
  <pageSetup scale="90" fitToHeight="6" orientation="portrait" r:id="rId2"/>
  <headerFooter>
    <oddFooter>&amp;R&amp;P</oddFooter>
  </headerFooter>
  <rowBreaks count="1" manualBreakCount="1">
    <brk id="34"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65"/>
  <sheetViews>
    <sheetView view="pageBreakPreview" topLeftCell="B1" zoomScale="60" zoomScaleNormal="70" workbookViewId="0">
      <selection activeCell="N3" sqref="N3"/>
    </sheetView>
  </sheetViews>
  <sheetFormatPr defaultRowHeight="15.6" x14ac:dyDescent="0.3"/>
  <cols>
    <col min="1" max="1" width="8.88671875" style="615"/>
    <col min="2" max="2" width="10.44140625" style="615" bestFit="1" customWidth="1"/>
    <col min="3" max="3" width="8.88671875" style="615"/>
    <col min="4" max="4" width="7.6640625" style="615" customWidth="1"/>
    <col min="5" max="5" width="11.109375" style="615" customWidth="1"/>
    <col min="6" max="6" width="6.5546875" style="615" customWidth="1"/>
    <col min="7" max="7" width="9.5546875" style="615" customWidth="1"/>
    <col min="8" max="8" width="8.5546875" style="615" customWidth="1"/>
    <col min="9" max="9" width="12.33203125" style="615" customWidth="1"/>
    <col min="10" max="10" width="10.44140625" style="615" customWidth="1"/>
    <col min="11" max="11" width="11.6640625" style="615" customWidth="1"/>
    <col min="12" max="12" width="10.6640625" style="615" customWidth="1"/>
    <col min="13" max="13" width="11.5546875" style="615" customWidth="1"/>
    <col min="14" max="14" width="11.6640625" style="615" customWidth="1"/>
    <col min="15" max="15" width="9.33203125" style="615" bestFit="1" customWidth="1"/>
    <col min="16" max="16" width="14" style="615" customWidth="1"/>
    <col min="17" max="17" width="9.33203125" style="615" bestFit="1" customWidth="1"/>
    <col min="18" max="256" width="8.88671875" style="615"/>
    <col min="257" max="257" width="10.33203125" style="615" customWidth="1"/>
    <col min="258" max="263" width="18" style="615" customWidth="1"/>
    <col min="264" max="264" width="12.6640625" style="615" customWidth="1"/>
    <col min="265" max="265" width="10.6640625" style="615" customWidth="1"/>
    <col min="266" max="266" width="13" style="615" customWidth="1"/>
    <col min="267" max="267" width="11.6640625" style="615" customWidth="1"/>
    <col min="268" max="270" width="9.33203125" style="615" bestFit="1" customWidth="1"/>
    <col min="271" max="512" width="8.88671875" style="615"/>
    <col min="513" max="513" width="10.33203125" style="615" customWidth="1"/>
    <col min="514" max="519" width="18" style="615" customWidth="1"/>
    <col min="520" max="520" width="12.6640625" style="615" customWidth="1"/>
    <col min="521" max="521" width="10.6640625" style="615" customWidth="1"/>
    <col min="522" max="522" width="13" style="615" customWidth="1"/>
    <col min="523" max="523" width="11.6640625" style="615" customWidth="1"/>
    <col min="524" max="526" width="9.33203125" style="615" bestFit="1" customWidth="1"/>
    <col min="527" max="768" width="8.88671875" style="615"/>
    <col min="769" max="769" width="10.33203125" style="615" customWidth="1"/>
    <col min="770" max="775" width="18" style="615" customWidth="1"/>
    <col min="776" max="776" width="12.6640625" style="615" customWidth="1"/>
    <col min="777" max="777" width="10.6640625" style="615" customWidth="1"/>
    <col min="778" max="778" width="13" style="615" customWidth="1"/>
    <col min="779" max="779" width="11.6640625" style="615" customWidth="1"/>
    <col min="780" max="782" width="9.33203125" style="615" bestFit="1" customWidth="1"/>
    <col min="783" max="1024" width="8.88671875" style="615"/>
    <col min="1025" max="1025" width="10.33203125" style="615" customWidth="1"/>
    <col min="1026" max="1031" width="18" style="615" customWidth="1"/>
    <col min="1032" max="1032" width="12.6640625" style="615" customWidth="1"/>
    <col min="1033" max="1033" width="10.6640625" style="615" customWidth="1"/>
    <col min="1034" max="1034" width="13" style="615" customWidth="1"/>
    <col min="1035" max="1035" width="11.6640625" style="615" customWidth="1"/>
    <col min="1036" max="1038" width="9.33203125" style="615" bestFit="1" customWidth="1"/>
    <col min="1039" max="1280" width="8.88671875" style="615"/>
    <col min="1281" max="1281" width="10.33203125" style="615" customWidth="1"/>
    <col min="1282" max="1287" width="18" style="615" customWidth="1"/>
    <col min="1288" max="1288" width="12.6640625" style="615" customWidth="1"/>
    <col min="1289" max="1289" width="10.6640625" style="615" customWidth="1"/>
    <col min="1290" max="1290" width="13" style="615" customWidth="1"/>
    <col min="1291" max="1291" width="11.6640625" style="615" customWidth="1"/>
    <col min="1292" max="1294" width="9.33203125" style="615" bestFit="1" customWidth="1"/>
    <col min="1295" max="1536" width="8.88671875" style="615"/>
    <col min="1537" max="1537" width="10.33203125" style="615" customWidth="1"/>
    <col min="1538" max="1543" width="18" style="615" customWidth="1"/>
    <col min="1544" max="1544" width="12.6640625" style="615" customWidth="1"/>
    <col min="1545" max="1545" width="10.6640625" style="615" customWidth="1"/>
    <col min="1546" max="1546" width="13" style="615" customWidth="1"/>
    <col min="1547" max="1547" width="11.6640625" style="615" customWidth="1"/>
    <col min="1548" max="1550" width="9.33203125" style="615" bestFit="1" customWidth="1"/>
    <col min="1551" max="1792" width="8.88671875" style="615"/>
    <col min="1793" max="1793" width="10.33203125" style="615" customWidth="1"/>
    <col min="1794" max="1799" width="18" style="615" customWidth="1"/>
    <col min="1800" max="1800" width="12.6640625" style="615" customWidth="1"/>
    <col min="1801" max="1801" width="10.6640625" style="615" customWidth="1"/>
    <col min="1802" max="1802" width="13" style="615" customWidth="1"/>
    <col min="1803" max="1803" width="11.6640625" style="615" customWidth="1"/>
    <col min="1804" max="1806" width="9.33203125" style="615" bestFit="1" customWidth="1"/>
    <col min="1807" max="2048" width="8.88671875" style="615"/>
    <col min="2049" max="2049" width="10.33203125" style="615" customWidth="1"/>
    <col min="2050" max="2055" width="18" style="615" customWidth="1"/>
    <col min="2056" max="2056" width="12.6640625" style="615" customWidth="1"/>
    <col min="2057" max="2057" width="10.6640625" style="615" customWidth="1"/>
    <col min="2058" max="2058" width="13" style="615" customWidth="1"/>
    <col min="2059" max="2059" width="11.6640625" style="615" customWidth="1"/>
    <col min="2060" max="2062" width="9.33203125" style="615" bestFit="1" customWidth="1"/>
    <col min="2063" max="2304" width="8.88671875" style="615"/>
    <col min="2305" max="2305" width="10.33203125" style="615" customWidth="1"/>
    <col min="2306" max="2311" width="18" style="615" customWidth="1"/>
    <col min="2312" max="2312" width="12.6640625" style="615" customWidth="1"/>
    <col min="2313" max="2313" width="10.6640625" style="615" customWidth="1"/>
    <col min="2314" max="2314" width="13" style="615" customWidth="1"/>
    <col min="2315" max="2315" width="11.6640625" style="615" customWidth="1"/>
    <col min="2316" max="2318" width="9.33203125" style="615" bestFit="1" customWidth="1"/>
    <col min="2319" max="2560" width="8.88671875" style="615"/>
    <col min="2561" max="2561" width="10.33203125" style="615" customWidth="1"/>
    <col min="2562" max="2567" width="18" style="615" customWidth="1"/>
    <col min="2568" max="2568" width="12.6640625" style="615" customWidth="1"/>
    <col min="2569" max="2569" width="10.6640625" style="615" customWidth="1"/>
    <col min="2570" max="2570" width="13" style="615" customWidth="1"/>
    <col min="2571" max="2571" width="11.6640625" style="615" customWidth="1"/>
    <col min="2572" max="2574" width="9.33203125" style="615" bestFit="1" customWidth="1"/>
    <col min="2575" max="2816" width="8.88671875" style="615"/>
    <col min="2817" max="2817" width="10.33203125" style="615" customWidth="1"/>
    <col min="2818" max="2823" width="18" style="615" customWidth="1"/>
    <col min="2824" max="2824" width="12.6640625" style="615" customWidth="1"/>
    <col min="2825" max="2825" width="10.6640625" style="615" customWidth="1"/>
    <col min="2826" max="2826" width="13" style="615" customWidth="1"/>
    <col min="2827" max="2827" width="11.6640625" style="615" customWidth="1"/>
    <col min="2828" max="2830" width="9.33203125" style="615" bestFit="1" customWidth="1"/>
    <col min="2831" max="3072" width="8.88671875" style="615"/>
    <col min="3073" max="3073" width="10.33203125" style="615" customWidth="1"/>
    <col min="3074" max="3079" width="18" style="615" customWidth="1"/>
    <col min="3080" max="3080" width="12.6640625" style="615" customWidth="1"/>
    <col min="3081" max="3081" width="10.6640625" style="615" customWidth="1"/>
    <col min="3082" max="3082" width="13" style="615" customWidth="1"/>
    <col min="3083" max="3083" width="11.6640625" style="615" customWidth="1"/>
    <col min="3084" max="3086" width="9.33203125" style="615" bestFit="1" customWidth="1"/>
    <col min="3087" max="3328" width="8.88671875" style="615"/>
    <col min="3329" max="3329" width="10.33203125" style="615" customWidth="1"/>
    <col min="3330" max="3335" width="18" style="615" customWidth="1"/>
    <col min="3336" max="3336" width="12.6640625" style="615" customWidth="1"/>
    <col min="3337" max="3337" width="10.6640625" style="615" customWidth="1"/>
    <col min="3338" max="3338" width="13" style="615" customWidth="1"/>
    <col min="3339" max="3339" width="11.6640625" style="615" customWidth="1"/>
    <col min="3340" max="3342" width="9.33203125" style="615" bestFit="1" customWidth="1"/>
    <col min="3343" max="3584" width="8.88671875" style="615"/>
    <col min="3585" max="3585" width="10.33203125" style="615" customWidth="1"/>
    <col min="3586" max="3591" width="18" style="615" customWidth="1"/>
    <col min="3592" max="3592" width="12.6640625" style="615" customWidth="1"/>
    <col min="3593" max="3593" width="10.6640625" style="615" customWidth="1"/>
    <col min="3594" max="3594" width="13" style="615" customWidth="1"/>
    <col min="3595" max="3595" width="11.6640625" style="615" customWidth="1"/>
    <col min="3596" max="3598" width="9.33203125" style="615" bestFit="1" customWidth="1"/>
    <col min="3599" max="3840" width="8.88671875" style="615"/>
    <col min="3841" max="3841" width="10.33203125" style="615" customWidth="1"/>
    <col min="3842" max="3847" width="18" style="615" customWidth="1"/>
    <col min="3848" max="3848" width="12.6640625" style="615" customWidth="1"/>
    <col min="3849" max="3849" width="10.6640625" style="615" customWidth="1"/>
    <col min="3850" max="3850" width="13" style="615" customWidth="1"/>
    <col min="3851" max="3851" width="11.6640625" style="615" customWidth="1"/>
    <col min="3852" max="3854" width="9.33203125" style="615" bestFit="1" customWidth="1"/>
    <col min="3855" max="4096" width="8.88671875" style="615"/>
    <col min="4097" max="4097" width="10.33203125" style="615" customWidth="1"/>
    <col min="4098" max="4103" width="18" style="615" customWidth="1"/>
    <col min="4104" max="4104" width="12.6640625" style="615" customWidth="1"/>
    <col min="4105" max="4105" width="10.6640625" style="615" customWidth="1"/>
    <col min="4106" max="4106" width="13" style="615" customWidth="1"/>
    <col min="4107" max="4107" width="11.6640625" style="615" customWidth="1"/>
    <col min="4108" max="4110" width="9.33203125" style="615" bestFit="1" customWidth="1"/>
    <col min="4111" max="4352" width="8.88671875" style="615"/>
    <col min="4353" max="4353" width="10.33203125" style="615" customWidth="1"/>
    <col min="4354" max="4359" width="18" style="615" customWidth="1"/>
    <col min="4360" max="4360" width="12.6640625" style="615" customWidth="1"/>
    <col min="4361" max="4361" width="10.6640625" style="615" customWidth="1"/>
    <col min="4362" max="4362" width="13" style="615" customWidth="1"/>
    <col min="4363" max="4363" width="11.6640625" style="615" customWidth="1"/>
    <col min="4364" max="4366" width="9.33203125" style="615" bestFit="1" customWidth="1"/>
    <col min="4367" max="4608" width="8.88671875" style="615"/>
    <col min="4609" max="4609" width="10.33203125" style="615" customWidth="1"/>
    <col min="4610" max="4615" width="18" style="615" customWidth="1"/>
    <col min="4616" max="4616" width="12.6640625" style="615" customWidth="1"/>
    <col min="4617" max="4617" width="10.6640625" style="615" customWidth="1"/>
    <col min="4618" max="4618" width="13" style="615" customWidth="1"/>
    <col min="4619" max="4619" width="11.6640625" style="615" customWidth="1"/>
    <col min="4620" max="4622" width="9.33203125" style="615" bestFit="1" customWidth="1"/>
    <col min="4623" max="4864" width="8.88671875" style="615"/>
    <col min="4865" max="4865" width="10.33203125" style="615" customWidth="1"/>
    <col min="4866" max="4871" width="18" style="615" customWidth="1"/>
    <col min="4872" max="4872" width="12.6640625" style="615" customWidth="1"/>
    <col min="4873" max="4873" width="10.6640625" style="615" customWidth="1"/>
    <col min="4874" max="4874" width="13" style="615" customWidth="1"/>
    <col min="4875" max="4875" width="11.6640625" style="615" customWidth="1"/>
    <col min="4876" max="4878" width="9.33203125" style="615" bestFit="1" customWidth="1"/>
    <col min="4879" max="5120" width="8.88671875" style="615"/>
    <col min="5121" max="5121" width="10.33203125" style="615" customWidth="1"/>
    <col min="5122" max="5127" width="18" style="615" customWidth="1"/>
    <col min="5128" max="5128" width="12.6640625" style="615" customWidth="1"/>
    <col min="5129" max="5129" width="10.6640625" style="615" customWidth="1"/>
    <col min="5130" max="5130" width="13" style="615" customWidth="1"/>
    <col min="5131" max="5131" width="11.6640625" style="615" customWidth="1"/>
    <col min="5132" max="5134" width="9.33203125" style="615" bestFit="1" customWidth="1"/>
    <col min="5135" max="5376" width="8.88671875" style="615"/>
    <col min="5377" max="5377" width="10.33203125" style="615" customWidth="1"/>
    <col min="5378" max="5383" width="18" style="615" customWidth="1"/>
    <col min="5384" max="5384" width="12.6640625" style="615" customWidth="1"/>
    <col min="5385" max="5385" width="10.6640625" style="615" customWidth="1"/>
    <col min="5386" max="5386" width="13" style="615" customWidth="1"/>
    <col min="5387" max="5387" width="11.6640625" style="615" customWidth="1"/>
    <col min="5388" max="5390" width="9.33203125" style="615" bestFit="1" customWidth="1"/>
    <col min="5391" max="5632" width="8.88671875" style="615"/>
    <col min="5633" max="5633" width="10.33203125" style="615" customWidth="1"/>
    <col min="5634" max="5639" width="18" style="615" customWidth="1"/>
    <col min="5640" max="5640" width="12.6640625" style="615" customWidth="1"/>
    <col min="5641" max="5641" width="10.6640625" style="615" customWidth="1"/>
    <col min="5642" max="5642" width="13" style="615" customWidth="1"/>
    <col min="5643" max="5643" width="11.6640625" style="615" customWidth="1"/>
    <col min="5644" max="5646" width="9.33203125" style="615" bestFit="1" customWidth="1"/>
    <col min="5647" max="5888" width="8.88671875" style="615"/>
    <col min="5889" max="5889" width="10.33203125" style="615" customWidth="1"/>
    <col min="5890" max="5895" width="18" style="615" customWidth="1"/>
    <col min="5896" max="5896" width="12.6640625" style="615" customWidth="1"/>
    <col min="5897" max="5897" width="10.6640625" style="615" customWidth="1"/>
    <col min="5898" max="5898" width="13" style="615" customWidth="1"/>
    <col min="5899" max="5899" width="11.6640625" style="615" customWidth="1"/>
    <col min="5900" max="5902" width="9.33203125" style="615" bestFit="1" customWidth="1"/>
    <col min="5903" max="6144" width="8.88671875" style="615"/>
    <col min="6145" max="6145" width="10.33203125" style="615" customWidth="1"/>
    <col min="6146" max="6151" width="18" style="615" customWidth="1"/>
    <col min="6152" max="6152" width="12.6640625" style="615" customWidth="1"/>
    <col min="6153" max="6153" width="10.6640625" style="615" customWidth="1"/>
    <col min="6154" max="6154" width="13" style="615" customWidth="1"/>
    <col min="6155" max="6155" width="11.6640625" style="615" customWidth="1"/>
    <col min="6156" max="6158" width="9.33203125" style="615" bestFit="1" customWidth="1"/>
    <col min="6159" max="6400" width="8.88671875" style="615"/>
    <col min="6401" max="6401" width="10.33203125" style="615" customWidth="1"/>
    <col min="6402" max="6407" width="18" style="615" customWidth="1"/>
    <col min="6408" max="6408" width="12.6640625" style="615" customWidth="1"/>
    <col min="6409" max="6409" width="10.6640625" style="615" customWidth="1"/>
    <col min="6410" max="6410" width="13" style="615" customWidth="1"/>
    <col min="6411" max="6411" width="11.6640625" style="615" customWidth="1"/>
    <col min="6412" max="6414" width="9.33203125" style="615" bestFit="1" customWidth="1"/>
    <col min="6415" max="6656" width="8.88671875" style="615"/>
    <col min="6657" max="6657" width="10.33203125" style="615" customWidth="1"/>
    <col min="6658" max="6663" width="18" style="615" customWidth="1"/>
    <col min="6664" max="6664" width="12.6640625" style="615" customWidth="1"/>
    <col min="6665" max="6665" width="10.6640625" style="615" customWidth="1"/>
    <col min="6666" max="6666" width="13" style="615" customWidth="1"/>
    <col min="6667" max="6667" width="11.6640625" style="615" customWidth="1"/>
    <col min="6668" max="6670" width="9.33203125" style="615" bestFit="1" customWidth="1"/>
    <col min="6671" max="6912" width="8.88671875" style="615"/>
    <col min="6913" max="6913" width="10.33203125" style="615" customWidth="1"/>
    <col min="6914" max="6919" width="18" style="615" customWidth="1"/>
    <col min="6920" max="6920" width="12.6640625" style="615" customWidth="1"/>
    <col min="6921" max="6921" width="10.6640625" style="615" customWidth="1"/>
    <col min="6922" max="6922" width="13" style="615" customWidth="1"/>
    <col min="6923" max="6923" width="11.6640625" style="615" customWidth="1"/>
    <col min="6924" max="6926" width="9.33203125" style="615" bestFit="1" customWidth="1"/>
    <col min="6927" max="7168" width="8.88671875" style="615"/>
    <col min="7169" max="7169" width="10.33203125" style="615" customWidth="1"/>
    <col min="7170" max="7175" width="18" style="615" customWidth="1"/>
    <col min="7176" max="7176" width="12.6640625" style="615" customWidth="1"/>
    <col min="7177" max="7177" width="10.6640625" style="615" customWidth="1"/>
    <col min="7178" max="7178" width="13" style="615" customWidth="1"/>
    <col min="7179" max="7179" width="11.6640625" style="615" customWidth="1"/>
    <col min="7180" max="7182" width="9.33203125" style="615" bestFit="1" customWidth="1"/>
    <col min="7183" max="7424" width="8.88671875" style="615"/>
    <col min="7425" max="7425" width="10.33203125" style="615" customWidth="1"/>
    <col min="7426" max="7431" width="18" style="615" customWidth="1"/>
    <col min="7432" max="7432" width="12.6640625" style="615" customWidth="1"/>
    <col min="7433" max="7433" width="10.6640625" style="615" customWidth="1"/>
    <col min="7434" max="7434" width="13" style="615" customWidth="1"/>
    <col min="7435" max="7435" width="11.6640625" style="615" customWidth="1"/>
    <col min="7436" max="7438" width="9.33203125" style="615" bestFit="1" customWidth="1"/>
    <col min="7439" max="7680" width="8.88671875" style="615"/>
    <col min="7681" max="7681" width="10.33203125" style="615" customWidth="1"/>
    <col min="7682" max="7687" width="18" style="615" customWidth="1"/>
    <col min="7688" max="7688" width="12.6640625" style="615" customWidth="1"/>
    <col min="7689" max="7689" width="10.6640625" style="615" customWidth="1"/>
    <col min="7690" max="7690" width="13" style="615" customWidth="1"/>
    <col min="7691" max="7691" width="11.6640625" style="615" customWidth="1"/>
    <col min="7692" max="7694" width="9.33203125" style="615" bestFit="1" customWidth="1"/>
    <col min="7695" max="7936" width="8.88671875" style="615"/>
    <col min="7937" max="7937" width="10.33203125" style="615" customWidth="1"/>
    <col min="7938" max="7943" width="18" style="615" customWidth="1"/>
    <col min="7944" max="7944" width="12.6640625" style="615" customWidth="1"/>
    <col min="7945" max="7945" width="10.6640625" style="615" customWidth="1"/>
    <col min="7946" max="7946" width="13" style="615" customWidth="1"/>
    <col min="7947" max="7947" width="11.6640625" style="615" customWidth="1"/>
    <col min="7948" max="7950" width="9.33203125" style="615" bestFit="1" customWidth="1"/>
    <col min="7951" max="8192" width="8.88671875" style="615"/>
    <col min="8193" max="8193" width="10.33203125" style="615" customWidth="1"/>
    <col min="8194" max="8199" width="18" style="615" customWidth="1"/>
    <col min="8200" max="8200" width="12.6640625" style="615" customWidth="1"/>
    <col min="8201" max="8201" width="10.6640625" style="615" customWidth="1"/>
    <col min="8202" max="8202" width="13" style="615" customWidth="1"/>
    <col min="8203" max="8203" width="11.6640625" style="615" customWidth="1"/>
    <col min="8204" max="8206" width="9.33203125" style="615" bestFit="1" customWidth="1"/>
    <col min="8207" max="8448" width="8.88671875" style="615"/>
    <col min="8449" max="8449" width="10.33203125" style="615" customWidth="1"/>
    <col min="8450" max="8455" width="18" style="615" customWidth="1"/>
    <col min="8456" max="8456" width="12.6640625" style="615" customWidth="1"/>
    <col min="8457" max="8457" width="10.6640625" style="615" customWidth="1"/>
    <col min="8458" max="8458" width="13" style="615" customWidth="1"/>
    <col min="8459" max="8459" width="11.6640625" style="615" customWidth="1"/>
    <col min="8460" max="8462" width="9.33203125" style="615" bestFit="1" customWidth="1"/>
    <col min="8463" max="8704" width="8.88671875" style="615"/>
    <col min="8705" max="8705" width="10.33203125" style="615" customWidth="1"/>
    <col min="8706" max="8711" width="18" style="615" customWidth="1"/>
    <col min="8712" max="8712" width="12.6640625" style="615" customWidth="1"/>
    <col min="8713" max="8713" width="10.6640625" style="615" customWidth="1"/>
    <col min="8714" max="8714" width="13" style="615" customWidth="1"/>
    <col min="8715" max="8715" width="11.6640625" style="615" customWidth="1"/>
    <col min="8716" max="8718" width="9.33203125" style="615" bestFit="1" customWidth="1"/>
    <col min="8719" max="8960" width="8.88671875" style="615"/>
    <col min="8961" max="8961" width="10.33203125" style="615" customWidth="1"/>
    <col min="8962" max="8967" width="18" style="615" customWidth="1"/>
    <col min="8968" max="8968" width="12.6640625" style="615" customWidth="1"/>
    <col min="8969" max="8969" width="10.6640625" style="615" customWidth="1"/>
    <col min="8970" max="8970" width="13" style="615" customWidth="1"/>
    <col min="8971" max="8971" width="11.6640625" style="615" customWidth="1"/>
    <col min="8972" max="8974" width="9.33203125" style="615" bestFit="1" customWidth="1"/>
    <col min="8975" max="9216" width="8.88671875" style="615"/>
    <col min="9217" max="9217" width="10.33203125" style="615" customWidth="1"/>
    <col min="9218" max="9223" width="18" style="615" customWidth="1"/>
    <col min="9224" max="9224" width="12.6640625" style="615" customWidth="1"/>
    <col min="9225" max="9225" width="10.6640625" style="615" customWidth="1"/>
    <col min="9226" max="9226" width="13" style="615" customWidth="1"/>
    <col min="9227" max="9227" width="11.6640625" style="615" customWidth="1"/>
    <col min="9228" max="9230" width="9.33203125" style="615" bestFit="1" customWidth="1"/>
    <col min="9231" max="9472" width="8.88671875" style="615"/>
    <col min="9473" max="9473" width="10.33203125" style="615" customWidth="1"/>
    <col min="9474" max="9479" width="18" style="615" customWidth="1"/>
    <col min="9480" max="9480" width="12.6640625" style="615" customWidth="1"/>
    <col min="9481" max="9481" width="10.6640625" style="615" customWidth="1"/>
    <col min="9482" max="9482" width="13" style="615" customWidth="1"/>
    <col min="9483" max="9483" width="11.6640625" style="615" customWidth="1"/>
    <col min="9484" max="9486" width="9.33203125" style="615" bestFit="1" customWidth="1"/>
    <col min="9487" max="9728" width="8.88671875" style="615"/>
    <col min="9729" max="9729" width="10.33203125" style="615" customWidth="1"/>
    <col min="9730" max="9735" width="18" style="615" customWidth="1"/>
    <col min="9736" max="9736" width="12.6640625" style="615" customWidth="1"/>
    <col min="9737" max="9737" width="10.6640625" style="615" customWidth="1"/>
    <col min="9738" max="9738" width="13" style="615" customWidth="1"/>
    <col min="9739" max="9739" width="11.6640625" style="615" customWidth="1"/>
    <col min="9740" max="9742" width="9.33203125" style="615" bestFit="1" customWidth="1"/>
    <col min="9743" max="9984" width="8.88671875" style="615"/>
    <col min="9985" max="9985" width="10.33203125" style="615" customWidth="1"/>
    <col min="9986" max="9991" width="18" style="615" customWidth="1"/>
    <col min="9992" max="9992" width="12.6640625" style="615" customWidth="1"/>
    <col min="9993" max="9993" width="10.6640625" style="615" customWidth="1"/>
    <col min="9994" max="9994" width="13" style="615" customWidth="1"/>
    <col min="9995" max="9995" width="11.6640625" style="615" customWidth="1"/>
    <col min="9996" max="9998" width="9.33203125" style="615" bestFit="1" customWidth="1"/>
    <col min="9999" max="10240" width="8.88671875" style="615"/>
    <col min="10241" max="10241" width="10.33203125" style="615" customWidth="1"/>
    <col min="10242" max="10247" width="18" style="615" customWidth="1"/>
    <col min="10248" max="10248" width="12.6640625" style="615" customWidth="1"/>
    <col min="10249" max="10249" width="10.6640625" style="615" customWidth="1"/>
    <col min="10250" max="10250" width="13" style="615" customWidth="1"/>
    <col min="10251" max="10251" width="11.6640625" style="615" customWidth="1"/>
    <col min="10252" max="10254" width="9.33203125" style="615" bestFit="1" customWidth="1"/>
    <col min="10255" max="10496" width="8.88671875" style="615"/>
    <col min="10497" max="10497" width="10.33203125" style="615" customWidth="1"/>
    <col min="10498" max="10503" width="18" style="615" customWidth="1"/>
    <col min="10504" max="10504" width="12.6640625" style="615" customWidth="1"/>
    <col min="10505" max="10505" width="10.6640625" style="615" customWidth="1"/>
    <col min="10506" max="10506" width="13" style="615" customWidth="1"/>
    <col min="10507" max="10507" width="11.6640625" style="615" customWidth="1"/>
    <col min="10508" max="10510" width="9.33203125" style="615" bestFit="1" customWidth="1"/>
    <col min="10511" max="10752" width="8.88671875" style="615"/>
    <col min="10753" max="10753" width="10.33203125" style="615" customWidth="1"/>
    <col min="10754" max="10759" width="18" style="615" customWidth="1"/>
    <col min="10760" max="10760" width="12.6640625" style="615" customWidth="1"/>
    <col min="10761" max="10761" width="10.6640625" style="615" customWidth="1"/>
    <col min="10762" max="10762" width="13" style="615" customWidth="1"/>
    <col min="10763" max="10763" width="11.6640625" style="615" customWidth="1"/>
    <col min="10764" max="10766" width="9.33203125" style="615" bestFit="1" customWidth="1"/>
    <col min="10767" max="11008" width="8.88671875" style="615"/>
    <col min="11009" max="11009" width="10.33203125" style="615" customWidth="1"/>
    <col min="11010" max="11015" width="18" style="615" customWidth="1"/>
    <col min="11016" max="11016" width="12.6640625" style="615" customWidth="1"/>
    <col min="11017" max="11017" width="10.6640625" style="615" customWidth="1"/>
    <col min="11018" max="11018" width="13" style="615" customWidth="1"/>
    <col min="11019" max="11019" width="11.6640625" style="615" customWidth="1"/>
    <col min="11020" max="11022" width="9.33203125" style="615" bestFit="1" customWidth="1"/>
    <col min="11023" max="11264" width="8.88671875" style="615"/>
    <col min="11265" max="11265" width="10.33203125" style="615" customWidth="1"/>
    <col min="11266" max="11271" width="18" style="615" customWidth="1"/>
    <col min="11272" max="11272" width="12.6640625" style="615" customWidth="1"/>
    <col min="11273" max="11273" width="10.6640625" style="615" customWidth="1"/>
    <col min="11274" max="11274" width="13" style="615" customWidth="1"/>
    <col min="11275" max="11275" width="11.6640625" style="615" customWidth="1"/>
    <col min="11276" max="11278" width="9.33203125" style="615" bestFit="1" customWidth="1"/>
    <col min="11279" max="11520" width="8.88671875" style="615"/>
    <col min="11521" max="11521" width="10.33203125" style="615" customWidth="1"/>
    <col min="11522" max="11527" width="18" style="615" customWidth="1"/>
    <col min="11528" max="11528" width="12.6640625" style="615" customWidth="1"/>
    <col min="11529" max="11529" width="10.6640625" style="615" customWidth="1"/>
    <col min="11530" max="11530" width="13" style="615" customWidth="1"/>
    <col min="11531" max="11531" width="11.6640625" style="615" customWidth="1"/>
    <col min="11532" max="11534" width="9.33203125" style="615" bestFit="1" customWidth="1"/>
    <col min="11535" max="11776" width="8.88671875" style="615"/>
    <col min="11777" max="11777" width="10.33203125" style="615" customWidth="1"/>
    <col min="11778" max="11783" width="18" style="615" customWidth="1"/>
    <col min="11784" max="11784" width="12.6640625" style="615" customWidth="1"/>
    <col min="11785" max="11785" width="10.6640625" style="615" customWidth="1"/>
    <col min="11786" max="11786" width="13" style="615" customWidth="1"/>
    <col min="11787" max="11787" width="11.6640625" style="615" customWidth="1"/>
    <col min="11788" max="11790" width="9.33203125" style="615" bestFit="1" customWidth="1"/>
    <col min="11791" max="12032" width="8.88671875" style="615"/>
    <col min="12033" max="12033" width="10.33203125" style="615" customWidth="1"/>
    <col min="12034" max="12039" width="18" style="615" customWidth="1"/>
    <col min="12040" max="12040" width="12.6640625" style="615" customWidth="1"/>
    <col min="12041" max="12041" width="10.6640625" style="615" customWidth="1"/>
    <col min="12042" max="12042" width="13" style="615" customWidth="1"/>
    <col min="12043" max="12043" width="11.6640625" style="615" customWidth="1"/>
    <col min="12044" max="12046" width="9.33203125" style="615" bestFit="1" customWidth="1"/>
    <col min="12047" max="12288" width="8.88671875" style="615"/>
    <col min="12289" max="12289" width="10.33203125" style="615" customWidth="1"/>
    <col min="12290" max="12295" width="18" style="615" customWidth="1"/>
    <col min="12296" max="12296" width="12.6640625" style="615" customWidth="1"/>
    <col min="12297" max="12297" width="10.6640625" style="615" customWidth="1"/>
    <col min="12298" max="12298" width="13" style="615" customWidth="1"/>
    <col min="12299" max="12299" width="11.6640625" style="615" customWidth="1"/>
    <col min="12300" max="12302" width="9.33203125" style="615" bestFit="1" customWidth="1"/>
    <col min="12303" max="12544" width="8.88671875" style="615"/>
    <col min="12545" max="12545" width="10.33203125" style="615" customWidth="1"/>
    <col min="12546" max="12551" width="18" style="615" customWidth="1"/>
    <col min="12552" max="12552" width="12.6640625" style="615" customWidth="1"/>
    <col min="12553" max="12553" width="10.6640625" style="615" customWidth="1"/>
    <col min="12554" max="12554" width="13" style="615" customWidth="1"/>
    <col min="12555" max="12555" width="11.6640625" style="615" customWidth="1"/>
    <col min="12556" max="12558" width="9.33203125" style="615" bestFit="1" customWidth="1"/>
    <col min="12559" max="12800" width="8.88671875" style="615"/>
    <col min="12801" max="12801" width="10.33203125" style="615" customWidth="1"/>
    <col min="12802" max="12807" width="18" style="615" customWidth="1"/>
    <col min="12808" max="12808" width="12.6640625" style="615" customWidth="1"/>
    <col min="12809" max="12809" width="10.6640625" style="615" customWidth="1"/>
    <col min="12810" max="12810" width="13" style="615" customWidth="1"/>
    <col min="12811" max="12811" width="11.6640625" style="615" customWidth="1"/>
    <col min="12812" max="12814" width="9.33203125" style="615" bestFit="1" customWidth="1"/>
    <col min="12815" max="13056" width="8.88671875" style="615"/>
    <col min="13057" max="13057" width="10.33203125" style="615" customWidth="1"/>
    <col min="13058" max="13063" width="18" style="615" customWidth="1"/>
    <col min="13064" max="13064" width="12.6640625" style="615" customWidth="1"/>
    <col min="13065" max="13065" width="10.6640625" style="615" customWidth="1"/>
    <col min="13066" max="13066" width="13" style="615" customWidth="1"/>
    <col min="13067" max="13067" width="11.6640625" style="615" customWidth="1"/>
    <col min="13068" max="13070" width="9.33203125" style="615" bestFit="1" customWidth="1"/>
    <col min="13071" max="13312" width="8.88671875" style="615"/>
    <col min="13313" max="13313" width="10.33203125" style="615" customWidth="1"/>
    <col min="13314" max="13319" width="18" style="615" customWidth="1"/>
    <col min="13320" max="13320" width="12.6640625" style="615" customWidth="1"/>
    <col min="13321" max="13321" width="10.6640625" style="615" customWidth="1"/>
    <col min="13322" max="13322" width="13" style="615" customWidth="1"/>
    <col min="13323" max="13323" width="11.6640625" style="615" customWidth="1"/>
    <col min="13324" max="13326" width="9.33203125" style="615" bestFit="1" customWidth="1"/>
    <col min="13327" max="13568" width="8.88671875" style="615"/>
    <col min="13569" max="13569" width="10.33203125" style="615" customWidth="1"/>
    <col min="13570" max="13575" width="18" style="615" customWidth="1"/>
    <col min="13576" max="13576" width="12.6640625" style="615" customWidth="1"/>
    <col min="13577" max="13577" width="10.6640625" style="615" customWidth="1"/>
    <col min="13578" max="13578" width="13" style="615" customWidth="1"/>
    <col min="13579" max="13579" width="11.6640625" style="615" customWidth="1"/>
    <col min="13580" max="13582" width="9.33203125" style="615" bestFit="1" customWidth="1"/>
    <col min="13583" max="13824" width="8.88671875" style="615"/>
    <col min="13825" max="13825" width="10.33203125" style="615" customWidth="1"/>
    <col min="13826" max="13831" width="18" style="615" customWidth="1"/>
    <col min="13832" max="13832" width="12.6640625" style="615" customWidth="1"/>
    <col min="13833" max="13833" width="10.6640625" style="615" customWidth="1"/>
    <col min="13834" max="13834" width="13" style="615" customWidth="1"/>
    <col min="13835" max="13835" width="11.6640625" style="615" customWidth="1"/>
    <col min="13836" max="13838" width="9.33203125" style="615" bestFit="1" customWidth="1"/>
    <col min="13839" max="14080" width="8.88671875" style="615"/>
    <col min="14081" max="14081" width="10.33203125" style="615" customWidth="1"/>
    <col min="14082" max="14087" width="18" style="615" customWidth="1"/>
    <col min="14088" max="14088" width="12.6640625" style="615" customWidth="1"/>
    <col min="14089" max="14089" width="10.6640625" style="615" customWidth="1"/>
    <col min="14090" max="14090" width="13" style="615" customWidth="1"/>
    <col min="14091" max="14091" width="11.6640625" style="615" customWidth="1"/>
    <col min="14092" max="14094" width="9.33203125" style="615" bestFit="1" customWidth="1"/>
    <col min="14095" max="14336" width="8.88671875" style="615"/>
    <col min="14337" max="14337" width="10.33203125" style="615" customWidth="1"/>
    <col min="14338" max="14343" width="18" style="615" customWidth="1"/>
    <col min="14344" max="14344" width="12.6640625" style="615" customWidth="1"/>
    <col min="14345" max="14345" width="10.6640625" style="615" customWidth="1"/>
    <col min="14346" max="14346" width="13" style="615" customWidth="1"/>
    <col min="14347" max="14347" width="11.6640625" style="615" customWidth="1"/>
    <col min="14348" max="14350" width="9.33203125" style="615" bestFit="1" customWidth="1"/>
    <col min="14351" max="14592" width="8.88671875" style="615"/>
    <col min="14593" max="14593" width="10.33203125" style="615" customWidth="1"/>
    <col min="14594" max="14599" width="18" style="615" customWidth="1"/>
    <col min="14600" max="14600" width="12.6640625" style="615" customWidth="1"/>
    <col min="14601" max="14601" width="10.6640625" style="615" customWidth="1"/>
    <col min="14602" max="14602" width="13" style="615" customWidth="1"/>
    <col min="14603" max="14603" width="11.6640625" style="615" customWidth="1"/>
    <col min="14604" max="14606" width="9.33203125" style="615" bestFit="1" customWidth="1"/>
    <col min="14607" max="14848" width="8.88671875" style="615"/>
    <col min="14849" max="14849" width="10.33203125" style="615" customWidth="1"/>
    <col min="14850" max="14855" width="18" style="615" customWidth="1"/>
    <col min="14856" max="14856" width="12.6640625" style="615" customWidth="1"/>
    <col min="14857" max="14857" width="10.6640625" style="615" customWidth="1"/>
    <col min="14858" max="14858" width="13" style="615" customWidth="1"/>
    <col min="14859" max="14859" width="11.6640625" style="615" customWidth="1"/>
    <col min="14860" max="14862" width="9.33203125" style="615" bestFit="1" customWidth="1"/>
    <col min="14863" max="15104" width="8.88671875" style="615"/>
    <col min="15105" max="15105" width="10.33203125" style="615" customWidth="1"/>
    <col min="15106" max="15111" width="18" style="615" customWidth="1"/>
    <col min="15112" max="15112" width="12.6640625" style="615" customWidth="1"/>
    <col min="15113" max="15113" width="10.6640625" style="615" customWidth="1"/>
    <col min="15114" max="15114" width="13" style="615" customWidth="1"/>
    <col min="15115" max="15115" width="11.6640625" style="615" customWidth="1"/>
    <col min="15116" max="15118" width="9.33203125" style="615" bestFit="1" customWidth="1"/>
    <col min="15119" max="15360" width="8.88671875" style="615"/>
    <col min="15361" max="15361" width="10.33203125" style="615" customWidth="1"/>
    <col min="15362" max="15367" width="18" style="615" customWidth="1"/>
    <col min="15368" max="15368" width="12.6640625" style="615" customWidth="1"/>
    <col min="15369" max="15369" width="10.6640625" style="615" customWidth="1"/>
    <col min="15370" max="15370" width="13" style="615" customWidth="1"/>
    <col min="15371" max="15371" width="11.6640625" style="615" customWidth="1"/>
    <col min="15372" max="15374" width="9.33203125" style="615" bestFit="1" customWidth="1"/>
    <col min="15375" max="15616" width="8.88671875" style="615"/>
    <col min="15617" max="15617" width="10.33203125" style="615" customWidth="1"/>
    <col min="15618" max="15623" width="18" style="615" customWidth="1"/>
    <col min="15624" max="15624" width="12.6640625" style="615" customWidth="1"/>
    <col min="15625" max="15625" width="10.6640625" style="615" customWidth="1"/>
    <col min="15626" max="15626" width="13" style="615" customWidth="1"/>
    <col min="15627" max="15627" width="11.6640625" style="615" customWidth="1"/>
    <col min="15628" max="15630" width="9.33203125" style="615" bestFit="1" customWidth="1"/>
    <col min="15631" max="15872" width="8.88671875" style="615"/>
    <col min="15873" max="15873" width="10.33203125" style="615" customWidth="1"/>
    <col min="15874" max="15879" width="18" style="615" customWidth="1"/>
    <col min="15880" max="15880" width="12.6640625" style="615" customWidth="1"/>
    <col min="15881" max="15881" width="10.6640625" style="615" customWidth="1"/>
    <col min="15882" max="15882" width="13" style="615" customWidth="1"/>
    <col min="15883" max="15883" width="11.6640625" style="615" customWidth="1"/>
    <col min="15884" max="15886" width="9.33203125" style="615" bestFit="1" customWidth="1"/>
    <col min="15887" max="16128" width="8.88671875" style="615"/>
    <col min="16129" max="16129" width="10.33203125" style="615" customWidth="1"/>
    <col min="16130" max="16135" width="18" style="615" customWidth="1"/>
    <col min="16136" max="16136" width="12.6640625" style="615" customWidth="1"/>
    <col min="16137" max="16137" width="10.6640625" style="615" customWidth="1"/>
    <col min="16138" max="16138" width="13" style="615" customWidth="1"/>
    <col min="16139" max="16139" width="11.6640625" style="615" customWidth="1"/>
    <col min="16140" max="16142" width="9.33203125" style="615" bestFit="1" customWidth="1"/>
    <col min="16143" max="16384" width="8.88671875" style="615"/>
  </cols>
  <sheetData>
    <row r="1" spans="1:24" ht="16.2" x14ac:dyDescent="0.35">
      <c r="A1" s="1377" t="str">
        <f>J.C!A1</f>
        <v>ROSHNABAD BARRAGE</v>
      </c>
      <c r="B1" s="1285"/>
      <c r="C1" s="1285"/>
      <c r="D1" s="1285"/>
      <c r="E1" s="1285"/>
      <c r="F1" s="1285"/>
      <c r="G1" s="1285"/>
      <c r="H1" s="1285"/>
      <c r="I1" s="1285"/>
      <c r="J1" s="1285"/>
      <c r="K1" s="1285"/>
      <c r="L1" s="1285"/>
      <c r="M1" s="1285"/>
      <c r="N1" s="870"/>
      <c r="O1" s="870"/>
      <c r="P1" s="870"/>
      <c r="Q1" s="870"/>
    </row>
    <row r="2" spans="1:24" x14ac:dyDescent="0.3">
      <c r="A2" s="1286" t="e">
        <f>#REF!</f>
        <v>#REF!</v>
      </c>
      <c r="B2" s="1287"/>
      <c r="C2" s="1287"/>
      <c r="D2" s="1287"/>
      <c r="E2" s="1287"/>
      <c r="F2" s="1287"/>
      <c r="G2" s="1287"/>
      <c r="H2" s="1287"/>
      <c r="I2" s="1287"/>
      <c r="J2" s="1287"/>
      <c r="K2" s="1287"/>
      <c r="L2" s="1286" t="e">
        <f>#REF!</f>
        <v>#REF!</v>
      </c>
      <c r="M2" s="1287"/>
      <c r="N2" s="1287"/>
    </row>
    <row r="3" spans="1:24" ht="18.75" customHeight="1" x14ac:dyDescent="0.3">
      <c r="A3" s="1378" t="s">
        <v>538</v>
      </c>
      <c r="B3" s="1378"/>
      <c r="C3" s="1378"/>
      <c r="D3" s="1378"/>
      <c r="E3" s="1378"/>
      <c r="F3" s="1378"/>
      <c r="G3" s="1378"/>
      <c r="H3" s="1378"/>
      <c r="I3" s="1378"/>
      <c r="J3" s="1378"/>
      <c r="K3" s="1378"/>
      <c r="L3" s="1378"/>
      <c r="M3" s="1378"/>
      <c r="N3" s="872"/>
    </row>
    <row r="4" spans="1:24" ht="18.75" customHeight="1" x14ac:dyDescent="0.3">
      <c r="A4" s="847" t="e">
        <f>CONCATENATE("D/s pitching is provided at RL -",#REF!, " for Back water protection",)</f>
        <v>#REF!</v>
      </c>
      <c r="B4" s="873"/>
      <c r="C4" s="873"/>
      <c r="D4" s="873"/>
      <c r="E4" s="873"/>
      <c r="F4" s="873"/>
      <c r="H4" s="874"/>
      <c r="I4" s="873"/>
      <c r="J4" s="873"/>
      <c r="K4" s="874">
        <f>B.T.!C4</f>
        <v>595</v>
      </c>
      <c r="L4" s="1379" t="s">
        <v>419</v>
      </c>
      <c r="M4" s="1380"/>
      <c r="O4" s="1376" t="s">
        <v>539</v>
      </c>
      <c r="P4" s="1376"/>
      <c r="Q4" s="1376"/>
      <c r="R4" s="622"/>
    </row>
    <row r="5" spans="1:24" ht="18.75" customHeight="1" x14ac:dyDescent="0.3">
      <c r="A5" s="876" t="s">
        <v>100</v>
      </c>
      <c r="B5" s="660">
        <f>'e-w'!C4</f>
        <v>597</v>
      </c>
      <c r="C5" s="877"/>
      <c r="D5" s="1373" t="s">
        <v>418</v>
      </c>
      <c r="E5" s="1373"/>
      <c r="F5" s="878"/>
      <c r="G5" s="879"/>
      <c r="H5" s="879"/>
      <c r="I5" s="879"/>
      <c r="J5" s="879"/>
      <c r="K5" s="1373" t="s">
        <v>421</v>
      </c>
      <c r="L5" s="1373"/>
      <c r="M5" s="1373" t="s">
        <v>428</v>
      </c>
      <c r="N5" s="1373"/>
      <c r="O5" s="875"/>
      <c r="P5" s="875"/>
      <c r="Q5" s="875"/>
      <c r="R5" s="622"/>
    </row>
    <row r="6" spans="1:24" ht="18.75" customHeight="1" x14ac:dyDescent="0.3">
      <c r="A6" s="876" t="s">
        <v>416</v>
      </c>
      <c r="B6" s="660">
        <f>B5-10</f>
        <v>587</v>
      </c>
      <c r="C6" s="880"/>
      <c r="D6" s="1372" t="str">
        <f>CONCATENATE('e-w'!N27," to ",'e-w'!N29," mts",)</f>
        <v>0 to 10 mts</v>
      </c>
      <c r="E6" s="1372"/>
      <c r="F6" s="880"/>
      <c r="G6" s="881"/>
      <c r="H6" s="881"/>
      <c r="I6" s="881"/>
      <c r="J6" s="881"/>
      <c r="K6" s="882">
        <f>'e-w'!N30</f>
        <v>2</v>
      </c>
      <c r="L6" s="660">
        <f>B5-'e-w'!N29</f>
        <v>587</v>
      </c>
      <c r="M6" s="883" t="e">
        <f>#REF!</f>
        <v>#REF!</v>
      </c>
      <c r="N6" s="660" t="e">
        <f>#REF!</f>
        <v>#REF!</v>
      </c>
      <c r="O6" s="1374" t="s">
        <v>540</v>
      </c>
      <c r="P6" s="1375"/>
      <c r="Q6" s="884" t="s">
        <v>541</v>
      </c>
      <c r="R6" s="885"/>
    </row>
    <row r="7" spans="1:24" ht="18.75" customHeight="1" x14ac:dyDescent="0.3">
      <c r="A7" s="876" t="s">
        <v>415</v>
      </c>
      <c r="B7" s="660">
        <f>B6-10</f>
        <v>577</v>
      </c>
      <c r="C7" s="881"/>
      <c r="D7" s="1370" t="str">
        <f>CONCATENATE('e-w'!O27," to ",'e-w'!O29," mts",)</f>
        <v>10 to 20 mts</v>
      </c>
      <c r="E7" s="1371"/>
      <c r="F7" s="880"/>
      <c r="G7" s="881"/>
      <c r="H7" s="881"/>
      <c r="I7" s="881"/>
      <c r="J7" s="881"/>
      <c r="K7" s="882">
        <f>'e-w'!O30</f>
        <v>2.5</v>
      </c>
      <c r="L7" s="660">
        <f>B5-'e-w'!O29</f>
        <v>577</v>
      </c>
      <c r="M7" s="883" t="e">
        <f>#REF!</f>
        <v>#REF!</v>
      </c>
      <c r="N7" s="660" t="e">
        <f>#REF!</f>
        <v>#REF!</v>
      </c>
      <c r="O7" s="886" t="e">
        <f>#REF!</f>
        <v>#REF!</v>
      </c>
      <c r="P7" s="887" t="e">
        <f>#REF!</f>
        <v>#REF!</v>
      </c>
      <c r="Q7" s="888" t="e">
        <f>#REF!</f>
        <v>#REF!</v>
      </c>
      <c r="R7" s="889"/>
    </row>
    <row r="8" spans="1:24" ht="18.75" customHeight="1" x14ac:dyDescent="0.3">
      <c r="A8" s="876"/>
      <c r="B8" s="660">
        <f>B7-10</f>
        <v>567</v>
      </c>
      <c r="C8" s="881"/>
      <c r="D8" s="1372" t="str">
        <f>CONCATENATE('e-w'!P27," to ",'e-w'!P29," mts",)</f>
        <v>20 to 30 mts</v>
      </c>
      <c r="E8" s="1372"/>
      <c r="F8" s="880"/>
      <c r="G8" s="881"/>
      <c r="H8" s="881"/>
      <c r="I8" s="881"/>
      <c r="J8" s="881"/>
      <c r="K8" s="882">
        <f>'e-w'!P30</f>
        <v>3</v>
      </c>
      <c r="L8" s="660">
        <f>B5-'e-w'!P29</f>
        <v>567</v>
      </c>
      <c r="M8" s="890" t="s">
        <v>542</v>
      </c>
      <c r="N8" s="881"/>
      <c r="O8" s="886" t="e">
        <f>#REF!</f>
        <v>#REF!</v>
      </c>
      <c r="P8" s="887" t="e">
        <f>#REF!</f>
        <v>#REF!</v>
      </c>
      <c r="Q8" s="888" t="e">
        <f>#REF!</f>
        <v>#REF!</v>
      </c>
      <c r="R8" s="889"/>
    </row>
    <row r="9" spans="1:24" ht="18.75" customHeight="1" x14ac:dyDescent="0.3">
      <c r="A9" s="658"/>
      <c r="B9" s="891"/>
      <c r="C9" s="881"/>
      <c r="D9" s="1372" t="e">
        <f>CONCATENATE(#REF!," to ",#REF!," mts",)</f>
        <v>#REF!</v>
      </c>
      <c r="E9" s="1372"/>
      <c r="F9" s="880"/>
      <c r="G9" s="881"/>
      <c r="H9" s="881"/>
      <c r="I9" s="881"/>
      <c r="J9" s="881"/>
      <c r="K9" s="882">
        <f>'e-w'!Q30</f>
        <v>4</v>
      </c>
      <c r="L9" s="660">
        <f>L8-10</f>
        <v>557</v>
      </c>
      <c r="M9" s="892" t="s">
        <v>542</v>
      </c>
      <c r="N9" s="881"/>
      <c r="O9" s="886" t="e">
        <f>#REF!</f>
        <v>#REF!</v>
      </c>
      <c r="P9" s="887" t="e">
        <f>#REF!</f>
        <v>#REF!</v>
      </c>
      <c r="Q9" s="888" t="e">
        <f>#REF!</f>
        <v>#REF!</v>
      </c>
      <c r="R9" s="889"/>
    </row>
    <row r="10" spans="1:24" ht="18.75" customHeight="1" x14ac:dyDescent="0.3">
      <c r="A10" s="881"/>
      <c r="B10" s="881"/>
      <c r="C10" s="881"/>
      <c r="D10" s="1372" t="e">
        <f>CONCATENATE(#REF!," to ",#REF!," mts",)</f>
        <v>#REF!</v>
      </c>
      <c r="E10" s="1372"/>
      <c r="F10" s="880"/>
      <c r="G10" s="881"/>
      <c r="H10" s="881"/>
      <c r="I10" s="881"/>
      <c r="J10" s="881"/>
      <c r="K10" s="890" t="s">
        <v>542</v>
      </c>
      <c r="L10" s="881"/>
      <c r="M10" s="883" t="e">
        <f>#REF!</f>
        <v>#REF!</v>
      </c>
      <c r="N10" s="660" t="e">
        <f>#REF!</f>
        <v>#REF!</v>
      </c>
      <c r="O10" s="886"/>
      <c r="P10" s="887"/>
      <c r="Q10" s="888"/>
      <c r="R10" s="889"/>
    </row>
    <row r="11" spans="1:24" ht="18.75" customHeight="1" x14ac:dyDescent="0.3">
      <c r="A11" s="881"/>
      <c r="B11" s="881"/>
      <c r="C11" s="881"/>
      <c r="D11" s="1372" t="e">
        <f>CONCATENATE(#REF!," to ",#REF!," mts",)</f>
        <v>#REF!</v>
      </c>
      <c r="E11" s="1372"/>
      <c r="F11" s="880"/>
      <c r="G11" s="881"/>
      <c r="H11" s="881"/>
      <c r="I11" s="881"/>
      <c r="J11" s="881"/>
      <c r="K11" s="892" t="s">
        <v>542</v>
      </c>
      <c r="L11" s="881"/>
      <c r="M11" s="883" t="e">
        <f>#REF!</f>
        <v>#REF!</v>
      </c>
      <c r="N11" s="660" t="e">
        <f>#REF!</f>
        <v>#REF!</v>
      </c>
      <c r="O11" s="886" t="e">
        <f>#REF!</f>
        <v>#REF!</v>
      </c>
      <c r="P11" s="887" t="e">
        <f>#REF!</f>
        <v>#REF!</v>
      </c>
      <c r="Q11" s="888" t="e">
        <f>#REF!</f>
        <v>#REF!</v>
      </c>
      <c r="R11" s="889"/>
    </row>
    <row r="12" spans="1:24" ht="72" customHeight="1" x14ac:dyDescent="0.3">
      <c r="A12" s="835" t="s">
        <v>162</v>
      </c>
      <c r="B12" s="835" t="s">
        <v>431</v>
      </c>
      <c r="C12" s="835" t="s">
        <v>432</v>
      </c>
      <c r="D12" s="835" t="s">
        <v>418</v>
      </c>
      <c r="E12" s="835" t="s">
        <v>543</v>
      </c>
      <c r="F12" s="835" t="s">
        <v>544</v>
      </c>
      <c r="G12" s="835" t="s">
        <v>545</v>
      </c>
      <c r="H12" s="835" t="s">
        <v>546</v>
      </c>
      <c r="I12" s="893" t="s">
        <v>547</v>
      </c>
      <c r="J12" s="835" t="s">
        <v>548</v>
      </c>
      <c r="K12" s="893" t="s">
        <v>549</v>
      </c>
      <c r="L12" s="893" t="s">
        <v>438</v>
      </c>
      <c r="M12" s="894" t="s">
        <v>550</v>
      </c>
      <c r="N12" s="894" t="s">
        <v>551</v>
      </c>
      <c r="O12" s="895"/>
      <c r="P12" s="896">
        <v>36.29</v>
      </c>
    </row>
    <row r="13" spans="1:24" s="872" customFormat="1" x14ac:dyDescent="0.3">
      <c r="A13" s="897">
        <v>1</v>
      </c>
      <c r="B13" s="897">
        <v>2</v>
      </c>
      <c r="C13" s="897">
        <v>3</v>
      </c>
      <c r="D13" s="897">
        <v>4</v>
      </c>
      <c r="E13" s="897">
        <v>5</v>
      </c>
      <c r="F13" s="897"/>
      <c r="G13" s="897"/>
      <c r="H13" s="897"/>
      <c r="I13" s="897">
        <v>8</v>
      </c>
      <c r="J13" s="897"/>
      <c r="K13" s="897"/>
      <c r="L13" s="897">
        <v>9</v>
      </c>
      <c r="M13" s="897">
        <v>10</v>
      </c>
      <c r="N13" s="898"/>
    </row>
    <row r="14" spans="1:24" x14ac:dyDescent="0.3">
      <c r="A14" s="897">
        <v>7</v>
      </c>
      <c r="B14" s="659">
        <f>'e-w'!B31</f>
        <v>0</v>
      </c>
      <c r="C14" s="659">
        <f>'e-w'!C31</f>
        <v>477.834</v>
      </c>
      <c r="D14" s="659">
        <v>0</v>
      </c>
      <c r="E14" s="899">
        <v>2.6925824035672519</v>
      </c>
      <c r="F14" s="899">
        <f>B.T.!G7</f>
        <v>4</v>
      </c>
      <c r="G14" s="899">
        <f t="shared" ref="G14:G15" si="0">IF(H14-F14&gt;0,H14-F14,0)</f>
        <v>113.166</v>
      </c>
      <c r="H14" s="899">
        <f t="shared" ref="H14:H15" si="1">IF(($K$4-C14)&gt;0,$K$4-C14,0)</f>
        <v>117.166</v>
      </c>
      <c r="I14" s="899">
        <f>AVERAGE(E14:E14)</f>
        <v>2.6925824035672519</v>
      </c>
      <c r="J14" s="899">
        <v>5</v>
      </c>
      <c r="K14" s="899">
        <f>AVERAGE(J14:J14)</f>
        <v>5</v>
      </c>
      <c r="L14" s="899">
        <v>0</v>
      </c>
      <c r="M14" s="659">
        <f t="shared" ref="M14:M15" si="2">L14*I14</f>
        <v>0</v>
      </c>
      <c r="N14" s="659">
        <f t="shared" ref="N14:N15" si="3">L14*K14</f>
        <v>0</v>
      </c>
      <c r="O14" s="900"/>
      <c r="P14" s="659"/>
      <c r="Q14" s="659"/>
      <c r="R14" s="659"/>
      <c r="S14" s="660"/>
      <c r="T14" s="660"/>
      <c r="U14" s="660"/>
      <c r="V14" s="660"/>
      <c r="W14" s="661"/>
      <c r="X14" s="661"/>
    </row>
    <row r="15" spans="1:24" x14ac:dyDescent="0.3">
      <c r="A15" s="897">
        <v>8</v>
      </c>
      <c r="B15" s="659">
        <f>'e-w'!B32</f>
        <v>20</v>
      </c>
      <c r="C15" s="659">
        <f>'e-w'!C32</f>
        <v>477.37495931758531</v>
      </c>
      <c r="D15" s="659">
        <f t="shared" ref="D15" si="4">$B$5-C15</f>
        <v>119.62504068241469</v>
      </c>
      <c r="E15" s="899">
        <v>1.5094751583518451</v>
      </c>
      <c r="F15" s="899">
        <f>B.T.!G8</f>
        <v>4</v>
      </c>
      <c r="G15" s="899">
        <f t="shared" si="0"/>
        <v>113.62504068241469</v>
      </c>
      <c r="H15" s="899">
        <f t="shared" si="1"/>
        <v>117.62504068241469</v>
      </c>
      <c r="I15" s="899">
        <f t="shared" ref="I15" si="5">AVERAGE(E14:E15)</f>
        <v>2.1010287809595485</v>
      </c>
      <c r="J15" s="899">
        <v>2.6925824035672519</v>
      </c>
      <c r="K15" s="899">
        <f t="shared" ref="K15" si="6">AVERAGE(J14:J15)</f>
        <v>3.8462912017836262</v>
      </c>
      <c r="L15" s="899">
        <f t="shared" ref="L15" si="7">B15-B14</f>
        <v>20</v>
      </c>
      <c r="M15" s="659">
        <f t="shared" si="2"/>
        <v>42.020575619190971</v>
      </c>
      <c r="N15" s="659">
        <f t="shared" si="3"/>
        <v>76.92582403567252</v>
      </c>
      <c r="O15" s="900"/>
      <c r="P15" s="659"/>
      <c r="Q15" s="659"/>
      <c r="R15" s="659"/>
      <c r="S15" s="660"/>
      <c r="T15" s="660"/>
      <c r="U15" s="660"/>
      <c r="V15" s="660"/>
      <c r="W15" s="661"/>
      <c r="X15" s="661"/>
    </row>
    <row r="16" spans="1:24" x14ac:dyDescent="0.3">
      <c r="A16" s="897">
        <v>9</v>
      </c>
      <c r="B16" s="659">
        <f>'e-w'!B33</f>
        <v>40</v>
      </c>
      <c r="C16" s="659">
        <f>'e-w'!C33</f>
        <v>476.60178899082564</v>
      </c>
      <c r="D16" s="659">
        <f t="shared" ref="D16:D51" si="8">$B$5-C16</f>
        <v>120.39821100917436</v>
      </c>
      <c r="E16" s="899">
        <v>2.50947515835185</v>
      </c>
      <c r="F16" s="899">
        <f>B.T.!G9</f>
        <v>4</v>
      </c>
      <c r="G16" s="899">
        <f t="shared" ref="G16:G51" si="9">IF(H16-F16&gt;0,H16-F16,0)</f>
        <v>114.39821100917436</v>
      </c>
      <c r="H16" s="899">
        <f t="shared" ref="H16:H51" si="10">IF(($K$4-C16)&gt;0,$K$4-C16,0)</f>
        <v>118.39821100917436</v>
      </c>
      <c r="I16" s="899">
        <f t="shared" ref="I16:I51" si="11">AVERAGE(E15:E16)</f>
        <v>2.0094751583518473</v>
      </c>
      <c r="J16" s="899">
        <v>3.6925824035672501</v>
      </c>
      <c r="K16" s="899">
        <f t="shared" ref="K16:K51" si="12">AVERAGE(J15:J16)</f>
        <v>3.192582403567251</v>
      </c>
      <c r="L16" s="899">
        <f t="shared" ref="L16:L51" si="13">B16-B15</f>
        <v>20</v>
      </c>
      <c r="M16" s="659">
        <f t="shared" ref="M16:M51" si="14">L16*I16</f>
        <v>40.189503167036946</v>
      </c>
      <c r="N16" s="659">
        <f t="shared" ref="N16:N51" si="15">L16*K16</f>
        <v>63.851648071345018</v>
      </c>
      <c r="O16" s="900"/>
      <c r="P16" s="659"/>
      <c r="Q16" s="659"/>
      <c r="R16" s="659"/>
      <c r="S16" s="660"/>
      <c r="T16" s="660"/>
      <c r="U16" s="660"/>
      <c r="V16" s="660"/>
      <c r="W16" s="661"/>
      <c r="X16" s="661"/>
    </row>
    <row r="17" spans="1:24" x14ac:dyDescent="0.3">
      <c r="A17" s="897">
        <v>10</v>
      </c>
      <c r="B17" s="659">
        <f>'e-w'!B34</f>
        <v>60</v>
      </c>
      <c r="C17" s="659">
        <f>'e-w'!C34</f>
        <v>476.11086614173229</v>
      </c>
      <c r="D17" s="659">
        <f t="shared" si="8"/>
        <v>120.88913385826771</v>
      </c>
      <c r="E17" s="899">
        <v>3.50947515835185</v>
      </c>
      <c r="F17" s="899">
        <f>B.T.!G10</f>
        <v>4</v>
      </c>
      <c r="G17" s="899">
        <f t="shared" si="9"/>
        <v>114.88913385826771</v>
      </c>
      <c r="H17" s="899">
        <f t="shared" si="10"/>
        <v>118.88913385826771</v>
      </c>
      <c r="I17" s="899">
        <f t="shared" si="11"/>
        <v>3.00947515835185</v>
      </c>
      <c r="J17" s="899">
        <v>4.6925824035672496</v>
      </c>
      <c r="K17" s="899">
        <f t="shared" si="12"/>
        <v>4.1925824035672496</v>
      </c>
      <c r="L17" s="899">
        <f t="shared" si="13"/>
        <v>20</v>
      </c>
      <c r="M17" s="659">
        <f t="shared" si="14"/>
        <v>60.189503167037003</v>
      </c>
      <c r="N17" s="659">
        <f t="shared" si="15"/>
        <v>83.851648071344997</v>
      </c>
      <c r="O17" s="900"/>
      <c r="P17" s="659"/>
      <c r="Q17" s="659"/>
      <c r="R17" s="659"/>
      <c r="S17" s="660"/>
      <c r="T17" s="660"/>
      <c r="U17" s="660"/>
      <c r="V17" s="660"/>
      <c r="W17" s="661"/>
      <c r="X17" s="661"/>
    </row>
    <row r="18" spans="1:24" x14ac:dyDescent="0.3">
      <c r="A18" s="897">
        <v>11</v>
      </c>
      <c r="B18" s="659">
        <f>'e-w'!B35</f>
        <v>80</v>
      </c>
      <c r="C18" s="659">
        <f>'e-w'!C35</f>
        <v>475.51279921259845</v>
      </c>
      <c r="D18" s="659">
        <f t="shared" si="8"/>
        <v>121.48720078740155</v>
      </c>
      <c r="E18" s="899">
        <v>4.50947515835185</v>
      </c>
      <c r="F18" s="899">
        <f>B.T.!G11</f>
        <v>4</v>
      </c>
      <c r="G18" s="899">
        <f t="shared" si="9"/>
        <v>115.48720078740155</v>
      </c>
      <c r="H18" s="899">
        <f t="shared" si="10"/>
        <v>119.48720078740155</v>
      </c>
      <c r="I18" s="899">
        <f t="shared" si="11"/>
        <v>4.00947515835185</v>
      </c>
      <c r="J18" s="899">
        <v>5.6925824035672496</v>
      </c>
      <c r="K18" s="899">
        <f t="shared" si="12"/>
        <v>5.1925824035672496</v>
      </c>
      <c r="L18" s="899">
        <f t="shared" si="13"/>
        <v>20</v>
      </c>
      <c r="M18" s="659">
        <f t="shared" si="14"/>
        <v>80.189503167037003</v>
      </c>
      <c r="N18" s="659">
        <f t="shared" si="15"/>
        <v>103.851648071345</v>
      </c>
      <c r="O18" s="900"/>
      <c r="P18" s="659"/>
      <c r="Q18" s="659"/>
      <c r="R18" s="659"/>
      <c r="S18" s="660"/>
      <c r="T18" s="660"/>
      <c r="U18" s="660"/>
      <c r="V18" s="660"/>
      <c r="W18" s="661"/>
      <c r="X18" s="661"/>
    </row>
    <row r="19" spans="1:24" x14ac:dyDescent="0.3">
      <c r="A19" s="897">
        <v>12</v>
      </c>
      <c r="B19" s="659">
        <f>'e-w'!B36</f>
        <v>100</v>
      </c>
      <c r="C19" s="659">
        <f>'e-w'!C36</f>
        <v>474.85713612565439</v>
      </c>
      <c r="D19" s="659">
        <f t="shared" si="8"/>
        <v>122.14286387434561</v>
      </c>
      <c r="E19" s="899">
        <v>5.50947515835185</v>
      </c>
      <c r="F19" s="899">
        <f>B.T.!G12</f>
        <v>4</v>
      </c>
      <c r="G19" s="899">
        <f t="shared" si="9"/>
        <v>116.14286387434561</v>
      </c>
      <c r="H19" s="899">
        <f t="shared" si="10"/>
        <v>120.14286387434561</v>
      </c>
      <c r="I19" s="899">
        <f t="shared" si="11"/>
        <v>5.00947515835185</v>
      </c>
      <c r="J19" s="899">
        <v>6.6925824035672496</v>
      </c>
      <c r="K19" s="899">
        <f t="shared" si="12"/>
        <v>6.1925824035672496</v>
      </c>
      <c r="L19" s="899">
        <f t="shared" si="13"/>
        <v>20</v>
      </c>
      <c r="M19" s="659">
        <f t="shared" si="14"/>
        <v>100.189503167037</v>
      </c>
      <c r="N19" s="659">
        <f t="shared" si="15"/>
        <v>123.851648071345</v>
      </c>
      <c r="O19" s="900"/>
      <c r="P19" s="659"/>
      <c r="Q19" s="659"/>
      <c r="R19" s="659"/>
      <c r="S19" s="660"/>
      <c r="T19" s="660"/>
      <c r="U19" s="660"/>
      <c r="V19" s="660"/>
      <c r="W19" s="661"/>
      <c r="X19" s="661"/>
    </row>
    <row r="20" spans="1:24" x14ac:dyDescent="0.3">
      <c r="A20" s="897">
        <v>13</v>
      </c>
      <c r="B20" s="659">
        <f>'e-w'!B37</f>
        <v>120</v>
      </c>
      <c r="C20" s="659">
        <f>'e-w'!C37</f>
        <v>474.7220789473684</v>
      </c>
      <c r="D20" s="659">
        <f t="shared" si="8"/>
        <v>122.2779210526316</v>
      </c>
      <c r="E20" s="899">
        <v>6.50947515835185</v>
      </c>
      <c r="F20" s="899">
        <f>B.T.!G13</f>
        <v>4</v>
      </c>
      <c r="G20" s="899">
        <f t="shared" si="9"/>
        <v>116.2779210526316</v>
      </c>
      <c r="H20" s="899">
        <f t="shared" si="10"/>
        <v>120.2779210526316</v>
      </c>
      <c r="I20" s="899">
        <f t="shared" si="11"/>
        <v>6.00947515835185</v>
      </c>
      <c r="J20" s="899">
        <v>7.6925824035672496</v>
      </c>
      <c r="K20" s="899">
        <f t="shared" si="12"/>
        <v>7.1925824035672496</v>
      </c>
      <c r="L20" s="899">
        <f t="shared" si="13"/>
        <v>20</v>
      </c>
      <c r="M20" s="659">
        <f t="shared" si="14"/>
        <v>120.189503167037</v>
      </c>
      <c r="N20" s="659">
        <f t="shared" si="15"/>
        <v>143.85164807134498</v>
      </c>
      <c r="O20" s="900"/>
      <c r="P20" s="659"/>
      <c r="Q20" s="659"/>
      <c r="R20" s="659"/>
      <c r="S20" s="660"/>
      <c r="T20" s="660"/>
      <c r="U20" s="660"/>
      <c r="V20" s="660"/>
      <c r="W20" s="661"/>
      <c r="X20" s="661"/>
    </row>
    <row r="21" spans="1:24" x14ac:dyDescent="0.3">
      <c r="A21" s="897">
        <v>14</v>
      </c>
      <c r="B21" s="659">
        <f>'e-w'!B38</f>
        <v>140</v>
      </c>
      <c r="C21" s="659">
        <f>'e-w'!C38</f>
        <v>474.76499999999999</v>
      </c>
      <c r="D21" s="659">
        <f t="shared" si="8"/>
        <v>122.23500000000001</v>
      </c>
      <c r="E21" s="899">
        <v>7.50947515835185</v>
      </c>
      <c r="F21" s="899">
        <f>B.T.!G14</f>
        <v>4</v>
      </c>
      <c r="G21" s="899">
        <f t="shared" si="9"/>
        <v>116.23500000000001</v>
      </c>
      <c r="H21" s="899">
        <f t="shared" si="10"/>
        <v>120.23500000000001</v>
      </c>
      <c r="I21" s="899">
        <f t="shared" si="11"/>
        <v>7.00947515835185</v>
      </c>
      <c r="J21" s="899">
        <v>8.6925824035672505</v>
      </c>
      <c r="K21" s="899">
        <f t="shared" si="12"/>
        <v>8.1925824035672505</v>
      </c>
      <c r="L21" s="899">
        <f t="shared" si="13"/>
        <v>20</v>
      </c>
      <c r="M21" s="659">
        <f t="shared" si="14"/>
        <v>140.189503167037</v>
      </c>
      <c r="N21" s="659">
        <f t="shared" si="15"/>
        <v>163.85164807134501</v>
      </c>
      <c r="O21" s="900"/>
      <c r="P21" s="659"/>
      <c r="Q21" s="659"/>
      <c r="R21" s="659"/>
      <c r="S21" s="660"/>
      <c r="T21" s="660"/>
      <c r="U21" s="660"/>
      <c r="V21" s="660"/>
      <c r="W21" s="661"/>
      <c r="X21" s="661"/>
    </row>
    <row r="22" spans="1:24" x14ac:dyDescent="0.3">
      <c r="A22" s="897">
        <v>15</v>
      </c>
      <c r="B22" s="659">
        <f>'e-w'!B39</f>
        <v>160</v>
      </c>
      <c r="C22" s="659">
        <f>'e-w'!C39</f>
        <v>474.62121052631579</v>
      </c>
      <c r="D22" s="659">
        <f t="shared" si="8"/>
        <v>122.37878947368421</v>
      </c>
      <c r="E22" s="899">
        <v>8.5094751583518509</v>
      </c>
      <c r="F22" s="899">
        <f>B.T.!G15</f>
        <v>4</v>
      </c>
      <c r="G22" s="899">
        <f t="shared" si="9"/>
        <v>116.37878947368421</v>
      </c>
      <c r="H22" s="899">
        <f t="shared" si="10"/>
        <v>120.37878947368421</v>
      </c>
      <c r="I22" s="899">
        <f t="shared" si="11"/>
        <v>8.0094751583518509</v>
      </c>
      <c r="J22" s="899">
        <v>9.6925824035672505</v>
      </c>
      <c r="K22" s="899">
        <f t="shared" si="12"/>
        <v>9.1925824035672505</v>
      </c>
      <c r="L22" s="899">
        <f t="shared" si="13"/>
        <v>20</v>
      </c>
      <c r="M22" s="659">
        <f t="shared" si="14"/>
        <v>160.189503167037</v>
      </c>
      <c r="N22" s="659">
        <f t="shared" si="15"/>
        <v>183.85164807134501</v>
      </c>
      <c r="O22" s="900"/>
      <c r="P22" s="659"/>
      <c r="Q22" s="659"/>
      <c r="R22" s="659"/>
      <c r="S22" s="660"/>
      <c r="T22" s="660"/>
      <c r="U22" s="660"/>
      <c r="V22" s="660"/>
      <c r="W22" s="661"/>
      <c r="X22" s="661"/>
    </row>
    <row r="23" spans="1:24" x14ac:dyDescent="0.3">
      <c r="A23" s="897">
        <v>16</v>
      </c>
      <c r="B23" s="659">
        <f>'e-w'!B40</f>
        <v>180</v>
      </c>
      <c r="C23" s="659">
        <f>'e-w'!C40</f>
        <v>474.47307894736844</v>
      </c>
      <c r="D23" s="659">
        <f t="shared" si="8"/>
        <v>122.52692105263156</v>
      </c>
      <c r="E23" s="899">
        <v>9.5094751583518509</v>
      </c>
      <c r="F23" s="899">
        <f>B.T.!G16</f>
        <v>4</v>
      </c>
      <c r="G23" s="899">
        <f t="shared" si="9"/>
        <v>116.52692105263156</v>
      </c>
      <c r="H23" s="899">
        <f t="shared" si="10"/>
        <v>120.52692105263156</v>
      </c>
      <c r="I23" s="899">
        <f t="shared" si="11"/>
        <v>9.0094751583518509</v>
      </c>
      <c r="J23" s="899">
        <v>10.6925824035673</v>
      </c>
      <c r="K23" s="899">
        <f t="shared" si="12"/>
        <v>10.192582403567275</v>
      </c>
      <c r="L23" s="899">
        <f t="shared" si="13"/>
        <v>20</v>
      </c>
      <c r="M23" s="659">
        <f t="shared" si="14"/>
        <v>180.189503167037</v>
      </c>
      <c r="N23" s="659">
        <f t="shared" si="15"/>
        <v>203.85164807134549</v>
      </c>
      <c r="O23" s="900"/>
      <c r="P23" s="659"/>
      <c r="Q23" s="659"/>
      <c r="R23" s="659"/>
      <c r="S23" s="660"/>
      <c r="T23" s="660"/>
      <c r="U23" s="660"/>
      <c r="V23" s="660"/>
      <c r="W23" s="661"/>
      <c r="X23" s="661"/>
    </row>
    <row r="24" spans="1:24" x14ac:dyDescent="0.3">
      <c r="A24" s="897">
        <v>17</v>
      </c>
      <c r="B24" s="659">
        <f>'e-w'!B41</f>
        <v>200</v>
      </c>
      <c r="C24" s="659">
        <f>'e-w'!C41</f>
        <v>474.26559210526312</v>
      </c>
      <c r="D24" s="659">
        <f t="shared" si="8"/>
        <v>122.73440789473688</v>
      </c>
      <c r="E24" s="899">
        <v>10.509475158351799</v>
      </c>
      <c r="F24" s="899">
        <f>B.T.!G17</f>
        <v>4</v>
      </c>
      <c r="G24" s="899">
        <f t="shared" si="9"/>
        <v>116.73440789473688</v>
      </c>
      <c r="H24" s="899">
        <f t="shared" si="10"/>
        <v>120.73440789473688</v>
      </c>
      <c r="I24" s="899">
        <f t="shared" si="11"/>
        <v>10.009475158351826</v>
      </c>
      <c r="J24" s="899">
        <v>11.6925824035673</v>
      </c>
      <c r="K24" s="899">
        <f t="shared" si="12"/>
        <v>11.1925824035673</v>
      </c>
      <c r="L24" s="899">
        <f t="shared" si="13"/>
        <v>20</v>
      </c>
      <c r="M24" s="659">
        <f t="shared" si="14"/>
        <v>200.18950316703652</v>
      </c>
      <c r="N24" s="659">
        <f t="shared" si="15"/>
        <v>223.85164807134601</v>
      </c>
      <c r="O24" s="900"/>
      <c r="P24" s="659"/>
      <c r="Q24" s="659"/>
      <c r="R24" s="659"/>
      <c r="S24" s="660"/>
      <c r="T24" s="660"/>
      <c r="U24" s="660"/>
      <c r="V24" s="660"/>
      <c r="W24" s="661"/>
      <c r="X24" s="661"/>
    </row>
    <row r="25" spans="1:24" x14ac:dyDescent="0.3">
      <c r="A25" s="897">
        <v>39</v>
      </c>
      <c r="B25" s="659">
        <f>'e-w'!B42</f>
        <v>220</v>
      </c>
      <c r="C25" s="659">
        <f>'e-w'!C42</f>
        <v>470.31336842105264</v>
      </c>
      <c r="D25" s="659">
        <f t="shared" si="8"/>
        <v>126.68663157894736</v>
      </c>
      <c r="E25" s="899">
        <v>11.509475158351799</v>
      </c>
      <c r="F25" s="899">
        <f>B.T.!G18</f>
        <v>4</v>
      </c>
      <c r="G25" s="899">
        <f t="shared" si="9"/>
        <v>120.68663157894736</v>
      </c>
      <c r="H25" s="899">
        <f t="shared" si="10"/>
        <v>124.68663157894736</v>
      </c>
      <c r="I25" s="899">
        <f t="shared" si="11"/>
        <v>11.009475158351799</v>
      </c>
      <c r="J25" s="899">
        <v>12.6925824035673</v>
      </c>
      <c r="K25" s="899">
        <f t="shared" si="12"/>
        <v>12.1925824035673</v>
      </c>
      <c r="L25" s="899">
        <f t="shared" si="13"/>
        <v>20</v>
      </c>
      <c r="M25" s="659">
        <f t="shared" si="14"/>
        <v>220.18950316703598</v>
      </c>
      <c r="N25" s="659">
        <f t="shared" si="15"/>
        <v>243.85164807134601</v>
      </c>
      <c r="O25" s="900"/>
      <c r="P25" s="659"/>
      <c r="Q25" s="659"/>
      <c r="R25" s="659"/>
      <c r="S25" s="660"/>
      <c r="T25" s="660"/>
      <c r="U25" s="660"/>
      <c r="V25" s="660"/>
      <c r="W25" s="661"/>
      <c r="X25" s="661"/>
    </row>
    <row r="26" spans="1:24" x14ac:dyDescent="0.3">
      <c r="A26" s="897">
        <v>40</v>
      </c>
      <c r="B26" s="659">
        <f>'e-w'!B43</f>
        <v>240</v>
      </c>
      <c r="C26" s="659">
        <f>'e-w'!C43</f>
        <v>469.86581578947369</v>
      </c>
      <c r="D26" s="659">
        <f t="shared" si="8"/>
        <v>127.13418421052631</v>
      </c>
      <c r="E26" s="899">
        <v>12.509475158351799</v>
      </c>
      <c r="F26" s="899">
        <f>B.T.!G19</f>
        <v>4</v>
      </c>
      <c r="G26" s="899">
        <f t="shared" si="9"/>
        <v>121.13418421052631</v>
      </c>
      <c r="H26" s="899">
        <f t="shared" si="10"/>
        <v>125.13418421052631</v>
      </c>
      <c r="I26" s="899">
        <f t="shared" si="11"/>
        <v>12.009475158351799</v>
      </c>
      <c r="J26" s="899">
        <v>13.6925824035673</v>
      </c>
      <c r="K26" s="899">
        <f t="shared" si="12"/>
        <v>13.1925824035673</v>
      </c>
      <c r="L26" s="899">
        <f t="shared" si="13"/>
        <v>20</v>
      </c>
      <c r="M26" s="659">
        <f t="shared" si="14"/>
        <v>240.18950316703598</v>
      </c>
      <c r="N26" s="659">
        <f t="shared" si="15"/>
        <v>263.85164807134601</v>
      </c>
      <c r="O26" s="900"/>
      <c r="P26" s="659"/>
      <c r="Q26" s="659"/>
      <c r="R26" s="659"/>
      <c r="S26" s="660"/>
      <c r="T26" s="660"/>
      <c r="U26" s="660"/>
      <c r="V26" s="660"/>
      <c r="W26" s="661"/>
      <c r="X26" s="661"/>
    </row>
    <row r="27" spans="1:24" x14ac:dyDescent="0.3">
      <c r="A27" s="897">
        <v>8</v>
      </c>
      <c r="B27" s="659">
        <f>'e-w'!B44</f>
        <v>260</v>
      </c>
      <c r="C27" s="659">
        <f>'e-w'!C44</f>
        <v>469.42184210526324</v>
      </c>
      <c r="D27" s="659">
        <f t="shared" si="8"/>
        <v>127.57815789473676</v>
      </c>
      <c r="E27" s="899">
        <v>13.509475158351799</v>
      </c>
      <c r="F27" s="899">
        <f>B.T.!G20</f>
        <v>4</v>
      </c>
      <c r="G27" s="899">
        <f t="shared" si="9"/>
        <v>121.57815789473676</v>
      </c>
      <c r="H27" s="899">
        <f t="shared" si="10"/>
        <v>125.57815789473676</v>
      </c>
      <c r="I27" s="899">
        <f t="shared" si="11"/>
        <v>13.009475158351799</v>
      </c>
      <c r="J27" s="899">
        <v>14.6925824035673</v>
      </c>
      <c r="K27" s="899">
        <f t="shared" si="12"/>
        <v>14.1925824035673</v>
      </c>
      <c r="L27" s="899">
        <f t="shared" si="13"/>
        <v>20</v>
      </c>
      <c r="M27" s="659">
        <f t="shared" si="14"/>
        <v>260.18950316703598</v>
      </c>
      <c r="N27" s="659">
        <f t="shared" si="15"/>
        <v>283.85164807134601</v>
      </c>
      <c r="O27" s="900"/>
      <c r="P27" s="659"/>
      <c r="Q27" s="659"/>
      <c r="R27" s="659"/>
      <c r="S27" s="660"/>
      <c r="T27" s="660"/>
      <c r="U27" s="660"/>
      <c r="V27" s="660"/>
      <c r="W27" s="661"/>
      <c r="X27" s="661"/>
    </row>
    <row r="28" spans="1:24" x14ac:dyDescent="0.3">
      <c r="A28" s="897">
        <v>8</v>
      </c>
      <c r="B28" s="659">
        <f>'e-w'!B45</f>
        <v>280</v>
      </c>
      <c r="C28" s="659">
        <f>'e-w'!C45</f>
        <v>469.52473684210526</v>
      </c>
      <c r="D28" s="659">
        <f t="shared" si="8"/>
        <v>127.47526315789474</v>
      </c>
      <c r="E28" s="899">
        <v>14.509475158351799</v>
      </c>
      <c r="F28" s="899">
        <f>B.T.!G21</f>
        <v>4</v>
      </c>
      <c r="G28" s="899">
        <f t="shared" si="9"/>
        <v>121.47526315789474</v>
      </c>
      <c r="H28" s="899">
        <f t="shared" si="10"/>
        <v>125.47526315789474</v>
      </c>
      <c r="I28" s="899">
        <f t="shared" si="11"/>
        <v>14.009475158351799</v>
      </c>
      <c r="J28" s="899">
        <v>15.6925824035673</v>
      </c>
      <c r="K28" s="899">
        <f t="shared" si="12"/>
        <v>15.1925824035673</v>
      </c>
      <c r="L28" s="899">
        <f t="shared" si="13"/>
        <v>20</v>
      </c>
      <c r="M28" s="659">
        <f t="shared" si="14"/>
        <v>280.18950316703598</v>
      </c>
      <c r="N28" s="659">
        <f t="shared" si="15"/>
        <v>303.85164807134601</v>
      </c>
      <c r="O28" s="900"/>
      <c r="P28" s="659"/>
      <c r="Q28" s="659"/>
      <c r="R28" s="659"/>
      <c r="S28" s="660"/>
      <c r="T28" s="660"/>
      <c r="U28" s="660"/>
      <c r="V28" s="660"/>
      <c r="W28" s="661"/>
      <c r="X28" s="661"/>
    </row>
    <row r="29" spans="1:24" x14ac:dyDescent="0.3">
      <c r="A29" s="897">
        <v>9</v>
      </c>
      <c r="B29" s="659">
        <f>'e-w'!B46</f>
        <v>300</v>
      </c>
      <c r="C29" s="659">
        <f>'e-w'!C46</f>
        <v>468.85885526315792</v>
      </c>
      <c r="D29" s="659">
        <f t="shared" si="8"/>
        <v>128.14114473684208</v>
      </c>
      <c r="E29" s="899">
        <v>15.509475158351799</v>
      </c>
      <c r="F29" s="899">
        <f>B.T.!G22</f>
        <v>4</v>
      </c>
      <c r="G29" s="899">
        <f t="shared" si="9"/>
        <v>122.14114473684208</v>
      </c>
      <c r="H29" s="899">
        <f t="shared" si="10"/>
        <v>126.14114473684208</v>
      </c>
      <c r="I29" s="899">
        <f t="shared" si="11"/>
        <v>15.009475158351799</v>
      </c>
      <c r="J29" s="899">
        <v>16.6925824035673</v>
      </c>
      <c r="K29" s="899">
        <f t="shared" si="12"/>
        <v>16.1925824035673</v>
      </c>
      <c r="L29" s="899">
        <f t="shared" si="13"/>
        <v>20</v>
      </c>
      <c r="M29" s="659">
        <f t="shared" si="14"/>
        <v>300.18950316703598</v>
      </c>
      <c r="N29" s="659">
        <f t="shared" si="15"/>
        <v>323.85164807134601</v>
      </c>
      <c r="O29" s="900"/>
      <c r="P29" s="659"/>
      <c r="Q29" s="659"/>
      <c r="R29" s="659"/>
      <c r="S29" s="660"/>
      <c r="T29" s="660"/>
      <c r="U29" s="660"/>
      <c r="V29" s="660"/>
      <c r="W29" s="661"/>
      <c r="X29" s="661"/>
    </row>
    <row r="30" spans="1:24" x14ac:dyDescent="0.3">
      <c r="A30" s="897">
        <v>10</v>
      </c>
      <c r="B30" s="659">
        <f>'e-w'!B47</f>
        <v>320</v>
      </c>
      <c r="C30" s="659">
        <f>'e-w'!C47</f>
        <v>468.42110526315793</v>
      </c>
      <c r="D30" s="659">
        <f t="shared" si="8"/>
        <v>128.57889473684207</v>
      </c>
      <c r="E30" s="899">
        <v>16.509475158351801</v>
      </c>
      <c r="F30" s="899">
        <f>B.T.!G23</f>
        <v>4</v>
      </c>
      <c r="G30" s="899">
        <f t="shared" si="9"/>
        <v>122.57889473684207</v>
      </c>
      <c r="H30" s="899">
        <f t="shared" si="10"/>
        <v>126.57889473684207</v>
      </c>
      <c r="I30" s="899">
        <f t="shared" si="11"/>
        <v>16.009475158351801</v>
      </c>
      <c r="J30" s="899">
        <v>17.6925824035673</v>
      </c>
      <c r="K30" s="899">
        <f t="shared" si="12"/>
        <v>17.1925824035673</v>
      </c>
      <c r="L30" s="899">
        <f t="shared" si="13"/>
        <v>20</v>
      </c>
      <c r="M30" s="659">
        <f t="shared" si="14"/>
        <v>320.18950316703604</v>
      </c>
      <c r="N30" s="659">
        <f t="shared" si="15"/>
        <v>343.85164807134601</v>
      </c>
      <c r="O30" s="900"/>
      <c r="P30" s="659"/>
      <c r="Q30" s="659"/>
      <c r="R30" s="659"/>
      <c r="S30" s="660"/>
      <c r="T30" s="660"/>
      <c r="U30" s="660"/>
      <c r="V30" s="660"/>
      <c r="W30" s="661"/>
      <c r="X30" s="661"/>
    </row>
    <row r="31" spans="1:24" x14ac:dyDescent="0.3">
      <c r="A31" s="897">
        <v>11</v>
      </c>
      <c r="B31" s="659">
        <f>'e-w'!B48</f>
        <v>340</v>
      </c>
      <c r="C31" s="659">
        <f>'e-w'!C48</f>
        <v>468.19992105263151</v>
      </c>
      <c r="D31" s="659">
        <f t="shared" si="8"/>
        <v>128.80007894736849</v>
      </c>
      <c r="E31" s="899">
        <v>17.509475158351801</v>
      </c>
      <c r="F31" s="899">
        <f>B.T.!G24</f>
        <v>4</v>
      </c>
      <c r="G31" s="899">
        <f t="shared" si="9"/>
        <v>122.80007894736849</v>
      </c>
      <c r="H31" s="899">
        <f t="shared" si="10"/>
        <v>126.80007894736849</v>
      </c>
      <c r="I31" s="899">
        <f t="shared" si="11"/>
        <v>17.009475158351801</v>
      </c>
      <c r="J31" s="899">
        <v>18.6925824035673</v>
      </c>
      <c r="K31" s="899">
        <f t="shared" si="12"/>
        <v>18.1925824035673</v>
      </c>
      <c r="L31" s="899">
        <f t="shared" si="13"/>
        <v>20</v>
      </c>
      <c r="M31" s="659">
        <f t="shared" si="14"/>
        <v>340.18950316703604</v>
      </c>
      <c r="N31" s="659">
        <f t="shared" si="15"/>
        <v>363.85164807134601</v>
      </c>
      <c r="O31" s="900"/>
      <c r="P31" s="659"/>
      <c r="Q31" s="659"/>
      <c r="R31" s="659"/>
      <c r="S31" s="660"/>
      <c r="T31" s="660"/>
      <c r="U31" s="660"/>
      <c r="V31" s="660"/>
      <c r="W31" s="661"/>
      <c r="X31" s="661"/>
    </row>
    <row r="32" spans="1:24" x14ac:dyDescent="0.3">
      <c r="A32" s="897">
        <v>12</v>
      </c>
      <c r="B32" s="659">
        <f>'e-w'!B49</f>
        <v>360</v>
      </c>
      <c r="C32" s="659">
        <f>'e-w'!C49</f>
        <v>462.14211688311696</v>
      </c>
      <c r="D32" s="659">
        <f t="shared" si="8"/>
        <v>134.85788311688304</v>
      </c>
      <c r="E32" s="899">
        <v>18.509475158351801</v>
      </c>
      <c r="F32" s="899">
        <f>B.T.!G25</f>
        <v>4</v>
      </c>
      <c r="G32" s="899">
        <f t="shared" si="9"/>
        <v>128.85788311688304</v>
      </c>
      <c r="H32" s="899">
        <f t="shared" si="10"/>
        <v>132.85788311688304</v>
      </c>
      <c r="I32" s="899">
        <f t="shared" si="11"/>
        <v>18.009475158351801</v>
      </c>
      <c r="J32" s="899">
        <v>19.6925824035673</v>
      </c>
      <c r="K32" s="899">
        <f t="shared" si="12"/>
        <v>19.1925824035673</v>
      </c>
      <c r="L32" s="899">
        <f t="shared" si="13"/>
        <v>20</v>
      </c>
      <c r="M32" s="659">
        <f t="shared" si="14"/>
        <v>360.18950316703604</v>
      </c>
      <c r="N32" s="659">
        <f t="shared" si="15"/>
        <v>383.85164807134601</v>
      </c>
      <c r="O32" s="900"/>
      <c r="P32" s="659"/>
      <c r="Q32" s="659"/>
      <c r="R32" s="659"/>
      <c r="S32" s="660"/>
      <c r="T32" s="660"/>
      <c r="U32" s="660"/>
      <c r="V32" s="660"/>
      <c r="W32" s="661"/>
      <c r="X32" s="661"/>
    </row>
    <row r="33" spans="1:24" x14ac:dyDescent="0.3">
      <c r="A33" s="897">
        <v>13</v>
      </c>
      <c r="B33" s="659">
        <f>'e-w'!B50</f>
        <v>380</v>
      </c>
      <c r="C33" s="659">
        <f>'e-w'!C50</f>
        <v>460.22500000000002</v>
      </c>
      <c r="D33" s="659">
        <f t="shared" si="8"/>
        <v>136.77499999999998</v>
      </c>
      <c r="E33" s="899">
        <v>19.509475158351801</v>
      </c>
      <c r="F33" s="899">
        <f>B.T.!G26</f>
        <v>4</v>
      </c>
      <c r="G33" s="899">
        <f t="shared" si="9"/>
        <v>130.77499999999998</v>
      </c>
      <c r="H33" s="899">
        <f t="shared" si="10"/>
        <v>134.77499999999998</v>
      </c>
      <c r="I33" s="899">
        <f t="shared" si="11"/>
        <v>19.009475158351801</v>
      </c>
      <c r="J33" s="899">
        <v>20.6925824035673</v>
      </c>
      <c r="K33" s="899">
        <f t="shared" si="12"/>
        <v>20.1925824035673</v>
      </c>
      <c r="L33" s="899">
        <f t="shared" si="13"/>
        <v>20</v>
      </c>
      <c r="M33" s="659">
        <f t="shared" si="14"/>
        <v>380.18950316703604</v>
      </c>
      <c r="N33" s="659">
        <f t="shared" si="15"/>
        <v>403.85164807134601</v>
      </c>
      <c r="O33" s="900"/>
      <c r="P33" s="659"/>
      <c r="Q33" s="659"/>
      <c r="R33" s="659"/>
      <c r="S33" s="660"/>
      <c r="T33" s="660"/>
      <c r="U33" s="660"/>
      <c r="V33" s="660"/>
      <c r="W33" s="661"/>
      <c r="X33" s="661"/>
    </row>
    <row r="34" spans="1:24" x14ac:dyDescent="0.3">
      <c r="A34" s="897">
        <v>14</v>
      </c>
      <c r="B34" s="659">
        <f>'e-w'!B51</f>
        <v>400</v>
      </c>
      <c r="C34" s="659">
        <f>'e-w'!C51</f>
        <v>460.22500000000002</v>
      </c>
      <c r="D34" s="659">
        <f t="shared" si="8"/>
        <v>136.77499999999998</v>
      </c>
      <c r="E34" s="899">
        <v>20.509475158351801</v>
      </c>
      <c r="F34" s="899">
        <f>B.T.!G27</f>
        <v>4</v>
      </c>
      <c r="G34" s="899">
        <f t="shared" si="9"/>
        <v>130.77499999999998</v>
      </c>
      <c r="H34" s="899">
        <f t="shared" si="10"/>
        <v>134.77499999999998</v>
      </c>
      <c r="I34" s="899">
        <f t="shared" si="11"/>
        <v>20.009475158351801</v>
      </c>
      <c r="J34" s="899">
        <v>21.6925824035673</v>
      </c>
      <c r="K34" s="899">
        <f t="shared" si="12"/>
        <v>21.1925824035673</v>
      </c>
      <c r="L34" s="899">
        <f t="shared" si="13"/>
        <v>20</v>
      </c>
      <c r="M34" s="659">
        <f t="shared" si="14"/>
        <v>400.18950316703604</v>
      </c>
      <c r="N34" s="659">
        <f t="shared" si="15"/>
        <v>423.85164807134601</v>
      </c>
      <c r="O34" s="900"/>
      <c r="P34" s="659"/>
      <c r="Q34" s="659"/>
      <c r="R34" s="659"/>
      <c r="S34" s="660"/>
      <c r="T34" s="660"/>
      <c r="U34" s="660"/>
      <c r="V34" s="660"/>
      <c r="W34" s="661"/>
      <c r="X34" s="661"/>
    </row>
    <row r="35" spans="1:24" x14ac:dyDescent="0.3">
      <c r="A35" s="897">
        <v>15</v>
      </c>
      <c r="B35" s="659">
        <f>'e-w'!B52</f>
        <v>420</v>
      </c>
      <c r="C35" s="659">
        <f>'e-w'!C52</f>
        <v>460.22500000000002</v>
      </c>
      <c r="D35" s="659">
        <f t="shared" si="8"/>
        <v>136.77499999999998</v>
      </c>
      <c r="E35" s="899">
        <v>21.509475158351801</v>
      </c>
      <c r="F35" s="899">
        <f>B.T.!G28</f>
        <v>4</v>
      </c>
      <c r="G35" s="899">
        <f t="shared" si="9"/>
        <v>130.77499999999998</v>
      </c>
      <c r="H35" s="899">
        <f t="shared" si="10"/>
        <v>134.77499999999998</v>
      </c>
      <c r="I35" s="899">
        <f t="shared" si="11"/>
        <v>21.009475158351801</v>
      </c>
      <c r="J35" s="899">
        <v>22.6925824035673</v>
      </c>
      <c r="K35" s="899">
        <f t="shared" si="12"/>
        <v>22.1925824035673</v>
      </c>
      <c r="L35" s="899">
        <f t="shared" si="13"/>
        <v>20</v>
      </c>
      <c r="M35" s="659">
        <f t="shared" si="14"/>
        <v>420.18950316703604</v>
      </c>
      <c r="N35" s="659">
        <f t="shared" si="15"/>
        <v>443.85164807134601</v>
      </c>
      <c r="O35" s="900"/>
      <c r="P35" s="659"/>
      <c r="Q35" s="659"/>
      <c r="R35" s="659"/>
      <c r="S35" s="660"/>
      <c r="T35" s="660"/>
      <c r="U35" s="660"/>
      <c r="V35" s="660"/>
      <c r="W35" s="661"/>
      <c r="X35" s="661"/>
    </row>
    <row r="36" spans="1:24" x14ac:dyDescent="0.3">
      <c r="A36" s="897">
        <v>16</v>
      </c>
      <c r="B36" s="659">
        <f>'e-w'!B53</f>
        <v>440</v>
      </c>
      <c r="C36" s="659">
        <f>'e-w'!C53</f>
        <v>464.81158441558438</v>
      </c>
      <c r="D36" s="659">
        <f t="shared" si="8"/>
        <v>132.18841558441562</v>
      </c>
      <c r="E36" s="899">
        <v>22.509475158351801</v>
      </c>
      <c r="F36" s="899">
        <f>B.T.!G29</f>
        <v>4</v>
      </c>
      <c r="G36" s="899">
        <f t="shared" si="9"/>
        <v>126.18841558441562</v>
      </c>
      <c r="H36" s="899">
        <f t="shared" si="10"/>
        <v>130.18841558441562</v>
      </c>
      <c r="I36" s="899">
        <f t="shared" si="11"/>
        <v>22.009475158351801</v>
      </c>
      <c r="J36" s="899">
        <v>23.6925824035673</v>
      </c>
      <c r="K36" s="899">
        <f t="shared" si="12"/>
        <v>23.1925824035673</v>
      </c>
      <c r="L36" s="899">
        <f t="shared" si="13"/>
        <v>20</v>
      </c>
      <c r="M36" s="659">
        <f t="shared" si="14"/>
        <v>440.18950316703604</v>
      </c>
      <c r="N36" s="659">
        <f t="shared" si="15"/>
        <v>463.85164807134601</v>
      </c>
      <c r="O36" s="900"/>
      <c r="P36" s="659"/>
      <c r="Q36" s="659"/>
      <c r="R36" s="659"/>
      <c r="S36" s="660"/>
      <c r="T36" s="660"/>
      <c r="U36" s="660"/>
      <c r="V36" s="660"/>
      <c r="W36" s="661"/>
      <c r="X36" s="661"/>
    </row>
    <row r="37" spans="1:24" x14ac:dyDescent="0.3">
      <c r="A37" s="897">
        <v>17</v>
      </c>
      <c r="B37" s="659">
        <f>'e-w'!B54</f>
        <v>460</v>
      </c>
      <c r="C37" s="659">
        <f>'e-w'!C54</f>
        <v>467.01165789473686</v>
      </c>
      <c r="D37" s="659">
        <f t="shared" si="8"/>
        <v>129.98834210526314</v>
      </c>
      <c r="E37" s="899">
        <v>23.509475158351801</v>
      </c>
      <c r="F37" s="899">
        <f>B.T.!G30</f>
        <v>4</v>
      </c>
      <c r="G37" s="899">
        <f t="shared" si="9"/>
        <v>123.98834210526314</v>
      </c>
      <c r="H37" s="899">
        <f t="shared" si="10"/>
        <v>127.98834210526314</v>
      </c>
      <c r="I37" s="899">
        <f t="shared" si="11"/>
        <v>23.009475158351801</v>
      </c>
      <c r="J37" s="899">
        <v>24.6925824035673</v>
      </c>
      <c r="K37" s="899">
        <f t="shared" si="12"/>
        <v>24.1925824035673</v>
      </c>
      <c r="L37" s="899">
        <f t="shared" si="13"/>
        <v>20</v>
      </c>
      <c r="M37" s="659">
        <f t="shared" si="14"/>
        <v>460.18950316703604</v>
      </c>
      <c r="N37" s="659">
        <f t="shared" si="15"/>
        <v>483.85164807134601</v>
      </c>
      <c r="O37" s="900"/>
      <c r="P37" s="659"/>
      <c r="Q37" s="659"/>
      <c r="R37" s="659"/>
      <c r="S37" s="660"/>
      <c r="T37" s="660"/>
      <c r="U37" s="660"/>
      <c r="V37" s="660"/>
      <c r="W37" s="661"/>
      <c r="X37" s="661"/>
    </row>
    <row r="38" spans="1:24" x14ac:dyDescent="0.3">
      <c r="A38" s="897">
        <v>39</v>
      </c>
      <c r="B38" s="659">
        <f>'e-w'!B55</f>
        <v>480</v>
      </c>
      <c r="C38" s="659">
        <f>'e-w'!C55</f>
        <v>468.48202597402599</v>
      </c>
      <c r="D38" s="659">
        <f t="shared" si="8"/>
        <v>128.51797402597401</v>
      </c>
      <c r="E38" s="899">
        <v>24.509475158351801</v>
      </c>
      <c r="F38" s="899">
        <f>B.T.!G31</f>
        <v>4</v>
      </c>
      <c r="G38" s="899">
        <f t="shared" si="9"/>
        <v>122.51797402597401</v>
      </c>
      <c r="H38" s="899">
        <f t="shared" si="10"/>
        <v>126.51797402597401</v>
      </c>
      <c r="I38" s="899">
        <f t="shared" si="11"/>
        <v>24.009475158351801</v>
      </c>
      <c r="J38" s="899">
        <v>25.6925824035673</v>
      </c>
      <c r="K38" s="899">
        <f t="shared" si="12"/>
        <v>25.1925824035673</v>
      </c>
      <c r="L38" s="899">
        <f t="shared" si="13"/>
        <v>20</v>
      </c>
      <c r="M38" s="659">
        <f t="shared" si="14"/>
        <v>480.18950316703604</v>
      </c>
      <c r="N38" s="659">
        <f t="shared" si="15"/>
        <v>503.85164807134601</v>
      </c>
      <c r="O38" s="900"/>
      <c r="P38" s="659"/>
      <c r="Q38" s="659"/>
      <c r="R38" s="659"/>
      <c r="S38" s="660"/>
      <c r="T38" s="660"/>
      <c r="U38" s="660"/>
      <c r="V38" s="660"/>
      <c r="W38" s="661"/>
      <c r="X38" s="661"/>
    </row>
    <row r="39" spans="1:24" x14ac:dyDescent="0.3">
      <c r="A39" s="897">
        <v>40</v>
      </c>
      <c r="B39" s="659">
        <f>'e-w'!B56</f>
        <v>500</v>
      </c>
      <c r="C39" s="659">
        <f>'e-w'!C56</f>
        <v>471.3044210526316</v>
      </c>
      <c r="D39" s="659">
        <f t="shared" si="8"/>
        <v>125.6955789473684</v>
      </c>
      <c r="E39" s="899">
        <v>25.509475158351801</v>
      </c>
      <c r="F39" s="899">
        <f>B.T.!G32</f>
        <v>4</v>
      </c>
      <c r="G39" s="899">
        <f t="shared" si="9"/>
        <v>119.6955789473684</v>
      </c>
      <c r="H39" s="899">
        <f t="shared" si="10"/>
        <v>123.6955789473684</v>
      </c>
      <c r="I39" s="899">
        <f t="shared" si="11"/>
        <v>25.009475158351801</v>
      </c>
      <c r="J39" s="899">
        <v>26.6925824035673</v>
      </c>
      <c r="K39" s="899">
        <f t="shared" si="12"/>
        <v>26.1925824035673</v>
      </c>
      <c r="L39" s="899">
        <f t="shared" si="13"/>
        <v>20</v>
      </c>
      <c r="M39" s="659">
        <f t="shared" si="14"/>
        <v>500.18950316703604</v>
      </c>
      <c r="N39" s="659">
        <f t="shared" si="15"/>
        <v>523.85164807134606</v>
      </c>
      <c r="O39" s="900"/>
      <c r="P39" s="659"/>
      <c r="Q39" s="659"/>
      <c r="R39" s="659"/>
      <c r="S39" s="660"/>
      <c r="T39" s="660"/>
      <c r="U39" s="660"/>
      <c r="V39" s="660"/>
      <c r="W39" s="661"/>
      <c r="X39" s="661"/>
    </row>
    <row r="40" spans="1:24" x14ac:dyDescent="0.3">
      <c r="A40" s="897">
        <v>8</v>
      </c>
      <c r="B40" s="659">
        <f>'e-w'!B57</f>
        <v>520</v>
      </c>
      <c r="C40" s="659">
        <f>'e-w'!C57</f>
        <v>470.79352631578945</v>
      </c>
      <c r="D40" s="659">
        <f t="shared" si="8"/>
        <v>126.20647368421055</v>
      </c>
      <c r="E40" s="899">
        <v>26.509475158351801</v>
      </c>
      <c r="F40" s="899">
        <f>B.T.!G33</f>
        <v>4</v>
      </c>
      <c r="G40" s="899">
        <f t="shared" si="9"/>
        <v>120.20647368421055</v>
      </c>
      <c r="H40" s="899">
        <f t="shared" si="10"/>
        <v>124.20647368421055</v>
      </c>
      <c r="I40" s="899">
        <f t="shared" si="11"/>
        <v>26.009475158351801</v>
      </c>
      <c r="J40" s="899">
        <v>27.6925824035673</v>
      </c>
      <c r="K40" s="899">
        <f t="shared" si="12"/>
        <v>27.1925824035673</v>
      </c>
      <c r="L40" s="899">
        <f t="shared" si="13"/>
        <v>20</v>
      </c>
      <c r="M40" s="659">
        <f t="shared" si="14"/>
        <v>520.18950316703604</v>
      </c>
      <c r="N40" s="659">
        <f t="shared" si="15"/>
        <v>543.85164807134606</v>
      </c>
      <c r="O40" s="900"/>
      <c r="P40" s="659"/>
      <c r="Q40" s="659"/>
      <c r="R40" s="659"/>
      <c r="S40" s="660"/>
      <c r="T40" s="660"/>
      <c r="U40" s="660"/>
      <c r="V40" s="660"/>
      <c r="W40" s="661"/>
      <c r="X40" s="661"/>
    </row>
    <row r="41" spans="1:24" x14ac:dyDescent="0.3">
      <c r="B41" s="659">
        <f>'e-w'!B58</f>
        <v>540</v>
      </c>
      <c r="C41" s="659">
        <f>'e-w'!C58</f>
        <v>467.65193421052629</v>
      </c>
      <c r="D41" s="659">
        <f t="shared" si="8"/>
        <v>129.34806578947371</v>
      </c>
      <c r="E41" s="899">
        <v>27.509475158351801</v>
      </c>
      <c r="F41" s="899">
        <f>B.T.!G34</f>
        <v>4</v>
      </c>
      <c r="G41" s="899">
        <f t="shared" si="9"/>
        <v>123.34806578947371</v>
      </c>
      <c r="H41" s="899">
        <f t="shared" si="10"/>
        <v>127.34806578947371</v>
      </c>
      <c r="I41" s="899">
        <f t="shared" si="11"/>
        <v>27.009475158351801</v>
      </c>
      <c r="J41" s="899">
        <v>28.6925824035673</v>
      </c>
      <c r="K41" s="899">
        <f t="shared" si="12"/>
        <v>28.1925824035673</v>
      </c>
      <c r="L41" s="899">
        <f t="shared" si="13"/>
        <v>20</v>
      </c>
      <c r="M41" s="659">
        <f t="shared" si="14"/>
        <v>540.18950316703604</v>
      </c>
      <c r="N41" s="659">
        <f t="shared" si="15"/>
        <v>563.85164807134606</v>
      </c>
    </row>
    <row r="42" spans="1:24" x14ac:dyDescent="0.3">
      <c r="B42" s="659">
        <f>'e-w'!B59</f>
        <v>560</v>
      </c>
      <c r="C42" s="659">
        <f>'e-w'!C59</f>
        <v>468.157974025974</v>
      </c>
      <c r="D42" s="659">
        <f t="shared" si="8"/>
        <v>128.842025974026</v>
      </c>
      <c r="E42" s="899">
        <v>28.509475158351801</v>
      </c>
      <c r="F42" s="899">
        <f>B.T.!G35</f>
        <v>4</v>
      </c>
      <c r="G42" s="899">
        <f t="shared" si="9"/>
        <v>122.842025974026</v>
      </c>
      <c r="H42" s="899">
        <f t="shared" si="10"/>
        <v>126.842025974026</v>
      </c>
      <c r="I42" s="899">
        <f t="shared" si="11"/>
        <v>28.009475158351801</v>
      </c>
      <c r="J42" s="899">
        <v>29.6925824035673</v>
      </c>
      <c r="K42" s="899">
        <f t="shared" si="12"/>
        <v>29.1925824035673</v>
      </c>
      <c r="L42" s="899">
        <f t="shared" si="13"/>
        <v>20</v>
      </c>
      <c r="M42" s="659">
        <f t="shared" si="14"/>
        <v>560.18950316703604</v>
      </c>
      <c r="N42" s="659">
        <f t="shared" si="15"/>
        <v>583.85164807134606</v>
      </c>
    </row>
    <row r="43" spans="1:24" x14ac:dyDescent="0.3">
      <c r="B43" s="659">
        <f>'e-w'!B60</f>
        <v>580</v>
      </c>
      <c r="C43" s="659">
        <f>'e-w'!C60</f>
        <v>471.00294736842108</v>
      </c>
      <c r="D43" s="659">
        <f t="shared" si="8"/>
        <v>125.99705263157892</v>
      </c>
      <c r="E43" s="899">
        <v>29.509475158351801</v>
      </c>
      <c r="F43" s="899">
        <f>B.T.!G36</f>
        <v>4</v>
      </c>
      <c r="G43" s="899">
        <f t="shared" si="9"/>
        <v>119.99705263157892</v>
      </c>
      <c r="H43" s="899">
        <f t="shared" si="10"/>
        <v>123.99705263157892</v>
      </c>
      <c r="I43" s="899">
        <f t="shared" si="11"/>
        <v>29.009475158351801</v>
      </c>
      <c r="J43" s="899">
        <v>30.6925824035673</v>
      </c>
      <c r="K43" s="899">
        <f t="shared" si="12"/>
        <v>30.1925824035673</v>
      </c>
      <c r="L43" s="899">
        <f t="shared" si="13"/>
        <v>20</v>
      </c>
      <c r="M43" s="659">
        <f t="shared" si="14"/>
        <v>580.18950316703604</v>
      </c>
      <c r="N43" s="659">
        <f t="shared" si="15"/>
        <v>603.85164807134606</v>
      </c>
    </row>
    <row r="44" spans="1:24" x14ac:dyDescent="0.3">
      <c r="B44" s="659">
        <f>'e-w'!B61</f>
        <v>600</v>
      </c>
      <c r="C44" s="659">
        <f>'e-w'!C61</f>
        <v>470.72336842105267</v>
      </c>
      <c r="D44" s="659">
        <f t="shared" si="8"/>
        <v>126.27663157894733</v>
      </c>
      <c r="E44" s="899">
        <v>30.509475158351801</v>
      </c>
      <c r="F44" s="899">
        <f>B.T.!G37</f>
        <v>4</v>
      </c>
      <c r="G44" s="899">
        <f t="shared" si="9"/>
        <v>120.27663157894733</v>
      </c>
      <c r="H44" s="899">
        <f t="shared" si="10"/>
        <v>124.27663157894733</v>
      </c>
      <c r="I44" s="899">
        <f t="shared" si="11"/>
        <v>30.009475158351801</v>
      </c>
      <c r="J44" s="899">
        <v>31.6925824035673</v>
      </c>
      <c r="K44" s="899">
        <f t="shared" si="12"/>
        <v>31.1925824035673</v>
      </c>
      <c r="L44" s="899">
        <f t="shared" si="13"/>
        <v>20</v>
      </c>
      <c r="M44" s="659">
        <f t="shared" si="14"/>
        <v>600.18950316703604</v>
      </c>
      <c r="N44" s="659">
        <f t="shared" si="15"/>
        <v>623.85164807134606</v>
      </c>
    </row>
    <row r="45" spans="1:24" x14ac:dyDescent="0.3">
      <c r="B45" s="659">
        <f>'e-w'!B62</f>
        <v>620</v>
      </c>
      <c r="C45" s="659">
        <f>'e-w'!C62</f>
        <v>472.39347368421051</v>
      </c>
      <c r="D45" s="659">
        <f t="shared" si="8"/>
        <v>124.60652631578949</v>
      </c>
      <c r="E45" s="899">
        <v>31.509475158351801</v>
      </c>
      <c r="F45" s="899">
        <f>B.T.!G38</f>
        <v>4</v>
      </c>
      <c r="G45" s="899">
        <f t="shared" si="9"/>
        <v>118.60652631578949</v>
      </c>
      <c r="H45" s="899">
        <f t="shared" si="10"/>
        <v>122.60652631578949</v>
      </c>
      <c r="I45" s="899">
        <f t="shared" si="11"/>
        <v>31.009475158351801</v>
      </c>
      <c r="J45" s="899">
        <v>32.6925824035673</v>
      </c>
      <c r="K45" s="899">
        <f t="shared" si="12"/>
        <v>32.1925824035673</v>
      </c>
      <c r="L45" s="899">
        <f t="shared" si="13"/>
        <v>20</v>
      </c>
      <c r="M45" s="659">
        <f t="shared" si="14"/>
        <v>620.18950316703604</v>
      </c>
      <c r="N45" s="659">
        <f t="shared" si="15"/>
        <v>643.85164807134606</v>
      </c>
    </row>
    <row r="46" spans="1:24" x14ac:dyDescent="0.3">
      <c r="B46" s="659">
        <f>'e-w'!B63</f>
        <v>640</v>
      </c>
      <c r="C46" s="659">
        <f>'e-w'!C63</f>
        <v>473.79128947368423</v>
      </c>
      <c r="D46" s="659">
        <f t="shared" si="8"/>
        <v>123.20871052631577</v>
      </c>
      <c r="E46" s="899">
        <v>32.509475158351798</v>
      </c>
      <c r="F46" s="899">
        <f>B.T.!G39</f>
        <v>4</v>
      </c>
      <c r="G46" s="899">
        <f t="shared" si="9"/>
        <v>117.20871052631577</v>
      </c>
      <c r="H46" s="899">
        <f t="shared" si="10"/>
        <v>121.20871052631577</v>
      </c>
      <c r="I46" s="899">
        <f t="shared" si="11"/>
        <v>32.009475158351798</v>
      </c>
      <c r="J46" s="899">
        <v>33.6925824035673</v>
      </c>
      <c r="K46" s="899">
        <f t="shared" si="12"/>
        <v>33.1925824035673</v>
      </c>
      <c r="L46" s="899">
        <f t="shared" si="13"/>
        <v>20</v>
      </c>
      <c r="M46" s="659">
        <f t="shared" si="14"/>
        <v>640.18950316703592</v>
      </c>
      <c r="N46" s="659">
        <f t="shared" si="15"/>
        <v>663.85164807134606</v>
      </c>
    </row>
    <row r="47" spans="1:24" x14ac:dyDescent="0.3">
      <c r="B47" s="659">
        <f>'e-w'!B64</f>
        <v>660</v>
      </c>
      <c r="C47" s="659">
        <f>'e-w'!C64</f>
        <v>473.54386842105259</v>
      </c>
      <c r="D47" s="659">
        <f t="shared" si="8"/>
        <v>123.45613157894741</v>
      </c>
      <c r="E47" s="899">
        <v>33.509475158351798</v>
      </c>
      <c r="F47" s="899">
        <f>B.T.!G40</f>
        <v>4</v>
      </c>
      <c r="G47" s="899">
        <f t="shared" si="9"/>
        <v>117.45613157894741</v>
      </c>
      <c r="H47" s="899">
        <f t="shared" si="10"/>
        <v>121.45613157894741</v>
      </c>
      <c r="I47" s="899">
        <f t="shared" si="11"/>
        <v>33.009475158351798</v>
      </c>
      <c r="J47" s="899">
        <v>34.6925824035673</v>
      </c>
      <c r="K47" s="899">
        <f t="shared" si="12"/>
        <v>34.1925824035673</v>
      </c>
      <c r="L47" s="899">
        <f t="shared" si="13"/>
        <v>20</v>
      </c>
      <c r="M47" s="659">
        <f t="shared" si="14"/>
        <v>660.18950316703592</v>
      </c>
      <c r="N47" s="659">
        <f t="shared" si="15"/>
        <v>683.85164807134606</v>
      </c>
    </row>
    <row r="48" spans="1:24" x14ac:dyDescent="0.3">
      <c r="B48" s="659">
        <f>'e-w'!B65</f>
        <v>680</v>
      </c>
      <c r="C48" s="659">
        <f>'e-w'!C65</f>
        <v>476.3522631578947</v>
      </c>
      <c r="D48" s="659">
        <f t="shared" si="8"/>
        <v>120.6477368421053</v>
      </c>
      <c r="E48" s="899">
        <v>34.509475158351798</v>
      </c>
      <c r="F48" s="899">
        <f>B.T.!G41</f>
        <v>4</v>
      </c>
      <c r="G48" s="899">
        <f t="shared" si="9"/>
        <v>114.6477368421053</v>
      </c>
      <c r="H48" s="899">
        <f t="shared" si="10"/>
        <v>118.6477368421053</v>
      </c>
      <c r="I48" s="899">
        <f t="shared" si="11"/>
        <v>34.009475158351798</v>
      </c>
      <c r="J48" s="899">
        <v>35.6925824035673</v>
      </c>
      <c r="K48" s="899">
        <f t="shared" si="12"/>
        <v>35.1925824035673</v>
      </c>
      <c r="L48" s="899">
        <f t="shared" si="13"/>
        <v>20</v>
      </c>
      <c r="M48" s="659">
        <f t="shared" si="14"/>
        <v>680.18950316703592</v>
      </c>
      <c r="N48" s="659">
        <f t="shared" si="15"/>
        <v>703.85164807134606</v>
      </c>
    </row>
    <row r="49" spans="1:16" x14ac:dyDescent="0.3">
      <c r="B49" s="659">
        <f>'e-w'!B66</f>
        <v>700</v>
      </c>
      <c r="C49" s="659">
        <f>'e-w'!C66</f>
        <v>476.68867105263155</v>
      </c>
      <c r="D49" s="659">
        <f t="shared" si="8"/>
        <v>120.31132894736845</v>
      </c>
      <c r="E49" s="899">
        <v>35.509475158351798</v>
      </c>
      <c r="F49" s="899">
        <f>B.T.!G42</f>
        <v>4</v>
      </c>
      <c r="G49" s="899">
        <f t="shared" si="9"/>
        <v>114.31132894736845</v>
      </c>
      <c r="H49" s="899">
        <f t="shared" si="10"/>
        <v>118.31132894736845</v>
      </c>
      <c r="I49" s="899">
        <f t="shared" si="11"/>
        <v>35.009475158351798</v>
      </c>
      <c r="J49" s="899">
        <v>36.6925824035673</v>
      </c>
      <c r="K49" s="899">
        <f t="shared" si="12"/>
        <v>36.1925824035673</v>
      </c>
      <c r="L49" s="899">
        <f t="shared" si="13"/>
        <v>20</v>
      </c>
      <c r="M49" s="659">
        <f t="shared" si="14"/>
        <v>700.18950316703592</v>
      </c>
      <c r="N49" s="659">
        <f t="shared" si="15"/>
        <v>723.85164807134606</v>
      </c>
    </row>
    <row r="50" spans="1:16" x14ac:dyDescent="0.3">
      <c r="B50" s="659">
        <f>'e-w'!B67</f>
        <v>720</v>
      </c>
      <c r="C50" s="659">
        <f>'e-w'!C67</f>
        <v>476.85950000000003</v>
      </c>
      <c r="D50" s="659">
        <f t="shared" si="8"/>
        <v>120.14049999999997</v>
      </c>
      <c r="E50" s="899">
        <v>36.509475158351798</v>
      </c>
      <c r="F50" s="899">
        <f>B.T.!G43</f>
        <v>4</v>
      </c>
      <c r="G50" s="899">
        <f t="shared" si="9"/>
        <v>114.14049999999997</v>
      </c>
      <c r="H50" s="899">
        <f t="shared" si="10"/>
        <v>118.14049999999997</v>
      </c>
      <c r="I50" s="899">
        <f t="shared" si="11"/>
        <v>36.009475158351798</v>
      </c>
      <c r="J50" s="899">
        <v>37.6925824035673</v>
      </c>
      <c r="K50" s="899">
        <f t="shared" si="12"/>
        <v>37.1925824035673</v>
      </c>
      <c r="L50" s="899">
        <f t="shared" si="13"/>
        <v>20</v>
      </c>
      <c r="M50" s="659">
        <f t="shared" si="14"/>
        <v>720.18950316703592</v>
      </c>
      <c r="N50" s="659">
        <f t="shared" si="15"/>
        <v>743.85164807134606</v>
      </c>
    </row>
    <row r="51" spans="1:16" x14ac:dyDescent="0.3">
      <c r="B51" s="659">
        <f>'e-w'!B68</f>
        <v>740</v>
      </c>
      <c r="C51" s="659">
        <f>'e-w'!C68</f>
        <v>477.35500000000002</v>
      </c>
      <c r="D51" s="659">
        <f t="shared" si="8"/>
        <v>119.64499999999998</v>
      </c>
      <c r="E51" s="899">
        <v>37.509475158351798</v>
      </c>
      <c r="F51" s="899">
        <f>B.T.!G44</f>
        <v>4</v>
      </c>
      <c r="G51" s="899">
        <f t="shared" si="9"/>
        <v>113.64499999999998</v>
      </c>
      <c r="H51" s="899">
        <f t="shared" si="10"/>
        <v>117.64499999999998</v>
      </c>
      <c r="I51" s="899">
        <f t="shared" si="11"/>
        <v>37.009475158351798</v>
      </c>
      <c r="J51" s="899">
        <v>38.6925824035673</v>
      </c>
      <c r="K51" s="899">
        <f t="shared" si="12"/>
        <v>38.1925824035673</v>
      </c>
      <c r="L51" s="899">
        <f t="shared" si="13"/>
        <v>20</v>
      </c>
      <c r="M51" s="659">
        <f t="shared" si="14"/>
        <v>740.18950316703592</v>
      </c>
      <c r="N51" s="659">
        <f t="shared" si="15"/>
        <v>763.85164807134606</v>
      </c>
    </row>
    <row r="52" spans="1:16" x14ac:dyDescent="0.3">
      <c r="A52" s="1368" t="s">
        <v>229</v>
      </c>
      <c r="B52" s="1368"/>
      <c r="C52" s="1368"/>
      <c r="D52" s="1368"/>
      <c r="E52" s="1368"/>
      <c r="F52" s="1368"/>
      <c r="G52" s="1368"/>
      <c r="H52" s="1368"/>
      <c r="I52" s="1368"/>
      <c r="J52" s="1368"/>
      <c r="K52" s="1368"/>
      <c r="L52" s="1368"/>
      <c r="M52" s="659">
        <f>SUM(M14:M51)</f>
        <v>14088.842689632489</v>
      </c>
      <c r="N52" s="659">
        <f>SUM(N14:N51)</f>
        <v>14975.585154604123</v>
      </c>
    </row>
    <row r="53" spans="1:16" ht="16.2" thickBot="1" x14ac:dyDescent="0.35">
      <c r="A53" s="1369" t="s">
        <v>552</v>
      </c>
      <c r="B53" s="1369"/>
      <c r="C53" s="1369"/>
      <c r="D53" s="1369"/>
      <c r="E53" s="1369"/>
      <c r="F53" s="901"/>
      <c r="G53" s="901"/>
      <c r="H53" s="901"/>
      <c r="I53" s="901"/>
      <c r="J53" s="901"/>
      <c r="K53" s="902">
        <v>0.45</v>
      </c>
      <c r="L53" s="903">
        <f>M52+N52</f>
        <v>29064.427844236612</v>
      </c>
      <c r="M53" s="904">
        <f>L53</f>
        <v>29064.427844236612</v>
      </c>
      <c r="N53" s="905" t="s">
        <v>192</v>
      </c>
      <c r="P53" s="896">
        <f>M52+N52</f>
        <v>29064.427844236612</v>
      </c>
    </row>
    <row r="54" spans="1:16" ht="16.2" thickBot="1" x14ac:dyDescent="0.35">
      <c r="A54" s="1369" t="s">
        <v>553</v>
      </c>
      <c r="B54" s="1369"/>
      <c r="C54" s="1369"/>
      <c r="D54" s="1369"/>
      <c r="E54" s="1369"/>
      <c r="F54" s="901"/>
      <c r="G54" s="901"/>
      <c r="H54" s="901"/>
      <c r="I54" s="901"/>
      <c r="J54" s="901"/>
      <c r="K54" s="902">
        <v>0.3</v>
      </c>
      <c r="L54" s="903">
        <f>M52+N52</f>
        <v>29064.427844236612</v>
      </c>
      <c r="M54" s="904">
        <f>L54*K54</f>
        <v>8719.3283532709829</v>
      </c>
      <c r="N54" s="906" t="s">
        <v>192</v>
      </c>
      <c r="P54" s="615">
        <f>P53*680</f>
        <v>19763810.934080895</v>
      </c>
    </row>
    <row r="55" spans="1:16" x14ac:dyDescent="0.3">
      <c r="A55" s="901"/>
      <c r="B55" s="901"/>
      <c r="C55" s="901"/>
      <c r="D55" s="829" t="s">
        <v>554</v>
      </c>
      <c r="E55" s="672" t="s">
        <v>555</v>
      </c>
      <c r="F55" s="569"/>
      <c r="G55" s="569"/>
      <c r="H55" s="569"/>
      <c r="I55" s="569"/>
      <c r="J55" s="907"/>
      <c r="K55" s="907"/>
      <c r="L55" s="903"/>
      <c r="M55" s="908"/>
      <c r="N55" s="833"/>
      <c r="P55" s="615">
        <f>P54/10000000</f>
        <v>1.9763810934080894</v>
      </c>
    </row>
    <row r="56" spans="1:16" x14ac:dyDescent="0.3">
      <c r="A56" s="901"/>
      <c r="B56" s="901"/>
      <c r="C56" s="700" t="s">
        <v>275</v>
      </c>
      <c r="D56" s="829" t="s">
        <v>114</v>
      </c>
      <c r="E56" s="909">
        <v>0.36</v>
      </c>
      <c r="F56" s="700"/>
      <c r="J56" s="909"/>
      <c r="K56" s="569"/>
      <c r="L56" s="903"/>
      <c r="M56" s="908"/>
      <c r="N56" s="833"/>
    </row>
    <row r="57" spans="1:16" x14ac:dyDescent="0.3">
      <c r="A57" s="901"/>
      <c r="B57" s="901"/>
      <c r="C57" s="700"/>
      <c r="D57" s="829" t="s">
        <v>114</v>
      </c>
      <c r="E57" s="569"/>
      <c r="F57" s="700"/>
      <c r="J57" s="569"/>
      <c r="K57" s="569"/>
      <c r="L57" s="903"/>
      <c r="M57" s="908"/>
      <c r="N57" s="833"/>
    </row>
    <row r="58" spans="1:16" x14ac:dyDescent="0.3">
      <c r="A58" s="901"/>
      <c r="B58" s="901"/>
      <c r="C58" s="700" t="s">
        <v>268</v>
      </c>
      <c r="D58" s="829" t="s">
        <v>114</v>
      </c>
      <c r="E58" s="910">
        <f>SUM(L14:L51)</f>
        <v>740</v>
      </c>
      <c r="F58" s="569"/>
      <c r="J58" s="910"/>
      <c r="K58" s="569"/>
      <c r="L58" s="903"/>
      <c r="M58" s="908"/>
      <c r="N58" s="833"/>
    </row>
    <row r="59" spans="1:16" x14ac:dyDescent="0.3">
      <c r="A59" s="901"/>
      <c r="B59" s="901"/>
      <c r="C59" s="700" t="s">
        <v>556</v>
      </c>
      <c r="D59" s="829" t="s">
        <v>114</v>
      </c>
      <c r="E59" s="911">
        <f>E58*E56</f>
        <v>266.39999999999998</v>
      </c>
      <c r="F59" s="569"/>
      <c r="J59" s="911"/>
      <c r="K59" s="569"/>
      <c r="L59" s="903"/>
      <c r="M59" s="908"/>
      <c r="N59" s="833"/>
    </row>
    <row r="60" spans="1:16" x14ac:dyDescent="0.3">
      <c r="A60" s="912"/>
      <c r="B60" s="912"/>
      <c r="C60" s="750" t="s">
        <v>557</v>
      </c>
      <c r="D60" s="913" t="s">
        <v>114</v>
      </c>
      <c r="E60" s="911">
        <f>E59</f>
        <v>266.39999999999998</v>
      </c>
      <c r="F60" s="749"/>
      <c r="G60" s="749"/>
      <c r="J60" s="914"/>
      <c r="K60" s="915"/>
      <c r="L60" s="916"/>
      <c r="M60" s="908"/>
      <c r="N60" s="833"/>
      <c r="P60" s="615">
        <v>1.8</v>
      </c>
    </row>
    <row r="61" spans="1:16" x14ac:dyDescent="0.3">
      <c r="A61" s="912"/>
      <c r="B61" s="912"/>
      <c r="C61" s="871"/>
      <c r="D61" s="871"/>
      <c r="E61" s="901"/>
      <c r="F61" s="901"/>
      <c r="G61" s="901"/>
      <c r="H61" s="901"/>
      <c r="I61" s="901"/>
      <c r="J61" s="901"/>
      <c r="K61" s="691"/>
      <c r="L61" s="692"/>
      <c r="M61" s="692"/>
      <c r="N61" s="692"/>
      <c r="P61" s="615">
        <v>3.24</v>
      </c>
    </row>
    <row r="62" spans="1:16" x14ac:dyDescent="0.3">
      <c r="C62" s="917"/>
      <c r="K62" s="692"/>
      <c r="L62" s="692"/>
      <c r="M62" s="692"/>
      <c r="N62" s="692"/>
      <c r="P62" s="615">
        <v>1.8553975315279501</v>
      </c>
    </row>
    <row r="63" spans="1:16" s="622" customFormat="1" x14ac:dyDescent="0.3">
      <c r="A63" s="615"/>
      <c r="B63" s="615"/>
      <c r="C63" s="615"/>
      <c r="D63" s="615"/>
      <c r="E63" s="918" t="e">
        <f>J.C!C54</f>
        <v>#REF!</v>
      </c>
      <c r="F63" s="615"/>
      <c r="G63" s="615"/>
      <c r="H63" s="615"/>
      <c r="I63" s="615"/>
      <c r="J63" s="615"/>
      <c r="K63" s="918">
        <f>J.C!H54</f>
        <v>0</v>
      </c>
      <c r="L63" s="692"/>
      <c r="M63" s="692"/>
      <c r="N63" s="692"/>
      <c r="P63" s="622">
        <v>26.24</v>
      </c>
    </row>
    <row r="64" spans="1:16" x14ac:dyDescent="0.3">
      <c r="E64" s="918" t="e">
        <f>J.C!C55</f>
        <v>#REF!</v>
      </c>
      <c r="K64" s="918">
        <f>J.C!H55</f>
        <v>0</v>
      </c>
    </row>
    <row r="65" spans="5:11" x14ac:dyDescent="0.3">
      <c r="E65" s="918" t="e">
        <f>J.C!C56</f>
        <v>#REF!</v>
      </c>
      <c r="K65" s="918">
        <f>J.C!H56</f>
        <v>0</v>
      </c>
    </row>
  </sheetData>
  <customSheetViews>
    <customSheetView guid="{5161B42F-120B-436B-80F4-9BB578173AD5}" scale="70" fitToPage="1" topLeftCell="B10">
      <selection activeCell="E35" sqref="E35"/>
      <pageMargins left="0.70866141732283505" right="0.70866141732283505" top="0.74803149606299202" bottom="0.74803149606299202" header="0.31496062992126" footer="0.31496062992126"/>
      <printOptions horizontalCentered="1"/>
      <pageSetup scale="87" fitToHeight="0" orientation="landscape" r:id="rId1"/>
      <headerFooter>
        <oddFooter>&amp;R&amp;P</oddFooter>
      </headerFooter>
    </customSheetView>
  </customSheetViews>
  <mergeCells count="19">
    <mergeCell ref="O4:Q4"/>
    <mergeCell ref="A1:M1"/>
    <mergeCell ref="A2:K2"/>
    <mergeCell ref="L2:N2"/>
    <mergeCell ref="A3:M3"/>
    <mergeCell ref="L4:M4"/>
    <mergeCell ref="D5:E5"/>
    <mergeCell ref="K5:L5"/>
    <mergeCell ref="M5:N5"/>
    <mergeCell ref="D6:E6"/>
    <mergeCell ref="O6:P6"/>
    <mergeCell ref="A52:L52"/>
    <mergeCell ref="A53:E53"/>
    <mergeCell ref="A54:E54"/>
    <mergeCell ref="D7:E7"/>
    <mergeCell ref="D8:E8"/>
    <mergeCell ref="D9:E9"/>
    <mergeCell ref="D10:E10"/>
    <mergeCell ref="D11:E11"/>
  </mergeCells>
  <printOptions horizontalCentered="1"/>
  <pageMargins left="0.70866141732283505" right="0.70866141732283505" top="0.74803149606299202" bottom="0.74803149606299202" header="0.31496062992126" footer="0.31496062992126"/>
  <pageSetup scale="87" fitToHeight="0" orientation="landscape" r:id="rId2"/>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56"/>
  <sheetViews>
    <sheetView view="pageBreakPreview" topLeftCell="A22" zoomScale="60" zoomScaleNormal="85" workbookViewId="0">
      <selection activeCell="M69" sqref="M69"/>
    </sheetView>
  </sheetViews>
  <sheetFormatPr defaultRowHeight="13.2" x14ac:dyDescent="0.25"/>
  <cols>
    <col min="1" max="2" width="6.33203125" style="449" customWidth="1"/>
    <col min="3" max="3" width="7" style="449" customWidth="1"/>
    <col min="4" max="4" width="6.109375" style="449" customWidth="1"/>
    <col min="5" max="5" width="5.109375" style="449" customWidth="1"/>
    <col min="6" max="9" width="8.88671875" style="449"/>
    <col min="10" max="10" width="9" style="449" customWidth="1"/>
    <col min="11" max="256" width="8.88671875" style="449"/>
    <col min="257" max="258" width="6.33203125" style="449" customWidth="1"/>
    <col min="259" max="259" width="8.44140625" style="449" customWidth="1"/>
    <col min="260" max="261" width="5.109375" style="449" customWidth="1"/>
    <col min="262" max="512" width="8.88671875" style="449"/>
    <col min="513" max="514" width="6.33203125" style="449" customWidth="1"/>
    <col min="515" max="515" width="8.44140625" style="449" customWidth="1"/>
    <col min="516" max="517" width="5.109375" style="449" customWidth="1"/>
    <col min="518" max="768" width="8.88671875" style="449"/>
    <col min="769" max="770" width="6.33203125" style="449" customWidth="1"/>
    <col min="771" max="771" width="8.44140625" style="449" customWidth="1"/>
    <col min="772" max="773" width="5.109375" style="449" customWidth="1"/>
    <col min="774" max="1024" width="8.88671875" style="449"/>
    <col min="1025" max="1026" width="6.33203125" style="449" customWidth="1"/>
    <col min="1027" max="1027" width="8.44140625" style="449" customWidth="1"/>
    <col min="1028" max="1029" width="5.109375" style="449" customWidth="1"/>
    <col min="1030" max="1280" width="8.88671875" style="449"/>
    <col min="1281" max="1282" width="6.33203125" style="449" customWidth="1"/>
    <col min="1283" max="1283" width="8.44140625" style="449" customWidth="1"/>
    <col min="1284" max="1285" width="5.109375" style="449" customWidth="1"/>
    <col min="1286" max="1536" width="8.88671875" style="449"/>
    <col min="1537" max="1538" width="6.33203125" style="449" customWidth="1"/>
    <col min="1539" max="1539" width="8.44140625" style="449" customWidth="1"/>
    <col min="1540" max="1541" width="5.109375" style="449" customWidth="1"/>
    <col min="1542" max="1792" width="8.88671875" style="449"/>
    <col min="1793" max="1794" width="6.33203125" style="449" customWidth="1"/>
    <col min="1795" max="1795" width="8.44140625" style="449" customWidth="1"/>
    <col min="1796" max="1797" width="5.109375" style="449" customWidth="1"/>
    <col min="1798" max="2048" width="8.88671875" style="449"/>
    <col min="2049" max="2050" width="6.33203125" style="449" customWidth="1"/>
    <col min="2051" max="2051" width="8.44140625" style="449" customWidth="1"/>
    <col min="2052" max="2053" width="5.109375" style="449" customWidth="1"/>
    <col min="2054" max="2304" width="8.88671875" style="449"/>
    <col min="2305" max="2306" width="6.33203125" style="449" customWidth="1"/>
    <col min="2307" max="2307" width="8.44140625" style="449" customWidth="1"/>
    <col min="2308" max="2309" width="5.109375" style="449" customWidth="1"/>
    <col min="2310" max="2560" width="8.88671875" style="449"/>
    <col min="2561" max="2562" width="6.33203125" style="449" customWidth="1"/>
    <col min="2563" max="2563" width="8.44140625" style="449" customWidth="1"/>
    <col min="2564" max="2565" width="5.109375" style="449" customWidth="1"/>
    <col min="2566" max="2816" width="8.88671875" style="449"/>
    <col min="2817" max="2818" width="6.33203125" style="449" customWidth="1"/>
    <col min="2819" max="2819" width="8.44140625" style="449" customWidth="1"/>
    <col min="2820" max="2821" width="5.109375" style="449" customWidth="1"/>
    <col min="2822" max="3072" width="8.88671875" style="449"/>
    <col min="3073" max="3074" width="6.33203125" style="449" customWidth="1"/>
    <col min="3075" max="3075" width="8.44140625" style="449" customWidth="1"/>
    <col min="3076" max="3077" width="5.109375" style="449" customWidth="1"/>
    <col min="3078" max="3328" width="8.88671875" style="449"/>
    <col min="3329" max="3330" width="6.33203125" style="449" customWidth="1"/>
    <col min="3331" max="3331" width="8.44140625" style="449" customWidth="1"/>
    <col min="3332" max="3333" width="5.109375" style="449" customWidth="1"/>
    <col min="3334" max="3584" width="8.88671875" style="449"/>
    <col min="3585" max="3586" width="6.33203125" style="449" customWidth="1"/>
    <col min="3587" max="3587" width="8.44140625" style="449" customWidth="1"/>
    <col min="3588" max="3589" width="5.109375" style="449" customWidth="1"/>
    <col min="3590" max="3840" width="8.88671875" style="449"/>
    <col min="3841" max="3842" width="6.33203125" style="449" customWidth="1"/>
    <col min="3843" max="3843" width="8.44140625" style="449" customWidth="1"/>
    <col min="3844" max="3845" width="5.109375" style="449" customWidth="1"/>
    <col min="3846" max="4096" width="8.88671875" style="449"/>
    <col min="4097" max="4098" width="6.33203125" style="449" customWidth="1"/>
    <col min="4099" max="4099" width="8.44140625" style="449" customWidth="1"/>
    <col min="4100" max="4101" width="5.109375" style="449" customWidth="1"/>
    <col min="4102" max="4352" width="8.88671875" style="449"/>
    <col min="4353" max="4354" width="6.33203125" style="449" customWidth="1"/>
    <col min="4355" max="4355" width="8.44140625" style="449" customWidth="1"/>
    <col min="4356" max="4357" width="5.109375" style="449" customWidth="1"/>
    <col min="4358" max="4608" width="8.88671875" style="449"/>
    <col min="4609" max="4610" width="6.33203125" style="449" customWidth="1"/>
    <col min="4611" max="4611" width="8.44140625" style="449" customWidth="1"/>
    <col min="4612" max="4613" width="5.109375" style="449" customWidth="1"/>
    <col min="4614" max="4864" width="8.88671875" style="449"/>
    <col min="4865" max="4866" width="6.33203125" style="449" customWidth="1"/>
    <col min="4867" max="4867" width="8.44140625" style="449" customWidth="1"/>
    <col min="4868" max="4869" width="5.109375" style="449" customWidth="1"/>
    <col min="4870" max="5120" width="8.88671875" style="449"/>
    <col min="5121" max="5122" width="6.33203125" style="449" customWidth="1"/>
    <col min="5123" max="5123" width="8.44140625" style="449" customWidth="1"/>
    <col min="5124" max="5125" width="5.109375" style="449" customWidth="1"/>
    <col min="5126" max="5376" width="8.88671875" style="449"/>
    <col min="5377" max="5378" width="6.33203125" style="449" customWidth="1"/>
    <col min="5379" max="5379" width="8.44140625" style="449" customWidth="1"/>
    <col min="5380" max="5381" width="5.109375" style="449" customWidth="1"/>
    <col min="5382" max="5632" width="8.88671875" style="449"/>
    <col min="5633" max="5634" width="6.33203125" style="449" customWidth="1"/>
    <col min="5635" max="5635" width="8.44140625" style="449" customWidth="1"/>
    <col min="5636" max="5637" width="5.109375" style="449" customWidth="1"/>
    <col min="5638" max="5888" width="8.88671875" style="449"/>
    <col min="5889" max="5890" width="6.33203125" style="449" customWidth="1"/>
    <col min="5891" max="5891" width="8.44140625" style="449" customWidth="1"/>
    <col min="5892" max="5893" width="5.109375" style="449" customWidth="1"/>
    <col min="5894" max="6144" width="8.88671875" style="449"/>
    <col min="6145" max="6146" width="6.33203125" style="449" customWidth="1"/>
    <col min="6147" max="6147" width="8.44140625" style="449" customWidth="1"/>
    <col min="6148" max="6149" width="5.109375" style="449" customWidth="1"/>
    <col min="6150" max="6400" width="8.88671875" style="449"/>
    <col min="6401" max="6402" width="6.33203125" style="449" customWidth="1"/>
    <col min="6403" max="6403" width="8.44140625" style="449" customWidth="1"/>
    <col min="6404" max="6405" width="5.109375" style="449" customWidth="1"/>
    <col min="6406" max="6656" width="8.88671875" style="449"/>
    <col min="6657" max="6658" width="6.33203125" style="449" customWidth="1"/>
    <col min="6659" max="6659" width="8.44140625" style="449" customWidth="1"/>
    <col min="6660" max="6661" width="5.109375" style="449" customWidth="1"/>
    <col min="6662" max="6912" width="8.88671875" style="449"/>
    <col min="6913" max="6914" width="6.33203125" style="449" customWidth="1"/>
    <col min="6915" max="6915" width="8.44140625" style="449" customWidth="1"/>
    <col min="6916" max="6917" width="5.109375" style="449" customWidth="1"/>
    <col min="6918" max="7168" width="8.88671875" style="449"/>
    <col min="7169" max="7170" width="6.33203125" style="449" customWidth="1"/>
    <col min="7171" max="7171" width="8.44140625" style="449" customWidth="1"/>
    <col min="7172" max="7173" width="5.109375" style="449" customWidth="1"/>
    <col min="7174" max="7424" width="8.88671875" style="449"/>
    <col min="7425" max="7426" width="6.33203125" style="449" customWidth="1"/>
    <col min="7427" max="7427" width="8.44140625" style="449" customWidth="1"/>
    <col min="7428" max="7429" width="5.109375" style="449" customWidth="1"/>
    <col min="7430" max="7680" width="8.88671875" style="449"/>
    <col min="7681" max="7682" width="6.33203125" style="449" customWidth="1"/>
    <col min="7683" max="7683" width="8.44140625" style="449" customWidth="1"/>
    <col min="7684" max="7685" width="5.109375" style="449" customWidth="1"/>
    <col min="7686" max="7936" width="8.88671875" style="449"/>
    <col min="7937" max="7938" width="6.33203125" style="449" customWidth="1"/>
    <col min="7939" max="7939" width="8.44140625" style="449" customWidth="1"/>
    <col min="7940" max="7941" width="5.109375" style="449" customWidth="1"/>
    <col min="7942" max="8192" width="8.88671875" style="449"/>
    <col min="8193" max="8194" width="6.33203125" style="449" customWidth="1"/>
    <col min="8195" max="8195" width="8.44140625" style="449" customWidth="1"/>
    <col min="8196" max="8197" width="5.109375" style="449" customWidth="1"/>
    <col min="8198" max="8448" width="8.88671875" style="449"/>
    <col min="8449" max="8450" width="6.33203125" style="449" customWidth="1"/>
    <col min="8451" max="8451" width="8.44140625" style="449" customWidth="1"/>
    <col min="8452" max="8453" width="5.109375" style="449" customWidth="1"/>
    <col min="8454" max="8704" width="8.88671875" style="449"/>
    <col min="8705" max="8706" width="6.33203125" style="449" customWidth="1"/>
    <col min="8707" max="8707" width="8.44140625" style="449" customWidth="1"/>
    <col min="8708" max="8709" width="5.109375" style="449" customWidth="1"/>
    <col min="8710" max="8960" width="8.88671875" style="449"/>
    <col min="8961" max="8962" width="6.33203125" style="449" customWidth="1"/>
    <col min="8963" max="8963" width="8.44140625" style="449" customWidth="1"/>
    <col min="8964" max="8965" width="5.109375" style="449" customWidth="1"/>
    <col min="8966" max="9216" width="8.88671875" style="449"/>
    <col min="9217" max="9218" width="6.33203125" style="449" customWidth="1"/>
    <col min="9219" max="9219" width="8.44140625" style="449" customWidth="1"/>
    <col min="9220" max="9221" width="5.109375" style="449" customWidth="1"/>
    <col min="9222" max="9472" width="8.88671875" style="449"/>
    <col min="9473" max="9474" width="6.33203125" style="449" customWidth="1"/>
    <col min="9475" max="9475" width="8.44140625" style="449" customWidth="1"/>
    <col min="9476" max="9477" width="5.109375" style="449" customWidth="1"/>
    <col min="9478" max="9728" width="8.88671875" style="449"/>
    <col min="9729" max="9730" width="6.33203125" style="449" customWidth="1"/>
    <col min="9731" max="9731" width="8.44140625" style="449" customWidth="1"/>
    <col min="9732" max="9733" width="5.109375" style="449" customWidth="1"/>
    <col min="9734" max="9984" width="8.88671875" style="449"/>
    <col min="9985" max="9986" width="6.33203125" style="449" customWidth="1"/>
    <col min="9987" max="9987" width="8.44140625" style="449" customWidth="1"/>
    <col min="9988" max="9989" width="5.109375" style="449" customWidth="1"/>
    <col min="9990" max="10240" width="8.88671875" style="449"/>
    <col min="10241" max="10242" width="6.33203125" style="449" customWidth="1"/>
    <col min="10243" max="10243" width="8.44140625" style="449" customWidth="1"/>
    <col min="10244" max="10245" width="5.109375" style="449" customWidth="1"/>
    <col min="10246" max="10496" width="8.88671875" style="449"/>
    <col min="10497" max="10498" width="6.33203125" style="449" customWidth="1"/>
    <col min="10499" max="10499" width="8.44140625" style="449" customWidth="1"/>
    <col min="10500" max="10501" width="5.109375" style="449" customWidth="1"/>
    <col min="10502" max="10752" width="8.88671875" style="449"/>
    <col min="10753" max="10754" width="6.33203125" style="449" customWidth="1"/>
    <col min="10755" max="10755" width="8.44140625" style="449" customWidth="1"/>
    <col min="10756" max="10757" width="5.109375" style="449" customWidth="1"/>
    <col min="10758" max="11008" width="8.88671875" style="449"/>
    <col min="11009" max="11010" width="6.33203125" style="449" customWidth="1"/>
    <col min="11011" max="11011" width="8.44140625" style="449" customWidth="1"/>
    <col min="11012" max="11013" width="5.109375" style="449" customWidth="1"/>
    <col min="11014" max="11264" width="8.88671875" style="449"/>
    <col min="11265" max="11266" width="6.33203125" style="449" customWidth="1"/>
    <col min="11267" max="11267" width="8.44140625" style="449" customWidth="1"/>
    <col min="11268" max="11269" width="5.109375" style="449" customWidth="1"/>
    <col min="11270" max="11520" width="8.88671875" style="449"/>
    <col min="11521" max="11522" width="6.33203125" style="449" customWidth="1"/>
    <col min="11523" max="11523" width="8.44140625" style="449" customWidth="1"/>
    <col min="11524" max="11525" width="5.109375" style="449" customWidth="1"/>
    <col min="11526" max="11776" width="8.88671875" style="449"/>
    <col min="11777" max="11778" width="6.33203125" style="449" customWidth="1"/>
    <col min="11779" max="11779" width="8.44140625" style="449" customWidth="1"/>
    <col min="11780" max="11781" width="5.109375" style="449" customWidth="1"/>
    <col min="11782" max="12032" width="8.88671875" style="449"/>
    <col min="12033" max="12034" width="6.33203125" style="449" customWidth="1"/>
    <col min="12035" max="12035" width="8.44140625" style="449" customWidth="1"/>
    <col min="12036" max="12037" width="5.109375" style="449" customWidth="1"/>
    <col min="12038" max="12288" width="8.88671875" style="449"/>
    <col min="12289" max="12290" width="6.33203125" style="449" customWidth="1"/>
    <col min="12291" max="12291" width="8.44140625" style="449" customWidth="1"/>
    <col min="12292" max="12293" width="5.109375" style="449" customWidth="1"/>
    <col min="12294" max="12544" width="8.88671875" style="449"/>
    <col min="12545" max="12546" width="6.33203125" style="449" customWidth="1"/>
    <col min="12547" max="12547" width="8.44140625" style="449" customWidth="1"/>
    <col min="12548" max="12549" width="5.109375" style="449" customWidth="1"/>
    <col min="12550" max="12800" width="8.88671875" style="449"/>
    <col min="12801" max="12802" width="6.33203125" style="449" customWidth="1"/>
    <col min="12803" max="12803" width="8.44140625" style="449" customWidth="1"/>
    <col min="12804" max="12805" width="5.109375" style="449" customWidth="1"/>
    <col min="12806" max="13056" width="8.88671875" style="449"/>
    <col min="13057" max="13058" width="6.33203125" style="449" customWidth="1"/>
    <col min="13059" max="13059" width="8.44140625" style="449" customWidth="1"/>
    <col min="13060" max="13061" width="5.109375" style="449" customWidth="1"/>
    <col min="13062" max="13312" width="8.88671875" style="449"/>
    <col min="13313" max="13314" width="6.33203125" style="449" customWidth="1"/>
    <col min="13315" max="13315" width="8.44140625" style="449" customWidth="1"/>
    <col min="13316" max="13317" width="5.109375" style="449" customWidth="1"/>
    <col min="13318" max="13568" width="8.88671875" style="449"/>
    <col min="13569" max="13570" width="6.33203125" style="449" customWidth="1"/>
    <col min="13571" max="13571" width="8.44140625" style="449" customWidth="1"/>
    <col min="13572" max="13573" width="5.109375" style="449" customWidth="1"/>
    <col min="13574" max="13824" width="8.88671875" style="449"/>
    <col min="13825" max="13826" width="6.33203125" style="449" customWidth="1"/>
    <col min="13827" max="13827" width="8.44140625" style="449" customWidth="1"/>
    <col min="13828" max="13829" width="5.109375" style="449" customWidth="1"/>
    <col min="13830" max="14080" width="8.88671875" style="449"/>
    <col min="14081" max="14082" width="6.33203125" style="449" customWidth="1"/>
    <col min="14083" max="14083" width="8.44140625" style="449" customWidth="1"/>
    <col min="14084" max="14085" width="5.109375" style="449" customWidth="1"/>
    <col min="14086" max="14336" width="8.88671875" style="449"/>
    <col min="14337" max="14338" width="6.33203125" style="449" customWidth="1"/>
    <col min="14339" max="14339" width="8.44140625" style="449" customWidth="1"/>
    <col min="14340" max="14341" width="5.109375" style="449" customWidth="1"/>
    <col min="14342" max="14592" width="8.88671875" style="449"/>
    <col min="14593" max="14594" width="6.33203125" style="449" customWidth="1"/>
    <col min="14595" max="14595" width="8.44140625" style="449" customWidth="1"/>
    <col min="14596" max="14597" width="5.109375" style="449" customWidth="1"/>
    <col min="14598" max="14848" width="8.88671875" style="449"/>
    <col min="14849" max="14850" width="6.33203125" style="449" customWidth="1"/>
    <col min="14851" max="14851" width="8.44140625" style="449" customWidth="1"/>
    <col min="14852" max="14853" width="5.109375" style="449" customWidth="1"/>
    <col min="14854" max="15104" width="8.88671875" style="449"/>
    <col min="15105" max="15106" width="6.33203125" style="449" customWidth="1"/>
    <col min="15107" max="15107" width="8.44140625" style="449" customWidth="1"/>
    <col min="15108" max="15109" width="5.109375" style="449" customWidth="1"/>
    <col min="15110" max="15360" width="8.88671875" style="449"/>
    <col min="15361" max="15362" width="6.33203125" style="449" customWidth="1"/>
    <col min="15363" max="15363" width="8.44140625" style="449" customWidth="1"/>
    <col min="15364" max="15365" width="5.109375" style="449" customWidth="1"/>
    <col min="15366" max="15616" width="8.88671875" style="449"/>
    <col min="15617" max="15618" width="6.33203125" style="449" customWidth="1"/>
    <col min="15619" max="15619" width="8.44140625" style="449" customWidth="1"/>
    <col min="15620" max="15621" width="5.109375" style="449" customWidth="1"/>
    <col min="15622" max="15872" width="8.88671875" style="449"/>
    <col min="15873" max="15874" width="6.33203125" style="449" customWidth="1"/>
    <col min="15875" max="15875" width="8.44140625" style="449" customWidth="1"/>
    <col min="15876" max="15877" width="5.109375" style="449" customWidth="1"/>
    <col min="15878" max="16128" width="8.88671875" style="449"/>
    <col min="16129" max="16130" width="6.33203125" style="449" customWidth="1"/>
    <col min="16131" max="16131" width="8.44140625" style="449" customWidth="1"/>
    <col min="16132" max="16133" width="5.109375" style="449" customWidth="1"/>
    <col min="16134" max="16384" width="8.88671875" style="449"/>
  </cols>
  <sheetData>
    <row r="1" spans="1:27" ht="15.6" x14ac:dyDescent="0.3">
      <c r="A1" s="1339" t="str">
        <f>pich!A1</f>
        <v>ROSHNABAD BARRAGE</v>
      </c>
      <c r="B1" s="1248"/>
      <c r="C1" s="1248"/>
      <c r="D1" s="1248"/>
      <c r="E1" s="1248"/>
      <c r="F1" s="1248"/>
      <c r="G1" s="1248"/>
      <c r="H1" s="1248"/>
      <c r="I1" s="1248"/>
      <c r="J1" s="1248"/>
      <c r="K1" s="1248"/>
      <c r="L1" s="1248"/>
      <c r="M1" s="569"/>
      <c r="N1" s="569"/>
      <c r="O1" s="569"/>
    </row>
    <row r="2" spans="1:27" ht="14.4" x14ac:dyDescent="0.3">
      <c r="A2" s="697" t="str">
        <f>'e-w'!A2:M2</f>
        <v>TEHSIL :-SIDHI</v>
      </c>
      <c r="B2" s="698"/>
      <c r="C2" s="698"/>
      <c r="D2" s="699"/>
      <c r="E2" s="698"/>
      <c r="F2" s="569"/>
      <c r="G2" s="569"/>
      <c r="H2" s="569"/>
      <c r="I2" s="1388" t="str">
        <f>'e-w'!V2</f>
        <v>DISTRICT :SINGRAULI</v>
      </c>
      <c r="J2" s="1389"/>
      <c r="K2" s="1389"/>
      <c r="L2" s="1389"/>
      <c r="M2" s="708"/>
      <c r="N2" s="921"/>
      <c r="O2" s="569"/>
    </row>
    <row r="3" spans="1:27" ht="15.6" x14ac:dyDescent="0.3">
      <c r="A3" s="1390" t="s">
        <v>558</v>
      </c>
      <c r="B3" s="1390"/>
      <c r="C3" s="1390"/>
      <c r="D3" s="1390"/>
      <c r="E3" s="1390"/>
      <c r="F3" s="1390"/>
      <c r="G3" s="1390"/>
      <c r="H3" s="1390"/>
      <c r="I3" s="1390"/>
      <c r="J3" s="1390"/>
      <c r="K3" s="1390"/>
      <c r="L3" s="1390"/>
      <c r="M3" s="708"/>
      <c r="N3" s="921"/>
      <c r="O3" s="569"/>
    </row>
    <row r="4" spans="1:27" s="569" customFormat="1" ht="14.4" x14ac:dyDescent="0.3">
      <c r="A4" s="698" t="s">
        <v>559</v>
      </c>
      <c r="B4" s="698"/>
      <c r="E4" s="923">
        <v>0.3</v>
      </c>
      <c r="I4" s="920"/>
      <c r="J4" s="920"/>
      <c r="K4" s="920"/>
      <c r="L4" s="920"/>
      <c r="M4" s="708"/>
      <c r="N4" s="921"/>
    </row>
    <row r="5" spans="1:27" s="569" customFormat="1" ht="14.4" x14ac:dyDescent="0.3">
      <c r="A5" s="698" t="s">
        <v>560</v>
      </c>
      <c r="B5" s="698"/>
      <c r="E5" s="923">
        <v>0.4</v>
      </c>
      <c r="I5" s="920"/>
      <c r="J5" s="920"/>
      <c r="K5" s="920"/>
      <c r="L5" s="920"/>
      <c r="M5" s="708"/>
      <c r="N5" s="921"/>
    </row>
    <row r="6" spans="1:27" ht="15.6" x14ac:dyDescent="0.3">
      <c r="A6" s="924"/>
      <c r="B6" s="924"/>
      <c r="C6" s="924"/>
      <c r="D6" s="924"/>
      <c r="E6" s="924"/>
      <c r="F6" s="924"/>
      <c r="G6" s="924"/>
      <c r="H6" s="924"/>
      <c r="I6" s="922"/>
      <c r="J6" s="922"/>
      <c r="K6" s="922"/>
      <c r="L6" s="922"/>
      <c r="M6" s="708"/>
      <c r="N6" s="921"/>
      <c r="O6" s="569"/>
    </row>
    <row r="7" spans="1:27" ht="13.8" x14ac:dyDescent="0.3">
      <c r="A7" s="1342" t="s">
        <v>561</v>
      </c>
      <c r="B7" s="1342" t="s">
        <v>467</v>
      </c>
      <c r="C7" s="1391" t="s">
        <v>562</v>
      </c>
      <c r="D7" s="1393" t="s">
        <v>563</v>
      </c>
      <c r="E7" s="1394"/>
      <c r="F7" s="1391" t="s">
        <v>564</v>
      </c>
      <c r="G7" s="1342" t="s">
        <v>475</v>
      </c>
      <c r="H7" s="1342" t="s">
        <v>565</v>
      </c>
      <c r="I7" s="1383" t="s">
        <v>566</v>
      </c>
      <c r="J7" s="1383"/>
      <c r="K7" s="1383" t="s">
        <v>567</v>
      </c>
      <c r="L7" s="1383"/>
      <c r="M7" s="709"/>
      <c r="N7" s="710"/>
      <c r="O7" s="569"/>
    </row>
    <row r="8" spans="1:27" ht="27.6" x14ac:dyDescent="0.3">
      <c r="A8" s="1343"/>
      <c r="B8" s="1343"/>
      <c r="C8" s="1392"/>
      <c r="D8" s="1395"/>
      <c r="E8" s="1396"/>
      <c r="F8" s="1392"/>
      <c r="G8" s="1343"/>
      <c r="H8" s="1343"/>
      <c r="I8" s="818" t="s">
        <v>568</v>
      </c>
      <c r="J8" s="818" t="s">
        <v>569</v>
      </c>
      <c r="K8" s="818" t="s">
        <v>570</v>
      </c>
      <c r="L8" s="818" t="s">
        <v>569</v>
      </c>
      <c r="M8" s="569"/>
      <c r="N8" s="569"/>
      <c r="O8" s="569"/>
    </row>
    <row r="9" spans="1:27" ht="13.8" x14ac:dyDescent="0.3">
      <c r="A9" s="821">
        <v>1</v>
      </c>
      <c r="B9" s="821">
        <v>2</v>
      </c>
      <c r="C9" s="821">
        <v>3</v>
      </c>
      <c r="D9" s="1384">
        <v>4</v>
      </c>
      <c r="E9" s="1384"/>
      <c r="F9" s="821">
        <v>5</v>
      </c>
      <c r="G9" s="821">
        <v>6</v>
      </c>
      <c r="H9" s="821">
        <v>7</v>
      </c>
      <c r="I9" s="821">
        <v>8</v>
      </c>
      <c r="J9" s="821">
        <v>9</v>
      </c>
      <c r="K9" s="821">
        <v>10</v>
      </c>
      <c r="L9" s="821">
        <v>11</v>
      </c>
      <c r="M9" s="569"/>
      <c r="N9" s="569"/>
      <c r="O9" s="569"/>
    </row>
    <row r="10" spans="1:27" s="615" customFormat="1" ht="15.6" x14ac:dyDescent="0.3">
      <c r="A10" s="925">
        <f>'e-w'!B31</f>
        <v>0</v>
      </c>
      <c r="B10" s="727">
        <v>0</v>
      </c>
      <c r="C10" s="734">
        <f>B.T.!G7</f>
        <v>4</v>
      </c>
      <c r="D10" s="926">
        <f>B.T.!H7</f>
        <v>1</v>
      </c>
      <c r="E10" s="734" t="str">
        <f>B.T.!I7</f>
        <v>:1</v>
      </c>
      <c r="F10" s="734">
        <f t="shared" ref="F10:F11" si="0">SQRT((C10*D10)^2+(C10^2))</f>
        <v>5.6568542494923806</v>
      </c>
      <c r="G10" s="927">
        <v>0</v>
      </c>
      <c r="H10" s="734">
        <v>0</v>
      </c>
      <c r="I10" s="824">
        <f t="shared" ref="I10:I47" si="1">$E$4</f>
        <v>0.3</v>
      </c>
      <c r="J10" s="928">
        <v>0</v>
      </c>
      <c r="K10" s="824">
        <f t="shared" ref="K10:K11" si="2">IF(F10&gt;0,$E$5,"0")</f>
        <v>0.4</v>
      </c>
      <c r="L10" s="929">
        <v>0</v>
      </c>
      <c r="M10" s="660"/>
      <c r="N10" s="659"/>
      <c r="O10" s="659"/>
      <c r="P10" s="659"/>
      <c r="Q10" s="659"/>
      <c r="R10" s="659"/>
      <c r="S10" s="659"/>
      <c r="T10" s="659"/>
      <c r="U10" s="659"/>
      <c r="V10" s="660"/>
      <c r="W10" s="660"/>
      <c r="X10" s="660"/>
      <c r="Y10" s="660"/>
      <c r="Z10" s="661"/>
      <c r="AA10" s="661"/>
    </row>
    <row r="11" spans="1:27" s="615" customFormat="1" ht="15.6" x14ac:dyDescent="0.3">
      <c r="A11" s="925">
        <f>'e-w'!B32</f>
        <v>20</v>
      </c>
      <c r="B11" s="727">
        <f t="shared" ref="B11" si="3">IF(A11-A10&gt;0,A11-A10,"0")</f>
        <v>20</v>
      </c>
      <c r="C11" s="734">
        <f>B.T.!G8</f>
        <v>4</v>
      </c>
      <c r="D11" s="926">
        <f>B.T.!H8</f>
        <v>1</v>
      </c>
      <c r="E11" s="734" t="str">
        <f>B.T.!I8</f>
        <v>:1</v>
      </c>
      <c r="F11" s="734">
        <f t="shared" si="0"/>
        <v>5.6568542494923806</v>
      </c>
      <c r="G11" s="927">
        <f t="shared" ref="G11" si="4">B11*(F11+F10)/2</f>
        <v>113.13708498984761</v>
      </c>
      <c r="H11" s="734">
        <f t="shared" ref="H11" si="5">(G11+G10)/2</f>
        <v>56.568542494923804</v>
      </c>
      <c r="I11" s="824">
        <f t="shared" si="1"/>
        <v>0.3</v>
      </c>
      <c r="J11" s="928">
        <f t="shared" ref="J11" si="6">H11*I11</f>
        <v>16.970562748477139</v>
      </c>
      <c r="K11" s="824">
        <f t="shared" si="2"/>
        <v>0.4</v>
      </c>
      <c r="L11" s="929">
        <f t="shared" ref="L11" si="7">H11*K11</f>
        <v>22.627416997969522</v>
      </c>
      <c r="M11" s="660"/>
      <c r="N11" s="659"/>
      <c r="O11" s="659"/>
      <c r="P11" s="659"/>
      <c r="Q11" s="659"/>
      <c r="R11" s="659"/>
      <c r="S11" s="659"/>
      <c r="T11" s="659"/>
      <c r="U11" s="659"/>
      <c r="V11" s="660"/>
      <c r="W11" s="660"/>
      <c r="X11" s="660"/>
      <c r="Y11" s="660"/>
      <c r="Z11" s="661"/>
      <c r="AA11" s="661"/>
    </row>
    <row r="12" spans="1:27" s="615" customFormat="1" ht="15.6" x14ac:dyDescent="0.3">
      <c r="A12" s="925">
        <f>'e-w'!B33</f>
        <v>40</v>
      </c>
      <c r="B12" s="727">
        <f t="shared" ref="B12:B47" si="8">IF(A12-A11&gt;0,A12-A11,"0")</f>
        <v>20</v>
      </c>
      <c r="C12" s="734">
        <f>B.T.!G9</f>
        <v>4</v>
      </c>
      <c r="D12" s="926">
        <f>B.T.!H9</f>
        <v>1</v>
      </c>
      <c r="E12" s="734" t="str">
        <f>B.T.!I9</f>
        <v>:1</v>
      </c>
      <c r="F12" s="734">
        <f t="shared" ref="F12:F47" si="9">SQRT((C12*D12)^2+(C12^2))</f>
        <v>5.6568542494923806</v>
      </c>
      <c r="G12" s="927">
        <f t="shared" ref="G12:G47" si="10">B12*(F12+F11)/2</f>
        <v>113.13708498984761</v>
      </c>
      <c r="H12" s="734">
        <f t="shared" ref="H12:H47" si="11">(G12+G11)/2</f>
        <v>113.13708498984761</v>
      </c>
      <c r="I12" s="824">
        <f t="shared" si="1"/>
        <v>0.3</v>
      </c>
      <c r="J12" s="928">
        <f t="shared" ref="J12:J47" si="12">H12*I12</f>
        <v>33.941125496954278</v>
      </c>
      <c r="K12" s="824">
        <f t="shared" ref="K12:K47" si="13">IF(F12&gt;0,$E$5,"0")</f>
        <v>0.4</v>
      </c>
      <c r="L12" s="929">
        <f t="shared" ref="L12:L47" si="14">H12*K12</f>
        <v>45.254833995939045</v>
      </c>
      <c r="M12" s="660"/>
      <c r="N12" s="659"/>
      <c r="O12" s="659"/>
      <c r="P12" s="659"/>
      <c r="Q12" s="659"/>
      <c r="R12" s="659"/>
      <c r="S12" s="659"/>
      <c r="T12" s="659"/>
      <c r="U12" s="659"/>
      <c r="V12" s="660"/>
      <c r="W12" s="660"/>
      <c r="X12" s="660"/>
      <c r="Y12" s="660"/>
      <c r="Z12" s="661"/>
      <c r="AA12" s="661"/>
    </row>
    <row r="13" spans="1:27" s="615" customFormat="1" ht="15.6" x14ac:dyDescent="0.3">
      <c r="A13" s="925">
        <f>'e-w'!B34</f>
        <v>60</v>
      </c>
      <c r="B13" s="727">
        <f t="shared" si="8"/>
        <v>20</v>
      </c>
      <c r="C13" s="734">
        <f>B.T.!G10</f>
        <v>4</v>
      </c>
      <c r="D13" s="926">
        <f>B.T.!H10</f>
        <v>1</v>
      </c>
      <c r="E13" s="734" t="str">
        <f>B.T.!I10</f>
        <v>:1</v>
      </c>
      <c r="F13" s="734">
        <f t="shared" si="9"/>
        <v>5.6568542494923806</v>
      </c>
      <c r="G13" s="927">
        <f t="shared" si="10"/>
        <v>113.13708498984761</v>
      </c>
      <c r="H13" s="734">
        <f t="shared" si="11"/>
        <v>113.13708498984761</v>
      </c>
      <c r="I13" s="824">
        <f t="shared" si="1"/>
        <v>0.3</v>
      </c>
      <c r="J13" s="928">
        <f t="shared" si="12"/>
        <v>33.941125496954278</v>
      </c>
      <c r="K13" s="824">
        <f t="shared" si="13"/>
        <v>0.4</v>
      </c>
      <c r="L13" s="929">
        <f t="shared" si="14"/>
        <v>45.254833995939045</v>
      </c>
      <c r="M13" s="660"/>
      <c r="N13" s="659"/>
      <c r="O13" s="659"/>
      <c r="P13" s="659"/>
      <c r="Q13" s="659"/>
      <c r="R13" s="659"/>
      <c r="S13" s="659"/>
      <c r="T13" s="659"/>
      <c r="U13" s="659"/>
      <c r="V13" s="660"/>
      <c r="W13" s="660"/>
      <c r="X13" s="660"/>
      <c r="Y13" s="660"/>
      <c r="Z13" s="661"/>
      <c r="AA13" s="661"/>
    </row>
    <row r="14" spans="1:27" s="615" customFormat="1" ht="15.6" x14ac:dyDescent="0.3">
      <c r="A14" s="925">
        <f>'e-w'!B35</f>
        <v>80</v>
      </c>
      <c r="B14" s="727">
        <f t="shared" si="8"/>
        <v>20</v>
      </c>
      <c r="C14" s="734">
        <f>B.T.!G11</f>
        <v>4</v>
      </c>
      <c r="D14" s="926">
        <f>B.T.!H11</f>
        <v>1</v>
      </c>
      <c r="E14" s="734" t="str">
        <f>B.T.!I11</f>
        <v>:1</v>
      </c>
      <c r="F14" s="734">
        <f t="shared" si="9"/>
        <v>5.6568542494923806</v>
      </c>
      <c r="G14" s="927">
        <f t="shared" si="10"/>
        <v>113.13708498984761</v>
      </c>
      <c r="H14" s="734">
        <f t="shared" si="11"/>
        <v>113.13708498984761</v>
      </c>
      <c r="I14" s="824">
        <f t="shared" si="1"/>
        <v>0.3</v>
      </c>
      <c r="J14" s="928">
        <f t="shared" si="12"/>
        <v>33.941125496954278</v>
      </c>
      <c r="K14" s="824">
        <f t="shared" si="13"/>
        <v>0.4</v>
      </c>
      <c r="L14" s="929">
        <f t="shared" si="14"/>
        <v>45.254833995939045</v>
      </c>
      <c r="M14" s="660"/>
      <c r="N14" s="659"/>
      <c r="O14" s="659"/>
      <c r="P14" s="659"/>
      <c r="Q14" s="659"/>
      <c r="R14" s="659"/>
      <c r="S14" s="659"/>
      <c r="T14" s="659"/>
      <c r="U14" s="659"/>
      <c r="V14" s="660"/>
      <c r="W14" s="660"/>
      <c r="X14" s="660"/>
      <c r="Y14" s="660"/>
      <c r="Z14" s="661"/>
      <c r="AA14" s="661"/>
    </row>
    <row r="15" spans="1:27" s="615" customFormat="1" ht="15.6" x14ac:dyDescent="0.3">
      <c r="A15" s="925">
        <f>'e-w'!B36</f>
        <v>100</v>
      </c>
      <c r="B15" s="727">
        <f t="shared" si="8"/>
        <v>20</v>
      </c>
      <c r="C15" s="734">
        <f>B.T.!G12</f>
        <v>4</v>
      </c>
      <c r="D15" s="926">
        <f>B.T.!H12</f>
        <v>1</v>
      </c>
      <c r="E15" s="734" t="str">
        <f>B.T.!I12</f>
        <v>:1</v>
      </c>
      <c r="F15" s="734">
        <f t="shared" si="9"/>
        <v>5.6568542494923806</v>
      </c>
      <c r="G15" s="927">
        <f t="shared" si="10"/>
        <v>113.13708498984761</v>
      </c>
      <c r="H15" s="734">
        <f t="shared" si="11"/>
        <v>113.13708498984761</v>
      </c>
      <c r="I15" s="824">
        <f t="shared" si="1"/>
        <v>0.3</v>
      </c>
      <c r="J15" s="928">
        <f t="shared" si="12"/>
        <v>33.941125496954278</v>
      </c>
      <c r="K15" s="824">
        <f t="shared" si="13"/>
        <v>0.4</v>
      </c>
      <c r="L15" s="929">
        <f t="shared" si="14"/>
        <v>45.254833995939045</v>
      </c>
      <c r="M15" s="660"/>
      <c r="N15" s="659"/>
      <c r="O15" s="659"/>
      <c r="P15" s="659"/>
      <c r="Q15" s="659"/>
      <c r="R15" s="659"/>
      <c r="S15" s="659"/>
      <c r="T15" s="659"/>
      <c r="U15" s="659"/>
      <c r="V15" s="660"/>
      <c r="W15" s="660"/>
      <c r="X15" s="660"/>
      <c r="Y15" s="660"/>
      <c r="Z15" s="661"/>
      <c r="AA15" s="661"/>
    </row>
    <row r="16" spans="1:27" s="615" customFormat="1" ht="15.6" x14ac:dyDescent="0.3">
      <c r="A16" s="925">
        <f>'e-w'!B37</f>
        <v>120</v>
      </c>
      <c r="B16" s="727">
        <f t="shared" si="8"/>
        <v>20</v>
      </c>
      <c r="C16" s="734">
        <f>B.T.!G13</f>
        <v>4</v>
      </c>
      <c r="D16" s="926">
        <f>B.T.!H13</f>
        <v>1</v>
      </c>
      <c r="E16" s="734" t="str">
        <f>B.T.!I13</f>
        <v>:1</v>
      </c>
      <c r="F16" s="734">
        <f t="shared" si="9"/>
        <v>5.6568542494923806</v>
      </c>
      <c r="G16" s="927">
        <f t="shared" si="10"/>
        <v>113.13708498984761</v>
      </c>
      <c r="H16" s="734">
        <f t="shared" si="11"/>
        <v>113.13708498984761</v>
      </c>
      <c r="I16" s="824">
        <f t="shared" si="1"/>
        <v>0.3</v>
      </c>
      <c r="J16" s="928">
        <f t="shared" si="12"/>
        <v>33.941125496954278</v>
      </c>
      <c r="K16" s="824">
        <f t="shared" si="13"/>
        <v>0.4</v>
      </c>
      <c r="L16" s="929">
        <f t="shared" si="14"/>
        <v>45.254833995939045</v>
      </c>
      <c r="M16" s="660"/>
      <c r="N16" s="659"/>
      <c r="O16" s="659"/>
      <c r="P16" s="659"/>
      <c r="Q16" s="659"/>
      <c r="R16" s="659"/>
      <c r="S16" s="659"/>
      <c r="T16" s="659"/>
      <c r="U16" s="659"/>
      <c r="V16" s="660"/>
      <c r="W16" s="660"/>
      <c r="X16" s="660"/>
      <c r="Y16" s="660"/>
      <c r="Z16" s="661"/>
      <c r="AA16" s="661"/>
    </row>
    <row r="17" spans="1:27" s="615" customFormat="1" ht="15.6" x14ac:dyDescent="0.3">
      <c r="A17" s="925">
        <f>'e-w'!B38</f>
        <v>140</v>
      </c>
      <c r="B17" s="727">
        <f t="shared" si="8"/>
        <v>20</v>
      </c>
      <c r="C17" s="734">
        <f>B.T.!G14</f>
        <v>4</v>
      </c>
      <c r="D17" s="926">
        <f>B.T.!H14</f>
        <v>1</v>
      </c>
      <c r="E17" s="734" t="str">
        <f>B.T.!I14</f>
        <v>:1</v>
      </c>
      <c r="F17" s="734">
        <f t="shared" si="9"/>
        <v>5.6568542494923806</v>
      </c>
      <c r="G17" s="927">
        <f t="shared" si="10"/>
        <v>113.13708498984761</v>
      </c>
      <c r="H17" s="734">
        <f t="shared" si="11"/>
        <v>113.13708498984761</v>
      </c>
      <c r="I17" s="824">
        <f t="shared" si="1"/>
        <v>0.3</v>
      </c>
      <c r="J17" s="928">
        <f t="shared" si="12"/>
        <v>33.941125496954278</v>
      </c>
      <c r="K17" s="824">
        <f t="shared" si="13"/>
        <v>0.4</v>
      </c>
      <c r="L17" s="929">
        <f t="shared" si="14"/>
        <v>45.254833995939045</v>
      </c>
      <c r="M17" s="660"/>
      <c r="N17" s="659"/>
      <c r="O17" s="659"/>
      <c r="P17" s="659"/>
      <c r="Q17" s="659"/>
      <c r="R17" s="659"/>
      <c r="S17" s="659"/>
      <c r="T17" s="659"/>
      <c r="U17" s="659"/>
      <c r="V17" s="660"/>
      <c r="W17" s="660"/>
      <c r="X17" s="660"/>
      <c r="Y17" s="660"/>
      <c r="Z17" s="661"/>
      <c r="AA17" s="661"/>
    </row>
    <row r="18" spans="1:27" s="615" customFormat="1" ht="15.6" x14ac:dyDescent="0.3">
      <c r="A18" s="925">
        <f>'e-w'!B39</f>
        <v>160</v>
      </c>
      <c r="B18" s="727">
        <f t="shared" si="8"/>
        <v>20</v>
      </c>
      <c r="C18" s="734">
        <f>B.T.!G15</f>
        <v>4</v>
      </c>
      <c r="D18" s="926">
        <f>B.T.!H15</f>
        <v>1</v>
      </c>
      <c r="E18" s="734" t="str">
        <f>B.T.!I15</f>
        <v>:1</v>
      </c>
      <c r="F18" s="734">
        <f t="shared" si="9"/>
        <v>5.6568542494923806</v>
      </c>
      <c r="G18" s="927">
        <f t="shared" si="10"/>
        <v>113.13708498984761</v>
      </c>
      <c r="H18" s="734">
        <f t="shared" si="11"/>
        <v>113.13708498984761</v>
      </c>
      <c r="I18" s="824">
        <f t="shared" si="1"/>
        <v>0.3</v>
      </c>
      <c r="J18" s="928">
        <f t="shared" si="12"/>
        <v>33.941125496954278</v>
      </c>
      <c r="K18" s="824">
        <f t="shared" si="13"/>
        <v>0.4</v>
      </c>
      <c r="L18" s="929">
        <f t="shared" si="14"/>
        <v>45.254833995939045</v>
      </c>
      <c r="M18" s="660"/>
      <c r="N18" s="659"/>
      <c r="O18" s="659"/>
      <c r="P18" s="659"/>
      <c r="Q18" s="659"/>
      <c r="R18" s="659"/>
      <c r="S18" s="659"/>
      <c r="T18" s="659"/>
      <c r="U18" s="659"/>
      <c r="V18" s="660"/>
      <c r="W18" s="660"/>
      <c r="X18" s="660"/>
      <c r="Y18" s="660"/>
      <c r="Z18" s="661"/>
      <c r="AA18" s="661"/>
    </row>
    <row r="19" spans="1:27" s="615" customFormat="1" ht="15.6" x14ac:dyDescent="0.3">
      <c r="A19" s="925">
        <f>'e-w'!B40</f>
        <v>180</v>
      </c>
      <c r="B19" s="727">
        <f t="shared" si="8"/>
        <v>20</v>
      </c>
      <c r="C19" s="734">
        <f>B.T.!G16</f>
        <v>4</v>
      </c>
      <c r="D19" s="926">
        <f>B.T.!H16</f>
        <v>1</v>
      </c>
      <c r="E19" s="734" t="str">
        <f>B.T.!I16</f>
        <v>:1</v>
      </c>
      <c r="F19" s="734">
        <f t="shared" si="9"/>
        <v>5.6568542494923806</v>
      </c>
      <c r="G19" s="927">
        <f t="shared" si="10"/>
        <v>113.13708498984761</v>
      </c>
      <c r="H19" s="734">
        <f t="shared" si="11"/>
        <v>113.13708498984761</v>
      </c>
      <c r="I19" s="824">
        <f t="shared" si="1"/>
        <v>0.3</v>
      </c>
      <c r="J19" s="928">
        <f t="shared" si="12"/>
        <v>33.941125496954278</v>
      </c>
      <c r="K19" s="824">
        <f t="shared" si="13"/>
        <v>0.4</v>
      </c>
      <c r="L19" s="929">
        <f t="shared" si="14"/>
        <v>45.254833995939045</v>
      </c>
      <c r="M19" s="660"/>
      <c r="N19" s="659"/>
      <c r="O19" s="659"/>
      <c r="P19" s="659"/>
      <c r="Q19" s="659"/>
      <c r="R19" s="659"/>
      <c r="S19" s="659"/>
      <c r="T19" s="659"/>
      <c r="U19" s="659"/>
      <c r="V19" s="660"/>
      <c r="W19" s="660"/>
      <c r="X19" s="660"/>
      <c r="Y19" s="660"/>
      <c r="Z19" s="661"/>
      <c r="AA19" s="661"/>
    </row>
    <row r="20" spans="1:27" s="615" customFormat="1" ht="15.6" x14ac:dyDescent="0.3">
      <c r="A20" s="925">
        <f>'e-w'!B41</f>
        <v>200</v>
      </c>
      <c r="B20" s="727">
        <f t="shared" si="8"/>
        <v>20</v>
      </c>
      <c r="C20" s="734">
        <f>B.T.!G17</f>
        <v>4</v>
      </c>
      <c r="D20" s="926">
        <f>B.T.!H17</f>
        <v>1</v>
      </c>
      <c r="E20" s="734" t="str">
        <f>B.T.!I17</f>
        <v>:1</v>
      </c>
      <c r="F20" s="734">
        <f t="shared" si="9"/>
        <v>5.6568542494923806</v>
      </c>
      <c r="G20" s="927">
        <f t="shared" si="10"/>
        <v>113.13708498984761</v>
      </c>
      <c r="H20" s="734">
        <f t="shared" si="11"/>
        <v>113.13708498984761</v>
      </c>
      <c r="I20" s="824">
        <f t="shared" si="1"/>
        <v>0.3</v>
      </c>
      <c r="J20" s="928">
        <f t="shared" si="12"/>
        <v>33.941125496954278</v>
      </c>
      <c r="K20" s="824">
        <f t="shared" si="13"/>
        <v>0.4</v>
      </c>
      <c r="L20" s="929">
        <f t="shared" si="14"/>
        <v>45.254833995939045</v>
      </c>
      <c r="M20" s="660"/>
      <c r="N20" s="659"/>
      <c r="O20" s="659"/>
      <c r="P20" s="659"/>
      <c r="Q20" s="659"/>
      <c r="R20" s="659"/>
      <c r="S20" s="659"/>
      <c r="T20" s="659"/>
      <c r="U20" s="659"/>
      <c r="V20" s="660"/>
      <c r="W20" s="660"/>
      <c r="X20" s="660"/>
      <c r="Y20" s="660"/>
      <c r="Z20" s="661"/>
      <c r="AA20" s="661"/>
    </row>
    <row r="21" spans="1:27" s="615" customFormat="1" ht="15.6" x14ac:dyDescent="0.3">
      <c r="A21" s="925">
        <f>'e-w'!B42</f>
        <v>220</v>
      </c>
      <c r="B21" s="727">
        <f t="shared" si="8"/>
        <v>20</v>
      </c>
      <c r="C21" s="734">
        <f>B.T.!G18</f>
        <v>4</v>
      </c>
      <c r="D21" s="926">
        <f>B.T.!H18</f>
        <v>1</v>
      </c>
      <c r="E21" s="734" t="str">
        <f>B.T.!I18</f>
        <v>:1</v>
      </c>
      <c r="F21" s="734">
        <f t="shared" si="9"/>
        <v>5.6568542494923806</v>
      </c>
      <c r="G21" s="927">
        <f t="shared" si="10"/>
        <v>113.13708498984761</v>
      </c>
      <c r="H21" s="734">
        <f t="shared" si="11"/>
        <v>113.13708498984761</v>
      </c>
      <c r="I21" s="824">
        <f t="shared" si="1"/>
        <v>0.3</v>
      </c>
      <c r="J21" s="928">
        <f t="shared" si="12"/>
        <v>33.941125496954278</v>
      </c>
      <c r="K21" s="824">
        <f t="shared" si="13"/>
        <v>0.4</v>
      </c>
      <c r="L21" s="929">
        <f t="shared" si="14"/>
        <v>45.254833995939045</v>
      </c>
      <c r="M21" s="660"/>
      <c r="N21" s="659"/>
      <c r="O21" s="659"/>
      <c r="P21" s="659"/>
      <c r="Q21" s="659"/>
      <c r="R21" s="659"/>
      <c r="S21" s="659"/>
      <c r="T21" s="659"/>
      <c r="U21" s="659"/>
      <c r="V21" s="660"/>
      <c r="W21" s="660"/>
      <c r="X21" s="660"/>
      <c r="Y21" s="660"/>
      <c r="Z21" s="661"/>
      <c r="AA21" s="661"/>
    </row>
    <row r="22" spans="1:27" s="615" customFormat="1" ht="15.6" x14ac:dyDescent="0.3">
      <c r="A22" s="925">
        <f>'e-w'!B43</f>
        <v>240</v>
      </c>
      <c r="B22" s="727">
        <f t="shared" si="8"/>
        <v>20</v>
      </c>
      <c r="C22" s="734">
        <f>B.T.!G19</f>
        <v>4</v>
      </c>
      <c r="D22" s="926">
        <f>B.T.!H19</f>
        <v>1</v>
      </c>
      <c r="E22" s="734" t="str">
        <f>B.T.!I19</f>
        <v>:1</v>
      </c>
      <c r="F22" s="734">
        <f t="shared" si="9"/>
        <v>5.6568542494923806</v>
      </c>
      <c r="G22" s="927">
        <f t="shared" si="10"/>
        <v>113.13708498984761</v>
      </c>
      <c r="H22" s="734">
        <f t="shared" si="11"/>
        <v>113.13708498984761</v>
      </c>
      <c r="I22" s="824">
        <f t="shared" si="1"/>
        <v>0.3</v>
      </c>
      <c r="J22" s="928">
        <f t="shared" si="12"/>
        <v>33.941125496954278</v>
      </c>
      <c r="K22" s="824">
        <f t="shared" si="13"/>
        <v>0.4</v>
      </c>
      <c r="L22" s="929">
        <f t="shared" si="14"/>
        <v>45.254833995939045</v>
      </c>
      <c r="M22" s="660"/>
      <c r="N22" s="659"/>
      <c r="O22" s="659"/>
      <c r="P22" s="659"/>
      <c r="Q22" s="659"/>
      <c r="R22" s="659"/>
      <c r="S22" s="659"/>
      <c r="T22" s="659"/>
      <c r="U22" s="659"/>
      <c r="V22" s="660"/>
      <c r="W22" s="660"/>
      <c r="X22" s="660"/>
      <c r="Y22" s="660"/>
      <c r="Z22" s="661"/>
      <c r="AA22" s="661"/>
    </row>
    <row r="23" spans="1:27" s="615" customFormat="1" ht="15.6" x14ac:dyDescent="0.3">
      <c r="A23" s="925">
        <f>'e-w'!B44</f>
        <v>260</v>
      </c>
      <c r="B23" s="727">
        <f t="shared" si="8"/>
        <v>20</v>
      </c>
      <c r="C23" s="734">
        <f>B.T.!G20</f>
        <v>4</v>
      </c>
      <c r="D23" s="926">
        <f>B.T.!H20</f>
        <v>1</v>
      </c>
      <c r="E23" s="734" t="str">
        <f>B.T.!I20</f>
        <v>:1</v>
      </c>
      <c r="F23" s="734">
        <f t="shared" si="9"/>
        <v>5.6568542494923806</v>
      </c>
      <c r="G23" s="927">
        <f t="shared" si="10"/>
        <v>113.13708498984761</v>
      </c>
      <c r="H23" s="734">
        <f t="shared" si="11"/>
        <v>113.13708498984761</v>
      </c>
      <c r="I23" s="824">
        <f t="shared" si="1"/>
        <v>0.3</v>
      </c>
      <c r="J23" s="928">
        <f t="shared" si="12"/>
        <v>33.941125496954278</v>
      </c>
      <c r="K23" s="824">
        <f t="shared" si="13"/>
        <v>0.4</v>
      </c>
      <c r="L23" s="929">
        <f t="shared" si="14"/>
        <v>45.254833995939045</v>
      </c>
      <c r="M23" s="660"/>
      <c r="N23" s="659"/>
      <c r="O23" s="659"/>
      <c r="P23" s="659"/>
      <c r="Q23" s="659"/>
      <c r="R23" s="659"/>
      <c r="S23" s="659"/>
      <c r="T23" s="659"/>
      <c r="U23" s="659"/>
      <c r="V23" s="660"/>
      <c r="W23" s="660"/>
      <c r="X23" s="660"/>
      <c r="Y23" s="660"/>
      <c r="Z23" s="661"/>
      <c r="AA23" s="661"/>
    </row>
    <row r="24" spans="1:27" ht="13.8" x14ac:dyDescent="0.3">
      <c r="A24" s="925">
        <f>'e-w'!B45</f>
        <v>280</v>
      </c>
      <c r="B24" s="727">
        <f t="shared" si="8"/>
        <v>20</v>
      </c>
      <c r="C24" s="734">
        <f>B.T.!G21</f>
        <v>4</v>
      </c>
      <c r="D24" s="926">
        <f>B.T.!H21</f>
        <v>1</v>
      </c>
      <c r="E24" s="734" t="str">
        <f>B.T.!I21</f>
        <v>:1</v>
      </c>
      <c r="F24" s="734">
        <f t="shared" si="9"/>
        <v>5.6568542494923806</v>
      </c>
      <c r="G24" s="927">
        <f t="shared" si="10"/>
        <v>113.13708498984761</v>
      </c>
      <c r="H24" s="734">
        <f t="shared" si="11"/>
        <v>113.13708498984761</v>
      </c>
      <c r="I24" s="824">
        <f t="shared" si="1"/>
        <v>0.3</v>
      </c>
      <c r="J24" s="928">
        <f t="shared" si="12"/>
        <v>33.941125496954278</v>
      </c>
      <c r="K24" s="824">
        <f t="shared" si="13"/>
        <v>0.4</v>
      </c>
      <c r="L24" s="929">
        <f t="shared" si="14"/>
        <v>45.254833995939045</v>
      </c>
    </row>
    <row r="25" spans="1:27" ht="13.8" x14ac:dyDescent="0.3">
      <c r="A25" s="925">
        <f>'e-w'!B46</f>
        <v>300</v>
      </c>
      <c r="B25" s="727">
        <f t="shared" si="8"/>
        <v>20</v>
      </c>
      <c r="C25" s="734">
        <f>B.T.!G22</f>
        <v>4</v>
      </c>
      <c r="D25" s="926">
        <f>B.T.!H22</f>
        <v>1</v>
      </c>
      <c r="E25" s="734" t="str">
        <f>B.T.!I22</f>
        <v>:1</v>
      </c>
      <c r="F25" s="734">
        <f t="shared" si="9"/>
        <v>5.6568542494923806</v>
      </c>
      <c r="G25" s="927">
        <f t="shared" si="10"/>
        <v>113.13708498984761</v>
      </c>
      <c r="H25" s="734">
        <f t="shared" si="11"/>
        <v>113.13708498984761</v>
      </c>
      <c r="I25" s="824">
        <f t="shared" si="1"/>
        <v>0.3</v>
      </c>
      <c r="J25" s="928">
        <f t="shared" si="12"/>
        <v>33.941125496954278</v>
      </c>
      <c r="K25" s="824">
        <f t="shared" si="13"/>
        <v>0.4</v>
      </c>
      <c r="L25" s="929">
        <f t="shared" si="14"/>
        <v>45.254833995939045</v>
      </c>
    </row>
    <row r="26" spans="1:27" ht="13.8" x14ac:dyDescent="0.3">
      <c r="A26" s="925">
        <f>'e-w'!B47</f>
        <v>320</v>
      </c>
      <c r="B26" s="727">
        <f t="shared" si="8"/>
        <v>20</v>
      </c>
      <c r="C26" s="734">
        <f>B.T.!G23</f>
        <v>4</v>
      </c>
      <c r="D26" s="926">
        <f>B.T.!H23</f>
        <v>1</v>
      </c>
      <c r="E26" s="734" t="str">
        <f>B.T.!I23</f>
        <v>:1</v>
      </c>
      <c r="F26" s="734">
        <f t="shared" si="9"/>
        <v>5.6568542494923806</v>
      </c>
      <c r="G26" s="927">
        <f t="shared" si="10"/>
        <v>113.13708498984761</v>
      </c>
      <c r="H26" s="734">
        <f t="shared" si="11"/>
        <v>113.13708498984761</v>
      </c>
      <c r="I26" s="824">
        <f t="shared" si="1"/>
        <v>0.3</v>
      </c>
      <c r="J26" s="928">
        <f t="shared" si="12"/>
        <v>33.941125496954278</v>
      </c>
      <c r="K26" s="824">
        <f t="shared" si="13"/>
        <v>0.4</v>
      </c>
      <c r="L26" s="929">
        <f t="shared" si="14"/>
        <v>45.254833995939045</v>
      </c>
    </row>
    <row r="27" spans="1:27" ht="13.8" x14ac:dyDescent="0.3">
      <c r="A27" s="925">
        <f>'e-w'!B48</f>
        <v>340</v>
      </c>
      <c r="B27" s="727">
        <f t="shared" si="8"/>
        <v>20</v>
      </c>
      <c r="C27" s="734">
        <f>B.T.!G24</f>
        <v>4</v>
      </c>
      <c r="D27" s="926">
        <f>B.T.!H24</f>
        <v>1</v>
      </c>
      <c r="E27" s="734" t="str">
        <f>B.T.!I24</f>
        <v>:1</v>
      </c>
      <c r="F27" s="734">
        <f t="shared" si="9"/>
        <v>5.6568542494923806</v>
      </c>
      <c r="G27" s="927">
        <f t="shared" si="10"/>
        <v>113.13708498984761</v>
      </c>
      <c r="H27" s="734">
        <f t="shared" si="11"/>
        <v>113.13708498984761</v>
      </c>
      <c r="I27" s="824">
        <f t="shared" si="1"/>
        <v>0.3</v>
      </c>
      <c r="J27" s="928">
        <f t="shared" si="12"/>
        <v>33.941125496954278</v>
      </c>
      <c r="K27" s="824">
        <f t="shared" si="13"/>
        <v>0.4</v>
      </c>
      <c r="L27" s="929">
        <f t="shared" si="14"/>
        <v>45.254833995939045</v>
      </c>
    </row>
    <row r="28" spans="1:27" ht="13.8" x14ac:dyDescent="0.3">
      <c r="A28" s="925">
        <f>'e-w'!B49</f>
        <v>360</v>
      </c>
      <c r="B28" s="727">
        <f t="shared" si="8"/>
        <v>20</v>
      </c>
      <c r="C28" s="734">
        <f>B.T.!G25</f>
        <v>4</v>
      </c>
      <c r="D28" s="926">
        <f>B.T.!H25</f>
        <v>1</v>
      </c>
      <c r="E28" s="734" t="str">
        <f>B.T.!I25</f>
        <v>:1</v>
      </c>
      <c r="F28" s="734">
        <f t="shared" si="9"/>
        <v>5.6568542494923806</v>
      </c>
      <c r="G28" s="927">
        <f t="shared" si="10"/>
        <v>113.13708498984761</v>
      </c>
      <c r="H28" s="734">
        <f t="shared" si="11"/>
        <v>113.13708498984761</v>
      </c>
      <c r="I28" s="824">
        <f t="shared" si="1"/>
        <v>0.3</v>
      </c>
      <c r="J28" s="928">
        <f t="shared" si="12"/>
        <v>33.941125496954278</v>
      </c>
      <c r="K28" s="824">
        <f t="shared" si="13"/>
        <v>0.4</v>
      </c>
      <c r="L28" s="929">
        <f t="shared" si="14"/>
        <v>45.254833995939045</v>
      </c>
    </row>
    <row r="29" spans="1:27" ht="13.8" x14ac:dyDescent="0.3">
      <c r="A29" s="925">
        <f>'e-w'!B50</f>
        <v>380</v>
      </c>
      <c r="B29" s="727">
        <f t="shared" si="8"/>
        <v>20</v>
      </c>
      <c r="C29" s="734">
        <f>B.T.!G26</f>
        <v>4</v>
      </c>
      <c r="D29" s="926">
        <f>B.T.!H26</f>
        <v>1</v>
      </c>
      <c r="E29" s="734" t="str">
        <f>B.T.!I26</f>
        <v>:1</v>
      </c>
      <c r="F29" s="734">
        <f t="shared" si="9"/>
        <v>5.6568542494923806</v>
      </c>
      <c r="G29" s="927">
        <f t="shared" si="10"/>
        <v>113.13708498984761</v>
      </c>
      <c r="H29" s="734">
        <f t="shared" si="11"/>
        <v>113.13708498984761</v>
      </c>
      <c r="I29" s="824">
        <f t="shared" si="1"/>
        <v>0.3</v>
      </c>
      <c r="J29" s="928">
        <f t="shared" si="12"/>
        <v>33.941125496954278</v>
      </c>
      <c r="K29" s="824">
        <f t="shared" si="13"/>
        <v>0.4</v>
      </c>
      <c r="L29" s="929">
        <f t="shared" si="14"/>
        <v>45.254833995939045</v>
      </c>
    </row>
    <row r="30" spans="1:27" ht="13.8" x14ac:dyDescent="0.3">
      <c r="A30" s="925">
        <f>'e-w'!B51</f>
        <v>400</v>
      </c>
      <c r="B30" s="727">
        <f t="shared" si="8"/>
        <v>20</v>
      </c>
      <c r="C30" s="734">
        <f>B.T.!G27</f>
        <v>4</v>
      </c>
      <c r="D30" s="926">
        <f>B.T.!H27</f>
        <v>1</v>
      </c>
      <c r="E30" s="734" t="str">
        <f>B.T.!I27</f>
        <v>:1</v>
      </c>
      <c r="F30" s="734">
        <f t="shared" si="9"/>
        <v>5.6568542494923806</v>
      </c>
      <c r="G30" s="927">
        <f t="shared" si="10"/>
        <v>113.13708498984761</v>
      </c>
      <c r="H30" s="734">
        <f t="shared" si="11"/>
        <v>113.13708498984761</v>
      </c>
      <c r="I30" s="824">
        <f t="shared" si="1"/>
        <v>0.3</v>
      </c>
      <c r="J30" s="928">
        <f t="shared" si="12"/>
        <v>33.941125496954278</v>
      </c>
      <c r="K30" s="824">
        <f t="shared" si="13"/>
        <v>0.4</v>
      </c>
      <c r="L30" s="929">
        <f t="shared" si="14"/>
        <v>45.254833995939045</v>
      </c>
    </row>
    <row r="31" spans="1:27" ht="13.8" x14ac:dyDescent="0.3">
      <c r="A31" s="925">
        <f>'e-w'!B52</f>
        <v>420</v>
      </c>
      <c r="B31" s="727">
        <f t="shared" si="8"/>
        <v>20</v>
      </c>
      <c r="C31" s="734">
        <f>B.T.!G28</f>
        <v>4</v>
      </c>
      <c r="D31" s="926">
        <f>B.T.!H28</f>
        <v>1</v>
      </c>
      <c r="E31" s="734" t="str">
        <f>B.T.!I28</f>
        <v>:1</v>
      </c>
      <c r="F31" s="734">
        <f t="shared" si="9"/>
        <v>5.6568542494923806</v>
      </c>
      <c r="G31" s="927">
        <f t="shared" si="10"/>
        <v>113.13708498984761</v>
      </c>
      <c r="H31" s="734">
        <f t="shared" si="11"/>
        <v>113.13708498984761</v>
      </c>
      <c r="I31" s="824">
        <f t="shared" si="1"/>
        <v>0.3</v>
      </c>
      <c r="J31" s="928">
        <f t="shared" si="12"/>
        <v>33.941125496954278</v>
      </c>
      <c r="K31" s="824">
        <f t="shared" si="13"/>
        <v>0.4</v>
      </c>
      <c r="L31" s="929">
        <f t="shared" si="14"/>
        <v>45.254833995939045</v>
      </c>
    </row>
    <row r="32" spans="1:27" ht="13.8" x14ac:dyDescent="0.3">
      <c r="A32" s="925">
        <f>'e-w'!B53</f>
        <v>440</v>
      </c>
      <c r="B32" s="727">
        <f t="shared" si="8"/>
        <v>20</v>
      </c>
      <c r="C32" s="734">
        <f>B.T.!G29</f>
        <v>4</v>
      </c>
      <c r="D32" s="926">
        <f>B.T.!H29</f>
        <v>1</v>
      </c>
      <c r="E32" s="734" t="str">
        <f>B.T.!I29</f>
        <v>:1</v>
      </c>
      <c r="F32" s="734">
        <f t="shared" si="9"/>
        <v>5.6568542494923806</v>
      </c>
      <c r="G32" s="927">
        <f t="shared" si="10"/>
        <v>113.13708498984761</v>
      </c>
      <c r="H32" s="734">
        <f t="shared" si="11"/>
        <v>113.13708498984761</v>
      </c>
      <c r="I32" s="824">
        <f t="shared" si="1"/>
        <v>0.3</v>
      </c>
      <c r="J32" s="928">
        <f t="shared" si="12"/>
        <v>33.941125496954278</v>
      </c>
      <c r="K32" s="824">
        <f t="shared" si="13"/>
        <v>0.4</v>
      </c>
      <c r="L32" s="929">
        <f t="shared" si="14"/>
        <v>45.254833995939045</v>
      </c>
    </row>
    <row r="33" spans="1:15" ht="13.8" x14ac:dyDescent="0.3">
      <c r="A33" s="925">
        <f>'e-w'!B54</f>
        <v>460</v>
      </c>
      <c r="B33" s="727">
        <f t="shared" si="8"/>
        <v>20</v>
      </c>
      <c r="C33" s="734">
        <f>B.T.!G30</f>
        <v>4</v>
      </c>
      <c r="D33" s="926">
        <f>B.T.!H30</f>
        <v>1</v>
      </c>
      <c r="E33" s="734" t="str">
        <f>B.T.!I30</f>
        <v>:1</v>
      </c>
      <c r="F33" s="734">
        <f t="shared" si="9"/>
        <v>5.6568542494923806</v>
      </c>
      <c r="G33" s="927">
        <f t="shared" si="10"/>
        <v>113.13708498984761</v>
      </c>
      <c r="H33" s="734">
        <f t="shared" si="11"/>
        <v>113.13708498984761</v>
      </c>
      <c r="I33" s="824">
        <f t="shared" si="1"/>
        <v>0.3</v>
      </c>
      <c r="J33" s="928">
        <f t="shared" si="12"/>
        <v>33.941125496954278</v>
      </c>
      <c r="K33" s="824">
        <f t="shared" si="13"/>
        <v>0.4</v>
      </c>
      <c r="L33" s="929">
        <f t="shared" si="14"/>
        <v>45.254833995939045</v>
      </c>
    </row>
    <row r="34" spans="1:15" ht="13.8" x14ac:dyDescent="0.3">
      <c r="A34" s="925">
        <f>'e-w'!B55</f>
        <v>480</v>
      </c>
      <c r="B34" s="727">
        <f t="shared" si="8"/>
        <v>20</v>
      </c>
      <c r="C34" s="734">
        <f>B.T.!G31</f>
        <v>4</v>
      </c>
      <c r="D34" s="926">
        <f>B.T.!H31</f>
        <v>1</v>
      </c>
      <c r="E34" s="734" t="str">
        <f>B.T.!I31</f>
        <v>:1</v>
      </c>
      <c r="F34" s="734">
        <f t="shared" si="9"/>
        <v>5.6568542494923806</v>
      </c>
      <c r="G34" s="927">
        <f t="shared" si="10"/>
        <v>113.13708498984761</v>
      </c>
      <c r="H34" s="734">
        <f t="shared" si="11"/>
        <v>113.13708498984761</v>
      </c>
      <c r="I34" s="824">
        <f t="shared" si="1"/>
        <v>0.3</v>
      </c>
      <c r="J34" s="928">
        <f t="shared" si="12"/>
        <v>33.941125496954278</v>
      </c>
      <c r="K34" s="824">
        <f t="shared" si="13"/>
        <v>0.4</v>
      </c>
      <c r="L34" s="929">
        <f t="shared" si="14"/>
        <v>45.254833995939045</v>
      </c>
    </row>
    <row r="35" spans="1:15" ht="13.8" x14ac:dyDescent="0.3">
      <c r="A35" s="925">
        <f>'e-w'!B56</f>
        <v>500</v>
      </c>
      <c r="B35" s="727">
        <f t="shared" si="8"/>
        <v>20</v>
      </c>
      <c r="C35" s="734">
        <f>B.T.!G32</f>
        <v>4</v>
      </c>
      <c r="D35" s="926">
        <f>B.T.!H32</f>
        <v>1</v>
      </c>
      <c r="E35" s="734" t="str">
        <f>B.T.!I32</f>
        <v>:1</v>
      </c>
      <c r="F35" s="734">
        <f t="shared" si="9"/>
        <v>5.6568542494923806</v>
      </c>
      <c r="G35" s="927">
        <f t="shared" si="10"/>
        <v>113.13708498984761</v>
      </c>
      <c r="H35" s="734">
        <f t="shared" si="11"/>
        <v>113.13708498984761</v>
      </c>
      <c r="I35" s="824">
        <f t="shared" si="1"/>
        <v>0.3</v>
      </c>
      <c r="J35" s="928">
        <f t="shared" si="12"/>
        <v>33.941125496954278</v>
      </c>
      <c r="K35" s="824">
        <f t="shared" si="13"/>
        <v>0.4</v>
      </c>
      <c r="L35" s="929">
        <f t="shared" si="14"/>
        <v>45.254833995939045</v>
      </c>
    </row>
    <row r="36" spans="1:15" ht="13.8" x14ac:dyDescent="0.3">
      <c r="A36" s="925">
        <f>'e-w'!B57</f>
        <v>520</v>
      </c>
      <c r="B36" s="727">
        <f t="shared" si="8"/>
        <v>20</v>
      </c>
      <c r="C36" s="734">
        <f>B.T.!G33</f>
        <v>4</v>
      </c>
      <c r="D36" s="926">
        <f>B.T.!H33</f>
        <v>1</v>
      </c>
      <c r="E36" s="734" t="str">
        <f>B.T.!I33</f>
        <v>:1</v>
      </c>
      <c r="F36" s="734">
        <f t="shared" si="9"/>
        <v>5.6568542494923806</v>
      </c>
      <c r="G36" s="927">
        <f t="shared" si="10"/>
        <v>113.13708498984761</v>
      </c>
      <c r="H36" s="734">
        <f t="shared" si="11"/>
        <v>113.13708498984761</v>
      </c>
      <c r="I36" s="824">
        <f t="shared" si="1"/>
        <v>0.3</v>
      </c>
      <c r="J36" s="928">
        <f t="shared" si="12"/>
        <v>33.941125496954278</v>
      </c>
      <c r="K36" s="824">
        <f t="shared" si="13"/>
        <v>0.4</v>
      </c>
      <c r="L36" s="929">
        <f t="shared" si="14"/>
        <v>45.254833995939045</v>
      </c>
    </row>
    <row r="37" spans="1:15" ht="13.8" x14ac:dyDescent="0.3">
      <c r="A37" s="925">
        <f>'e-w'!B58</f>
        <v>540</v>
      </c>
      <c r="B37" s="727">
        <f t="shared" si="8"/>
        <v>20</v>
      </c>
      <c r="C37" s="734">
        <f>B.T.!G34</f>
        <v>4</v>
      </c>
      <c r="D37" s="926">
        <f>B.T.!H34</f>
        <v>1</v>
      </c>
      <c r="E37" s="734" t="str">
        <f>B.T.!I34</f>
        <v>:1</v>
      </c>
      <c r="F37" s="734">
        <f t="shared" si="9"/>
        <v>5.6568542494923806</v>
      </c>
      <c r="G37" s="927">
        <f t="shared" si="10"/>
        <v>113.13708498984761</v>
      </c>
      <c r="H37" s="734">
        <f t="shared" si="11"/>
        <v>113.13708498984761</v>
      </c>
      <c r="I37" s="824">
        <f t="shared" si="1"/>
        <v>0.3</v>
      </c>
      <c r="J37" s="928">
        <f t="shared" si="12"/>
        <v>33.941125496954278</v>
      </c>
      <c r="K37" s="824">
        <f t="shared" si="13"/>
        <v>0.4</v>
      </c>
      <c r="L37" s="929">
        <f t="shared" si="14"/>
        <v>45.254833995939045</v>
      </c>
    </row>
    <row r="38" spans="1:15" ht="13.8" x14ac:dyDescent="0.3">
      <c r="A38" s="925">
        <f>'e-w'!B59</f>
        <v>560</v>
      </c>
      <c r="B38" s="727">
        <f t="shared" si="8"/>
        <v>20</v>
      </c>
      <c r="C38" s="734">
        <f>B.T.!G35</f>
        <v>4</v>
      </c>
      <c r="D38" s="926">
        <f>B.T.!H35</f>
        <v>1</v>
      </c>
      <c r="E38" s="734" t="str">
        <f>B.T.!I35</f>
        <v>:1</v>
      </c>
      <c r="F38" s="734">
        <f t="shared" si="9"/>
        <v>5.6568542494923806</v>
      </c>
      <c r="G38" s="927">
        <f t="shared" si="10"/>
        <v>113.13708498984761</v>
      </c>
      <c r="H38" s="734">
        <f t="shared" si="11"/>
        <v>113.13708498984761</v>
      </c>
      <c r="I38" s="824">
        <f t="shared" si="1"/>
        <v>0.3</v>
      </c>
      <c r="J38" s="928">
        <f t="shared" si="12"/>
        <v>33.941125496954278</v>
      </c>
      <c r="K38" s="824">
        <f t="shared" si="13"/>
        <v>0.4</v>
      </c>
      <c r="L38" s="929">
        <f t="shared" si="14"/>
        <v>45.254833995939045</v>
      </c>
    </row>
    <row r="39" spans="1:15" ht="13.8" x14ac:dyDescent="0.3">
      <c r="A39" s="925">
        <f>'e-w'!B60</f>
        <v>580</v>
      </c>
      <c r="B39" s="727">
        <f t="shared" si="8"/>
        <v>20</v>
      </c>
      <c r="C39" s="734">
        <f>B.T.!G36</f>
        <v>4</v>
      </c>
      <c r="D39" s="926">
        <f>B.T.!H36</f>
        <v>1</v>
      </c>
      <c r="E39" s="734" t="str">
        <f>B.T.!I36</f>
        <v>:1</v>
      </c>
      <c r="F39" s="734">
        <f t="shared" si="9"/>
        <v>5.6568542494923806</v>
      </c>
      <c r="G39" s="927">
        <f t="shared" si="10"/>
        <v>113.13708498984761</v>
      </c>
      <c r="H39" s="734">
        <f t="shared" si="11"/>
        <v>113.13708498984761</v>
      </c>
      <c r="I39" s="824">
        <f t="shared" si="1"/>
        <v>0.3</v>
      </c>
      <c r="J39" s="928">
        <f t="shared" si="12"/>
        <v>33.941125496954278</v>
      </c>
      <c r="K39" s="824">
        <f t="shared" si="13"/>
        <v>0.4</v>
      </c>
      <c r="L39" s="929">
        <f t="shared" si="14"/>
        <v>45.254833995939045</v>
      </c>
    </row>
    <row r="40" spans="1:15" ht="13.8" x14ac:dyDescent="0.3">
      <c r="A40" s="925">
        <f>'e-w'!B61</f>
        <v>600</v>
      </c>
      <c r="B40" s="727">
        <f t="shared" si="8"/>
        <v>20</v>
      </c>
      <c r="C40" s="734">
        <f>B.T.!G37</f>
        <v>4</v>
      </c>
      <c r="D40" s="926">
        <f>B.T.!H37</f>
        <v>1</v>
      </c>
      <c r="E40" s="734" t="str">
        <f>B.T.!I37</f>
        <v>:1</v>
      </c>
      <c r="F40" s="734">
        <f t="shared" si="9"/>
        <v>5.6568542494923806</v>
      </c>
      <c r="G40" s="927">
        <f t="shared" si="10"/>
        <v>113.13708498984761</v>
      </c>
      <c r="H40" s="734">
        <f t="shared" si="11"/>
        <v>113.13708498984761</v>
      </c>
      <c r="I40" s="824">
        <f t="shared" si="1"/>
        <v>0.3</v>
      </c>
      <c r="J40" s="928">
        <f t="shared" si="12"/>
        <v>33.941125496954278</v>
      </c>
      <c r="K40" s="824">
        <f t="shared" si="13"/>
        <v>0.4</v>
      </c>
      <c r="L40" s="929">
        <f t="shared" si="14"/>
        <v>45.254833995939045</v>
      </c>
    </row>
    <row r="41" spans="1:15" ht="13.8" x14ac:dyDescent="0.3">
      <c r="A41" s="925">
        <f>'e-w'!B62</f>
        <v>620</v>
      </c>
      <c r="B41" s="727">
        <f t="shared" si="8"/>
        <v>20</v>
      </c>
      <c r="C41" s="734">
        <f>B.T.!G38</f>
        <v>4</v>
      </c>
      <c r="D41" s="926">
        <f>B.T.!H38</f>
        <v>1</v>
      </c>
      <c r="E41" s="734" t="str">
        <f>B.T.!I38</f>
        <v>:1</v>
      </c>
      <c r="F41" s="734">
        <f t="shared" si="9"/>
        <v>5.6568542494923806</v>
      </c>
      <c r="G41" s="927">
        <f t="shared" si="10"/>
        <v>113.13708498984761</v>
      </c>
      <c r="H41" s="734">
        <f t="shared" si="11"/>
        <v>113.13708498984761</v>
      </c>
      <c r="I41" s="824">
        <f t="shared" si="1"/>
        <v>0.3</v>
      </c>
      <c r="J41" s="928">
        <f t="shared" si="12"/>
        <v>33.941125496954278</v>
      </c>
      <c r="K41" s="824">
        <f t="shared" si="13"/>
        <v>0.4</v>
      </c>
      <c r="L41" s="929">
        <f t="shared" si="14"/>
        <v>45.254833995939045</v>
      </c>
    </row>
    <row r="42" spans="1:15" ht="13.8" x14ac:dyDescent="0.3">
      <c r="A42" s="925">
        <f>'e-w'!B63</f>
        <v>640</v>
      </c>
      <c r="B42" s="727">
        <f t="shared" si="8"/>
        <v>20</v>
      </c>
      <c r="C42" s="734">
        <f>B.T.!G39</f>
        <v>4</v>
      </c>
      <c r="D42" s="926">
        <f>B.T.!H39</f>
        <v>1</v>
      </c>
      <c r="E42" s="734" t="str">
        <f>B.T.!I39</f>
        <v>:1</v>
      </c>
      <c r="F42" s="734">
        <f t="shared" si="9"/>
        <v>5.6568542494923806</v>
      </c>
      <c r="G42" s="927">
        <f t="shared" si="10"/>
        <v>113.13708498984761</v>
      </c>
      <c r="H42" s="734">
        <f t="shared" si="11"/>
        <v>113.13708498984761</v>
      </c>
      <c r="I42" s="824">
        <f t="shared" si="1"/>
        <v>0.3</v>
      </c>
      <c r="J42" s="928">
        <f t="shared" si="12"/>
        <v>33.941125496954278</v>
      </c>
      <c r="K42" s="824">
        <f t="shared" si="13"/>
        <v>0.4</v>
      </c>
      <c r="L42" s="929">
        <f t="shared" si="14"/>
        <v>45.254833995939045</v>
      </c>
    </row>
    <row r="43" spans="1:15" ht="13.8" x14ac:dyDescent="0.3">
      <c r="A43" s="925">
        <f>'e-w'!B64</f>
        <v>660</v>
      </c>
      <c r="B43" s="727">
        <f t="shared" si="8"/>
        <v>20</v>
      </c>
      <c r="C43" s="734">
        <f>B.T.!G40</f>
        <v>4</v>
      </c>
      <c r="D43" s="926">
        <f>B.T.!H40</f>
        <v>1</v>
      </c>
      <c r="E43" s="734" t="str">
        <f>B.T.!I40</f>
        <v>:1</v>
      </c>
      <c r="F43" s="734">
        <f t="shared" si="9"/>
        <v>5.6568542494923806</v>
      </c>
      <c r="G43" s="927">
        <f t="shared" si="10"/>
        <v>113.13708498984761</v>
      </c>
      <c r="H43" s="734">
        <f t="shared" si="11"/>
        <v>113.13708498984761</v>
      </c>
      <c r="I43" s="824">
        <f t="shared" si="1"/>
        <v>0.3</v>
      </c>
      <c r="J43" s="928">
        <f t="shared" si="12"/>
        <v>33.941125496954278</v>
      </c>
      <c r="K43" s="824">
        <f t="shared" si="13"/>
        <v>0.4</v>
      </c>
      <c r="L43" s="929">
        <f t="shared" si="14"/>
        <v>45.254833995939045</v>
      </c>
    </row>
    <row r="44" spans="1:15" ht="13.8" x14ac:dyDescent="0.3">
      <c r="A44" s="925">
        <f>'e-w'!B65</f>
        <v>680</v>
      </c>
      <c r="B44" s="727">
        <f t="shared" si="8"/>
        <v>20</v>
      </c>
      <c r="C44" s="734">
        <f>B.T.!G41</f>
        <v>4</v>
      </c>
      <c r="D44" s="926">
        <f>B.T.!H41</f>
        <v>1</v>
      </c>
      <c r="E44" s="734" t="str">
        <f>B.T.!I41</f>
        <v>:1</v>
      </c>
      <c r="F44" s="734">
        <f t="shared" si="9"/>
        <v>5.6568542494923806</v>
      </c>
      <c r="G44" s="927">
        <f t="shared" si="10"/>
        <v>113.13708498984761</v>
      </c>
      <c r="H44" s="734">
        <f t="shared" si="11"/>
        <v>113.13708498984761</v>
      </c>
      <c r="I44" s="824">
        <f t="shared" si="1"/>
        <v>0.3</v>
      </c>
      <c r="J44" s="928">
        <f t="shared" si="12"/>
        <v>33.941125496954278</v>
      </c>
      <c r="K44" s="824">
        <f t="shared" si="13"/>
        <v>0.4</v>
      </c>
      <c r="L44" s="929">
        <f t="shared" si="14"/>
        <v>45.254833995939045</v>
      </c>
    </row>
    <row r="45" spans="1:15" ht="13.8" x14ac:dyDescent="0.3">
      <c r="A45" s="925">
        <f>'e-w'!B66</f>
        <v>700</v>
      </c>
      <c r="B45" s="727">
        <f t="shared" si="8"/>
        <v>20</v>
      </c>
      <c r="C45" s="734">
        <f>B.T.!G42</f>
        <v>4</v>
      </c>
      <c r="D45" s="926">
        <f>B.T.!H42</f>
        <v>1</v>
      </c>
      <c r="E45" s="734" t="str">
        <f>B.T.!I42</f>
        <v>:1</v>
      </c>
      <c r="F45" s="734">
        <f t="shared" si="9"/>
        <v>5.6568542494923806</v>
      </c>
      <c r="G45" s="927">
        <f t="shared" si="10"/>
        <v>113.13708498984761</v>
      </c>
      <c r="H45" s="734">
        <f t="shared" si="11"/>
        <v>113.13708498984761</v>
      </c>
      <c r="I45" s="824">
        <f t="shared" si="1"/>
        <v>0.3</v>
      </c>
      <c r="J45" s="928">
        <f t="shared" si="12"/>
        <v>33.941125496954278</v>
      </c>
      <c r="K45" s="824">
        <f t="shared" si="13"/>
        <v>0.4</v>
      </c>
      <c r="L45" s="929">
        <f t="shared" si="14"/>
        <v>45.254833995939045</v>
      </c>
    </row>
    <row r="46" spans="1:15" ht="13.8" x14ac:dyDescent="0.3">
      <c r="A46" s="925">
        <f>'e-w'!B67</f>
        <v>720</v>
      </c>
      <c r="B46" s="727">
        <f t="shared" si="8"/>
        <v>20</v>
      </c>
      <c r="C46" s="734">
        <f>B.T.!G43</f>
        <v>4</v>
      </c>
      <c r="D46" s="926">
        <f>B.T.!H43</f>
        <v>1</v>
      </c>
      <c r="E46" s="734" t="str">
        <f>B.T.!I43</f>
        <v>:1</v>
      </c>
      <c r="F46" s="734">
        <f t="shared" si="9"/>
        <v>5.6568542494923806</v>
      </c>
      <c r="G46" s="927">
        <f t="shared" si="10"/>
        <v>113.13708498984761</v>
      </c>
      <c r="H46" s="734">
        <f t="shared" si="11"/>
        <v>113.13708498984761</v>
      </c>
      <c r="I46" s="824">
        <f t="shared" si="1"/>
        <v>0.3</v>
      </c>
      <c r="J46" s="928">
        <f t="shared" si="12"/>
        <v>33.941125496954278</v>
      </c>
      <c r="K46" s="824">
        <f t="shared" si="13"/>
        <v>0.4</v>
      </c>
      <c r="L46" s="929">
        <f t="shared" si="14"/>
        <v>45.254833995939045</v>
      </c>
    </row>
    <row r="47" spans="1:15" ht="13.8" x14ac:dyDescent="0.3">
      <c r="A47" s="925">
        <f>'e-w'!B68</f>
        <v>740</v>
      </c>
      <c r="B47" s="727">
        <f t="shared" si="8"/>
        <v>20</v>
      </c>
      <c r="C47" s="734">
        <f>B.T.!G44</f>
        <v>4</v>
      </c>
      <c r="D47" s="926">
        <f>B.T.!H44</f>
        <v>1</v>
      </c>
      <c r="E47" s="734" t="str">
        <f>B.T.!I44</f>
        <v>:1</v>
      </c>
      <c r="F47" s="734">
        <f t="shared" si="9"/>
        <v>5.6568542494923806</v>
      </c>
      <c r="G47" s="927">
        <f t="shared" si="10"/>
        <v>113.13708498984761</v>
      </c>
      <c r="H47" s="734">
        <f t="shared" si="11"/>
        <v>113.13708498984761</v>
      </c>
      <c r="I47" s="824">
        <f t="shared" si="1"/>
        <v>0.3</v>
      </c>
      <c r="J47" s="928">
        <f t="shared" si="12"/>
        <v>33.941125496954278</v>
      </c>
      <c r="K47" s="824">
        <f t="shared" si="13"/>
        <v>0.4</v>
      </c>
      <c r="L47" s="929">
        <f t="shared" si="14"/>
        <v>45.254833995939045</v>
      </c>
    </row>
    <row r="48" spans="1:15" ht="13.8" x14ac:dyDescent="0.3">
      <c r="A48" s="743"/>
      <c r="B48" s="736"/>
      <c r="C48" s="745"/>
      <c r="D48" s="569"/>
      <c r="E48" s="569"/>
      <c r="F48" s="569"/>
      <c r="G48" s="930"/>
      <c r="H48" s="1385" t="s">
        <v>15</v>
      </c>
      <c r="I48" s="1385"/>
      <c r="J48" s="818">
        <f>SUM(J10:J47)</f>
        <v>1238.8510806388322</v>
      </c>
      <c r="K48" s="1386">
        <f>SUM(L10:L47)</f>
        <v>1651.8014408517743</v>
      </c>
      <c r="L48" s="1387"/>
      <c r="M48" s="743"/>
      <c r="N48" s="569"/>
      <c r="O48" s="569"/>
    </row>
    <row r="49" spans="1:15" ht="13.8" x14ac:dyDescent="0.3">
      <c r="A49" s="743"/>
      <c r="B49" s="736"/>
      <c r="C49" s="745"/>
      <c r="D49" s="745"/>
      <c r="E49" s="745"/>
      <c r="F49" s="745"/>
      <c r="G49" s="745"/>
      <c r="H49" s="744"/>
      <c r="I49" s="744"/>
      <c r="J49" s="569"/>
      <c r="K49" s="742"/>
      <c r="L49" s="743"/>
      <c r="M49" s="743"/>
      <c r="N49" s="569"/>
      <c r="O49" s="569"/>
    </row>
    <row r="50" spans="1:15" ht="13.8" x14ac:dyDescent="0.3">
      <c r="A50" s="913" t="s">
        <v>444</v>
      </c>
      <c r="B50" s="749" t="s">
        <v>571</v>
      </c>
      <c r="C50" s="749"/>
      <c r="D50" s="749"/>
      <c r="E50" s="749"/>
      <c r="F50" s="749"/>
      <c r="G50" s="749" t="s">
        <v>114</v>
      </c>
      <c r="H50" s="1381">
        <f>K48</f>
        <v>1651.8014408517743</v>
      </c>
      <c r="I50" s="1381"/>
      <c r="J50" s="749" t="s">
        <v>296</v>
      </c>
      <c r="K50" s="569"/>
      <c r="L50" s="569"/>
      <c r="M50" s="569"/>
      <c r="N50" s="569"/>
      <c r="O50" s="569"/>
    </row>
    <row r="51" spans="1:15" ht="13.8" x14ac:dyDescent="0.3">
      <c r="A51" s="913" t="s">
        <v>572</v>
      </c>
      <c r="B51" s="749" t="s">
        <v>573</v>
      </c>
      <c r="C51" s="749"/>
      <c r="D51" s="749"/>
      <c r="E51" s="749"/>
      <c r="F51" s="749"/>
      <c r="G51" s="749" t="s">
        <v>114</v>
      </c>
      <c r="H51" s="1381">
        <f>J48*2</f>
        <v>2477.7021612776643</v>
      </c>
      <c r="I51" s="1382"/>
      <c r="J51" s="749" t="s">
        <v>296</v>
      </c>
      <c r="K51" s="569"/>
      <c r="L51" s="569"/>
      <c r="M51" s="569"/>
      <c r="N51" s="569"/>
      <c r="O51" s="569"/>
    </row>
    <row r="54" spans="1:15" x14ac:dyDescent="0.25">
      <c r="D54" s="752" t="e">
        <f>pich!E63</f>
        <v>#REF!</v>
      </c>
      <c r="I54" s="752">
        <f>pich!K63</f>
        <v>0</v>
      </c>
    </row>
    <row r="55" spans="1:15" x14ac:dyDescent="0.25">
      <c r="D55" s="752" t="e">
        <f>pich!E64</f>
        <v>#REF!</v>
      </c>
      <c r="I55" s="752">
        <f>pich!K64</f>
        <v>0</v>
      </c>
    </row>
    <row r="56" spans="1:15" x14ac:dyDescent="0.25">
      <c r="D56" s="752" t="e">
        <f>pich!E65</f>
        <v>#REF!</v>
      </c>
      <c r="I56" s="752">
        <f>pich!K65</f>
        <v>0</v>
      </c>
    </row>
  </sheetData>
  <customSheetViews>
    <customSheetView guid="{5161B42F-120B-436B-80F4-9BB578173AD5}" scale="85">
      <selection activeCell="F24" sqref="F24"/>
      <pageMargins left="0.70866141732283505" right="0.70866141732283505" top="0.74803149606299202" bottom="0.74803149606299202" header="0.31496062992126" footer="0.31496062992126"/>
      <printOptions horizontalCentered="1"/>
      <pageSetup scale="92" orientation="portrait" r:id="rId1"/>
      <headerFooter>
        <oddFooter>&amp;R&amp;P</oddFooter>
      </headerFooter>
    </customSheetView>
  </customSheetViews>
  <mergeCells count="17">
    <mergeCell ref="A1:L1"/>
    <mergeCell ref="I2:L2"/>
    <mergeCell ref="A3:L3"/>
    <mergeCell ref="A7:A8"/>
    <mergeCell ref="B7:B8"/>
    <mergeCell ref="C7:C8"/>
    <mergeCell ref="D7:E8"/>
    <mergeCell ref="F7:F8"/>
    <mergeCell ref="G7:G8"/>
    <mergeCell ref="H7:H8"/>
    <mergeCell ref="H50:I50"/>
    <mergeCell ref="H51:I51"/>
    <mergeCell ref="I7:J7"/>
    <mergeCell ref="K7:L7"/>
    <mergeCell ref="D9:E9"/>
    <mergeCell ref="H48:I48"/>
    <mergeCell ref="K48:L48"/>
  </mergeCells>
  <printOptions horizontalCentered="1"/>
  <pageMargins left="0.70866141732283505" right="0.70866141732283505" top="0.74803149606299202" bottom="0.74803149606299202" header="0.31496062992126" footer="0.31496062992126"/>
  <pageSetup scale="92" orientation="portrait" r:id="rId2"/>
  <headerFooter>
    <oddFooter>&amp;R&amp;P</oddFooter>
  </headerFooter>
  <rowBreaks count="1" manualBreakCount="1">
    <brk id="3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A55"/>
  <sheetViews>
    <sheetView view="pageBreakPreview" topLeftCell="A31" zoomScale="60" zoomScaleNormal="85" workbookViewId="0">
      <selection activeCell="G44" sqref="G44"/>
    </sheetView>
  </sheetViews>
  <sheetFormatPr defaultRowHeight="13.8" x14ac:dyDescent="0.3"/>
  <cols>
    <col min="1" max="1" width="9.33203125" style="569" bestFit="1" customWidth="1"/>
    <col min="2" max="2" width="7.5546875" style="569" customWidth="1"/>
    <col min="3" max="3" width="9.33203125" style="569" bestFit="1" customWidth="1"/>
    <col min="4" max="4" width="4.88671875" style="569" customWidth="1"/>
    <col min="5" max="5" width="3.88671875" style="569" customWidth="1"/>
    <col min="6" max="7" width="9.33203125" style="569" bestFit="1" customWidth="1"/>
    <col min="8" max="8" width="11.5546875" style="569" bestFit="1" customWidth="1"/>
    <col min="9" max="9" width="9.33203125" style="569" bestFit="1" customWidth="1"/>
    <col min="10" max="10" width="11" style="569" customWidth="1"/>
    <col min="11" max="11" width="9.33203125" style="569" bestFit="1" customWidth="1"/>
    <col min="12" max="12" width="11.5546875" style="569" bestFit="1" customWidth="1"/>
    <col min="13" max="13" width="9.33203125" style="569" bestFit="1" customWidth="1"/>
    <col min="14" max="259" width="8.88671875" style="569"/>
    <col min="260" max="261" width="3.88671875" style="569" customWidth="1"/>
    <col min="262" max="515" width="8.88671875" style="569"/>
    <col min="516" max="517" width="3.88671875" style="569" customWidth="1"/>
    <col min="518" max="771" width="8.88671875" style="569"/>
    <col min="772" max="773" width="3.88671875" style="569" customWidth="1"/>
    <col min="774" max="1027" width="8.88671875" style="569"/>
    <col min="1028" max="1029" width="3.88671875" style="569" customWidth="1"/>
    <col min="1030" max="1283" width="8.88671875" style="569"/>
    <col min="1284" max="1285" width="3.88671875" style="569" customWidth="1"/>
    <col min="1286" max="1539" width="8.88671875" style="569"/>
    <col min="1540" max="1541" width="3.88671875" style="569" customWidth="1"/>
    <col min="1542" max="1795" width="8.88671875" style="569"/>
    <col min="1796" max="1797" width="3.88671875" style="569" customWidth="1"/>
    <col min="1798" max="2051" width="8.88671875" style="569"/>
    <col min="2052" max="2053" width="3.88671875" style="569" customWidth="1"/>
    <col min="2054" max="2307" width="8.88671875" style="569"/>
    <col min="2308" max="2309" width="3.88671875" style="569" customWidth="1"/>
    <col min="2310" max="2563" width="8.88671875" style="569"/>
    <col min="2564" max="2565" width="3.88671875" style="569" customWidth="1"/>
    <col min="2566" max="2819" width="8.88671875" style="569"/>
    <col min="2820" max="2821" width="3.88671875" style="569" customWidth="1"/>
    <col min="2822" max="3075" width="8.88671875" style="569"/>
    <col min="3076" max="3077" width="3.88671875" style="569" customWidth="1"/>
    <col min="3078" max="3331" width="8.88671875" style="569"/>
    <col min="3332" max="3333" width="3.88671875" style="569" customWidth="1"/>
    <col min="3334" max="3587" width="8.88671875" style="569"/>
    <col min="3588" max="3589" width="3.88671875" style="569" customWidth="1"/>
    <col min="3590" max="3843" width="8.88671875" style="569"/>
    <col min="3844" max="3845" width="3.88671875" style="569" customWidth="1"/>
    <col min="3846" max="4099" width="8.88671875" style="569"/>
    <col min="4100" max="4101" width="3.88671875" style="569" customWidth="1"/>
    <col min="4102" max="4355" width="8.88671875" style="569"/>
    <col min="4356" max="4357" width="3.88671875" style="569" customWidth="1"/>
    <col min="4358" max="4611" width="8.88671875" style="569"/>
    <col min="4612" max="4613" width="3.88671875" style="569" customWidth="1"/>
    <col min="4614" max="4867" width="8.88671875" style="569"/>
    <col min="4868" max="4869" width="3.88671875" style="569" customWidth="1"/>
    <col min="4870" max="5123" width="8.88671875" style="569"/>
    <col min="5124" max="5125" width="3.88671875" style="569" customWidth="1"/>
    <col min="5126" max="5379" width="8.88671875" style="569"/>
    <col min="5380" max="5381" width="3.88671875" style="569" customWidth="1"/>
    <col min="5382" max="5635" width="8.88671875" style="569"/>
    <col min="5636" max="5637" width="3.88671875" style="569" customWidth="1"/>
    <col min="5638" max="5891" width="8.88671875" style="569"/>
    <col min="5892" max="5893" width="3.88671875" style="569" customWidth="1"/>
    <col min="5894" max="6147" width="8.88671875" style="569"/>
    <col min="6148" max="6149" width="3.88671875" style="569" customWidth="1"/>
    <col min="6150" max="6403" width="8.88671875" style="569"/>
    <col min="6404" max="6405" width="3.88671875" style="569" customWidth="1"/>
    <col min="6406" max="6659" width="8.88671875" style="569"/>
    <col min="6660" max="6661" width="3.88671875" style="569" customWidth="1"/>
    <col min="6662" max="6915" width="8.88671875" style="569"/>
    <col min="6916" max="6917" width="3.88671875" style="569" customWidth="1"/>
    <col min="6918" max="7171" width="8.88671875" style="569"/>
    <col min="7172" max="7173" width="3.88671875" style="569" customWidth="1"/>
    <col min="7174" max="7427" width="8.88671875" style="569"/>
    <col min="7428" max="7429" width="3.88671875" style="569" customWidth="1"/>
    <col min="7430" max="7683" width="8.88671875" style="569"/>
    <col min="7684" max="7685" width="3.88671875" style="569" customWidth="1"/>
    <col min="7686" max="7939" width="8.88671875" style="569"/>
    <col min="7940" max="7941" width="3.88671875" style="569" customWidth="1"/>
    <col min="7942" max="8195" width="8.88671875" style="569"/>
    <col min="8196" max="8197" width="3.88671875" style="569" customWidth="1"/>
    <col min="8198" max="8451" width="8.88671875" style="569"/>
    <col min="8452" max="8453" width="3.88671875" style="569" customWidth="1"/>
    <col min="8454" max="8707" width="8.88671875" style="569"/>
    <col min="8708" max="8709" width="3.88671875" style="569" customWidth="1"/>
    <col min="8710" max="8963" width="8.88671875" style="569"/>
    <col min="8964" max="8965" width="3.88671875" style="569" customWidth="1"/>
    <col min="8966" max="9219" width="8.88671875" style="569"/>
    <col min="9220" max="9221" width="3.88671875" style="569" customWidth="1"/>
    <col min="9222" max="9475" width="8.88671875" style="569"/>
    <col min="9476" max="9477" width="3.88671875" style="569" customWidth="1"/>
    <col min="9478" max="9731" width="8.88671875" style="569"/>
    <col min="9732" max="9733" width="3.88671875" style="569" customWidth="1"/>
    <col min="9734" max="9987" width="8.88671875" style="569"/>
    <col min="9988" max="9989" width="3.88671875" style="569" customWidth="1"/>
    <col min="9990" max="10243" width="8.88671875" style="569"/>
    <col min="10244" max="10245" width="3.88671875" style="569" customWidth="1"/>
    <col min="10246" max="10499" width="8.88671875" style="569"/>
    <col min="10500" max="10501" width="3.88671875" style="569" customWidth="1"/>
    <col min="10502" max="10755" width="8.88671875" style="569"/>
    <col min="10756" max="10757" width="3.88671875" style="569" customWidth="1"/>
    <col min="10758" max="11011" width="8.88671875" style="569"/>
    <col min="11012" max="11013" width="3.88671875" style="569" customWidth="1"/>
    <col min="11014" max="11267" width="8.88671875" style="569"/>
    <col min="11268" max="11269" width="3.88671875" style="569" customWidth="1"/>
    <col min="11270" max="11523" width="8.88671875" style="569"/>
    <col min="11524" max="11525" width="3.88671875" style="569" customWidth="1"/>
    <col min="11526" max="11779" width="8.88671875" style="569"/>
    <col min="11780" max="11781" width="3.88671875" style="569" customWidth="1"/>
    <col min="11782" max="12035" width="8.88671875" style="569"/>
    <col min="12036" max="12037" width="3.88671875" style="569" customWidth="1"/>
    <col min="12038" max="12291" width="8.88671875" style="569"/>
    <col min="12292" max="12293" width="3.88671875" style="569" customWidth="1"/>
    <col min="12294" max="12547" width="8.88671875" style="569"/>
    <col min="12548" max="12549" width="3.88671875" style="569" customWidth="1"/>
    <col min="12550" max="12803" width="8.88671875" style="569"/>
    <col min="12804" max="12805" width="3.88671875" style="569" customWidth="1"/>
    <col min="12806" max="13059" width="8.88671875" style="569"/>
    <col min="13060" max="13061" width="3.88671875" style="569" customWidth="1"/>
    <col min="13062" max="13315" width="8.88671875" style="569"/>
    <col min="13316" max="13317" width="3.88671875" style="569" customWidth="1"/>
    <col min="13318" max="13571" width="8.88671875" style="569"/>
    <col min="13572" max="13573" width="3.88671875" style="569" customWidth="1"/>
    <col min="13574" max="13827" width="8.88671875" style="569"/>
    <col min="13828" max="13829" width="3.88671875" style="569" customWidth="1"/>
    <col min="13830" max="14083" width="8.88671875" style="569"/>
    <col min="14084" max="14085" width="3.88671875" style="569" customWidth="1"/>
    <col min="14086" max="14339" width="8.88671875" style="569"/>
    <col min="14340" max="14341" width="3.88671875" style="569" customWidth="1"/>
    <col min="14342" max="14595" width="8.88671875" style="569"/>
    <col min="14596" max="14597" width="3.88671875" style="569" customWidth="1"/>
    <col min="14598" max="14851" width="8.88671875" style="569"/>
    <col min="14852" max="14853" width="3.88671875" style="569" customWidth="1"/>
    <col min="14854" max="15107" width="8.88671875" style="569"/>
    <col min="15108" max="15109" width="3.88671875" style="569" customWidth="1"/>
    <col min="15110" max="15363" width="8.88671875" style="569"/>
    <col min="15364" max="15365" width="3.88671875" style="569" customWidth="1"/>
    <col min="15366" max="15619" width="8.88671875" style="569"/>
    <col min="15620" max="15621" width="3.88671875" style="569" customWidth="1"/>
    <col min="15622" max="15875" width="8.88671875" style="569"/>
    <col min="15876" max="15877" width="3.88671875" style="569" customWidth="1"/>
    <col min="15878" max="16131" width="8.88671875" style="569"/>
    <col min="16132" max="16133" width="3.88671875" style="569" customWidth="1"/>
    <col min="16134" max="16384" width="8.88671875" style="569"/>
  </cols>
  <sheetData>
    <row r="1" spans="1:27" ht="15.6" x14ac:dyDescent="0.3">
      <c r="A1" s="1339" t="str">
        <f>'inclind filter above BT'!A1:L1</f>
        <v>ROSHNABAD BARRAGE</v>
      </c>
      <c r="B1" s="1248"/>
      <c r="C1" s="1248"/>
      <c r="D1" s="1248"/>
      <c r="E1" s="1248"/>
      <c r="F1" s="1248"/>
      <c r="G1" s="1248"/>
      <c r="H1" s="1248"/>
      <c r="I1" s="1248"/>
      <c r="J1" s="1248"/>
      <c r="K1" s="1248"/>
      <c r="L1" s="1248"/>
    </row>
    <row r="2" spans="1:27" ht="14.4" x14ac:dyDescent="0.3">
      <c r="A2" s="697" t="str">
        <f>'inclind filter above BT'!A2</f>
        <v>TEHSIL :-SIDHI</v>
      </c>
      <c r="B2" s="698"/>
      <c r="C2" s="698"/>
      <c r="D2" s="699"/>
      <c r="E2" s="698"/>
      <c r="I2" s="1388" t="str">
        <f>'inclind filter above BT'!I2:L2</f>
        <v>DISTRICT :SINGRAULI</v>
      </c>
      <c r="J2" s="1389"/>
      <c r="K2" s="1389"/>
      <c r="L2" s="1389"/>
      <c r="M2" s="708"/>
      <c r="N2" s="921"/>
    </row>
    <row r="3" spans="1:27" ht="14.4" x14ac:dyDescent="0.3">
      <c r="A3" s="698" t="s">
        <v>559</v>
      </c>
      <c r="B3" s="698"/>
      <c r="C3" s="923">
        <v>1</v>
      </c>
      <c r="D3" s="699"/>
      <c r="E3" s="698"/>
      <c r="I3" s="920"/>
      <c r="J3" s="920"/>
      <c r="K3" s="920"/>
      <c r="L3" s="1036">
        <f>B.T.!C4</f>
        <v>595</v>
      </c>
      <c r="M3" s="708"/>
      <c r="N3" s="921"/>
    </row>
    <row r="4" spans="1:27" ht="14.4" x14ac:dyDescent="0.3">
      <c r="A4" s="698" t="s">
        <v>560</v>
      </c>
      <c r="B4" s="698"/>
      <c r="C4" s="923">
        <v>0</v>
      </c>
      <c r="D4" s="699"/>
      <c r="E4" s="698"/>
      <c r="I4" s="920"/>
      <c r="J4" s="920"/>
      <c r="K4" s="920"/>
      <c r="L4" s="920"/>
      <c r="M4" s="708"/>
      <c r="N4" s="921"/>
    </row>
    <row r="5" spans="1:27" ht="15.6" x14ac:dyDescent="0.3">
      <c r="A5" s="1390" t="s">
        <v>574</v>
      </c>
      <c r="B5" s="1390"/>
      <c r="C5" s="1390"/>
      <c r="D5" s="1390"/>
      <c r="E5" s="1390"/>
      <c r="F5" s="1390"/>
      <c r="G5" s="1390"/>
      <c r="H5" s="1390"/>
      <c r="I5" s="1390"/>
      <c r="J5" s="1390"/>
      <c r="K5" s="1390"/>
      <c r="L5" s="1390"/>
      <c r="M5" s="708"/>
      <c r="N5" s="921"/>
    </row>
    <row r="6" spans="1:27" x14ac:dyDescent="0.3">
      <c r="A6" s="1342" t="s">
        <v>561</v>
      </c>
      <c r="B6" s="1342" t="s">
        <v>467</v>
      </c>
      <c r="C6" s="1391" t="s">
        <v>575</v>
      </c>
      <c r="D6" s="1393" t="s">
        <v>563</v>
      </c>
      <c r="E6" s="1394"/>
      <c r="F6" s="1391" t="s">
        <v>564</v>
      </c>
      <c r="G6" s="1342" t="s">
        <v>475</v>
      </c>
      <c r="H6" s="1342" t="s">
        <v>565</v>
      </c>
      <c r="I6" s="1383" t="s">
        <v>576</v>
      </c>
      <c r="J6" s="1383"/>
      <c r="K6" s="1383" t="s">
        <v>567</v>
      </c>
      <c r="L6" s="1383"/>
      <c r="M6" s="709"/>
      <c r="N6" s="710"/>
    </row>
    <row r="7" spans="1:27" ht="27.6" x14ac:dyDescent="0.3">
      <c r="A7" s="1343"/>
      <c r="B7" s="1343"/>
      <c r="C7" s="1392"/>
      <c r="D7" s="1395"/>
      <c r="E7" s="1396"/>
      <c r="F7" s="1392"/>
      <c r="G7" s="1343"/>
      <c r="H7" s="1343"/>
      <c r="I7" s="818" t="s">
        <v>568</v>
      </c>
      <c r="J7" s="818" t="s">
        <v>569</v>
      </c>
      <c r="K7" s="818" t="s">
        <v>570</v>
      </c>
      <c r="L7" s="818" t="s">
        <v>569</v>
      </c>
    </row>
    <row r="8" spans="1:27" x14ac:dyDescent="0.3">
      <c r="A8" s="821">
        <v>1</v>
      </c>
      <c r="B8" s="821">
        <v>2</v>
      </c>
      <c r="C8" s="821">
        <v>3</v>
      </c>
      <c r="D8" s="1384">
        <v>4</v>
      </c>
      <c r="E8" s="1384"/>
      <c r="F8" s="821">
        <v>5</v>
      </c>
      <c r="G8" s="821">
        <v>6</v>
      </c>
      <c r="H8" s="821">
        <v>7</v>
      </c>
      <c r="I8" s="821">
        <v>8</v>
      </c>
      <c r="J8" s="821">
        <v>9</v>
      </c>
      <c r="K8" s="821">
        <v>10</v>
      </c>
      <c r="L8" s="821">
        <v>11</v>
      </c>
    </row>
    <row r="9" spans="1:27" s="615" customFormat="1" ht="15.6" x14ac:dyDescent="0.3">
      <c r="A9" s="925">
        <f>'e-w'!B31</f>
        <v>0</v>
      </c>
      <c r="B9" s="727">
        <v>0</v>
      </c>
      <c r="C9" s="734">
        <v>0</v>
      </c>
      <c r="D9" s="926">
        <f>'inclind filter above BT'!D10</f>
        <v>1</v>
      </c>
      <c r="E9" s="931" t="str">
        <f t="shared" ref="E9:E10" si="0">IF(D9&gt;0,":1"," ")</f>
        <v>:1</v>
      </c>
      <c r="F9" s="734">
        <f t="shared" ref="F9:F10" si="1">SQRT((C9*D9)^2+(C9^2))</f>
        <v>0</v>
      </c>
      <c r="G9" s="927">
        <v>0</v>
      </c>
      <c r="H9" s="734">
        <v>0</v>
      </c>
      <c r="I9" s="824" t="str">
        <f t="shared" ref="I9:I10" si="2">IF(F9&gt;0,$C$3,"0")</f>
        <v>0</v>
      </c>
      <c r="J9" s="928">
        <f t="shared" ref="J9:J10" si="3">H9*I9</f>
        <v>0</v>
      </c>
      <c r="K9" s="824" t="str">
        <f t="shared" ref="K9:K10" si="4">IF(F9&gt;0,$C$4,"0")</f>
        <v>0</v>
      </c>
      <c r="L9" s="929">
        <f t="shared" ref="L9:L10" si="5">H9*K9</f>
        <v>0</v>
      </c>
      <c r="M9" s="660"/>
      <c r="N9" s="659"/>
      <c r="O9" s="659"/>
      <c r="P9" s="659"/>
      <c r="Q9" s="659"/>
      <c r="R9" s="659"/>
      <c r="S9" s="659"/>
      <c r="T9" s="659"/>
      <c r="U9" s="659"/>
      <c r="V9" s="660"/>
      <c r="W9" s="660"/>
      <c r="X9" s="660"/>
      <c r="Y9" s="660"/>
      <c r="Z9" s="661"/>
      <c r="AA9" s="661"/>
    </row>
    <row r="10" spans="1:27" s="615" customFormat="1" ht="15.6" x14ac:dyDescent="0.3">
      <c r="A10" s="925">
        <f>'e-w'!B32</f>
        <v>20</v>
      </c>
      <c r="B10" s="727">
        <f t="shared" ref="B10" si="6">IF(A10-A9&gt;0,A10-A9,"0")</f>
        <v>20</v>
      </c>
      <c r="C10" s="734">
        <f>$L$3-('(Vertcal) (2)'!$D$14-pich!D14)</f>
        <v>173</v>
      </c>
      <c r="D10" s="926">
        <f>'inclind filter above BT'!D11</f>
        <v>1</v>
      </c>
      <c r="E10" s="931" t="str">
        <f t="shared" si="0"/>
        <v>:1</v>
      </c>
      <c r="F10" s="734">
        <f t="shared" si="1"/>
        <v>244.65894629054543</v>
      </c>
      <c r="G10" s="927">
        <f t="shared" ref="G10" si="7">B10*(F10+F9)/2</f>
        <v>2446.5894629054542</v>
      </c>
      <c r="H10" s="734">
        <f t="shared" ref="H10" si="8">(G10+G9)/2</f>
        <v>1223.2947314527271</v>
      </c>
      <c r="I10" s="824">
        <f t="shared" si="2"/>
        <v>1</v>
      </c>
      <c r="J10" s="928">
        <f t="shared" si="3"/>
        <v>1223.2947314527271</v>
      </c>
      <c r="K10" s="824">
        <f t="shared" si="4"/>
        <v>0</v>
      </c>
      <c r="L10" s="929">
        <f t="shared" si="5"/>
        <v>0</v>
      </c>
      <c r="M10" s="660"/>
      <c r="N10" s="659"/>
      <c r="O10" s="659"/>
      <c r="P10" s="659"/>
      <c r="Q10" s="659"/>
      <c r="R10" s="659"/>
      <c r="S10" s="659"/>
      <c r="T10" s="659"/>
      <c r="U10" s="659"/>
      <c r="V10" s="660"/>
      <c r="W10" s="660"/>
      <c r="X10" s="660"/>
      <c r="Y10" s="660"/>
      <c r="Z10" s="661"/>
      <c r="AA10" s="661"/>
    </row>
    <row r="11" spans="1:27" s="615" customFormat="1" ht="15.6" x14ac:dyDescent="0.3">
      <c r="A11" s="925">
        <f>'e-w'!B33</f>
        <v>40</v>
      </c>
      <c r="B11" s="727">
        <f t="shared" ref="B11:B46" si="9">IF(A11-A10&gt;0,A11-A10,"0")</f>
        <v>20</v>
      </c>
      <c r="C11" s="734">
        <f>$L$3-('(Vertcal) (2)'!$D$14-pich!D15)</f>
        <v>292.62504068241469</v>
      </c>
      <c r="D11" s="926">
        <f>'inclind filter above BT'!D12</f>
        <v>1</v>
      </c>
      <c r="E11" s="931" t="str">
        <f t="shared" ref="E11:E46" si="10">IF(D11&gt;0,":1"," ")</f>
        <v>:1</v>
      </c>
      <c r="F11" s="734">
        <f t="shared" ref="F11:F46" si="11">SQRT((C11*D11)^2+(C11^2))</f>
        <v>413.83430122304958</v>
      </c>
      <c r="G11" s="927">
        <f t="shared" ref="G11:G46" si="12">B11*(F11+F10)/2</f>
        <v>6584.9324751359491</v>
      </c>
      <c r="H11" s="734">
        <f t="shared" ref="H11:H46" si="13">(G11+G10)/2</f>
        <v>4515.7609690207019</v>
      </c>
      <c r="I11" s="824">
        <f t="shared" ref="I11:I46" si="14">IF(F11&gt;0,$C$3,"0")</f>
        <v>1</v>
      </c>
      <c r="J11" s="928">
        <f t="shared" ref="J11:J46" si="15">H11*I11</f>
        <v>4515.7609690207019</v>
      </c>
      <c r="K11" s="824">
        <f t="shared" ref="K11:K46" si="16">IF(F11&gt;0,$C$4,"0")</f>
        <v>0</v>
      </c>
      <c r="L11" s="929">
        <f t="shared" ref="L11:L46" si="17">H11*K11</f>
        <v>0</v>
      </c>
      <c r="M11" s="660"/>
      <c r="N11" s="659"/>
      <c r="O11" s="659"/>
      <c r="P11" s="659"/>
      <c r="Q11" s="659"/>
      <c r="R11" s="659"/>
      <c r="S11" s="659"/>
      <c r="T11" s="659"/>
      <c r="U11" s="659"/>
      <c r="V11" s="660"/>
      <c r="W11" s="660"/>
      <c r="X11" s="660"/>
      <c r="Y11" s="660"/>
      <c r="Z11" s="661"/>
      <c r="AA11" s="661"/>
    </row>
    <row r="12" spans="1:27" s="615" customFormat="1" ht="15.6" x14ac:dyDescent="0.3">
      <c r="A12" s="925">
        <f>'e-w'!B34</f>
        <v>60</v>
      </c>
      <c r="B12" s="727">
        <f t="shared" si="9"/>
        <v>20</v>
      </c>
      <c r="C12" s="734">
        <f>$L$3-('(Vertcal) (2)'!$D$14-pich!D16)</f>
        <v>293.39821100917436</v>
      </c>
      <c r="D12" s="926">
        <f>'inclind filter above BT'!D13</f>
        <v>1</v>
      </c>
      <c r="E12" s="931" t="str">
        <f t="shared" si="10"/>
        <v>:1</v>
      </c>
      <c r="F12" s="734">
        <f t="shared" si="11"/>
        <v>414.9277291851775</v>
      </c>
      <c r="G12" s="927">
        <f t="shared" si="12"/>
        <v>8287.6203040822693</v>
      </c>
      <c r="H12" s="734">
        <f t="shared" si="13"/>
        <v>7436.2763896091092</v>
      </c>
      <c r="I12" s="824">
        <f t="shared" si="14"/>
        <v>1</v>
      </c>
      <c r="J12" s="928">
        <f t="shared" si="15"/>
        <v>7436.2763896091092</v>
      </c>
      <c r="K12" s="824">
        <f t="shared" si="16"/>
        <v>0</v>
      </c>
      <c r="L12" s="929">
        <f t="shared" si="17"/>
        <v>0</v>
      </c>
      <c r="M12" s="660"/>
      <c r="N12" s="659"/>
      <c r="O12" s="659"/>
      <c r="P12" s="659"/>
      <c r="Q12" s="659"/>
      <c r="R12" s="659"/>
      <c r="S12" s="659"/>
      <c r="T12" s="659"/>
      <c r="U12" s="659"/>
      <c r="V12" s="660"/>
      <c r="W12" s="660"/>
      <c r="X12" s="660"/>
      <c r="Y12" s="660"/>
      <c r="Z12" s="661"/>
      <c r="AA12" s="661"/>
    </row>
    <row r="13" spans="1:27" s="615" customFormat="1" ht="15.6" x14ac:dyDescent="0.3">
      <c r="A13" s="925">
        <f>'e-w'!B35</f>
        <v>80</v>
      </c>
      <c r="B13" s="727">
        <f t="shared" si="9"/>
        <v>20</v>
      </c>
      <c r="C13" s="734">
        <f>$L$3-('(Vertcal) (2)'!$D$14-pich!D17)</f>
        <v>293.88913385826771</v>
      </c>
      <c r="D13" s="926">
        <f>'inclind filter above BT'!D14</f>
        <v>1</v>
      </c>
      <c r="E13" s="931" t="str">
        <f t="shared" si="10"/>
        <v>:1</v>
      </c>
      <c r="F13" s="734">
        <f t="shared" si="11"/>
        <v>415.62199893644419</v>
      </c>
      <c r="G13" s="927">
        <f t="shared" si="12"/>
        <v>8305.4972812162159</v>
      </c>
      <c r="H13" s="734">
        <f t="shared" si="13"/>
        <v>8296.5587926492426</v>
      </c>
      <c r="I13" s="824">
        <f t="shared" si="14"/>
        <v>1</v>
      </c>
      <c r="J13" s="928">
        <f t="shared" si="15"/>
        <v>8296.5587926492426</v>
      </c>
      <c r="K13" s="824">
        <f t="shared" si="16"/>
        <v>0</v>
      </c>
      <c r="L13" s="929">
        <f t="shared" si="17"/>
        <v>0</v>
      </c>
      <c r="M13" s="660"/>
      <c r="N13" s="659"/>
      <c r="O13" s="659"/>
      <c r="P13" s="659"/>
      <c r="Q13" s="659"/>
      <c r="R13" s="659"/>
      <c r="S13" s="659"/>
      <c r="T13" s="659"/>
      <c r="U13" s="659"/>
      <c r="V13" s="660"/>
      <c r="W13" s="660"/>
      <c r="X13" s="660"/>
      <c r="Y13" s="660"/>
      <c r="Z13" s="661"/>
      <c r="AA13" s="661"/>
    </row>
    <row r="14" spans="1:27" s="615" customFormat="1" ht="15.6" x14ac:dyDescent="0.3">
      <c r="A14" s="925">
        <f>'e-w'!B36</f>
        <v>100</v>
      </c>
      <c r="B14" s="727">
        <f t="shared" si="9"/>
        <v>20</v>
      </c>
      <c r="C14" s="734">
        <f>$L$3-('(Vertcal) (2)'!$D$14-pich!D18)</f>
        <v>294.48720078740155</v>
      </c>
      <c r="D14" s="926">
        <f>'inclind filter above BT'!D15</f>
        <v>1</v>
      </c>
      <c r="E14" s="931" t="str">
        <f t="shared" si="10"/>
        <v>:1</v>
      </c>
      <c r="F14" s="734">
        <f t="shared" si="11"/>
        <v>416.46779329883208</v>
      </c>
      <c r="G14" s="927">
        <f t="shared" si="12"/>
        <v>8320.8979223527622</v>
      </c>
      <c r="H14" s="734">
        <f t="shared" si="13"/>
        <v>8313.19760178449</v>
      </c>
      <c r="I14" s="824">
        <f t="shared" si="14"/>
        <v>1</v>
      </c>
      <c r="J14" s="928">
        <f t="shared" si="15"/>
        <v>8313.19760178449</v>
      </c>
      <c r="K14" s="824">
        <f t="shared" si="16"/>
        <v>0</v>
      </c>
      <c r="L14" s="929">
        <f t="shared" si="17"/>
        <v>0</v>
      </c>
      <c r="M14" s="660"/>
      <c r="N14" s="659"/>
      <c r="O14" s="659"/>
      <c r="P14" s="659"/>
      <c r="Q14" s="659"/>
      <c r="R14" s="659"/>
      <c r="S14" s="659"/>
      <c r="T14" s="659"/>
      <c r="U14" s="659"/>
      <c r="V14" s="660"/>
      <c r="W14" s="660"/>
      <c r="X14" s="660"/>
      <c r="Y14" s="660"/>
      <c r="Z14" s="661"/>
      <c r="AA14" s="661"/>
    </row>
    <row r="15" spans="1:27" s="615" customFormat="1" ht="15.6" x14ac:dyDescent="0.3">
      <c r="A15" s="925">
        <f>'e-w'!B37</f>
        <v>120</v>
      </c>
      <c r="B15" s="727">
        <f t="shared" si="9"/>
        <v>20</v>
      </c>
      <c r="C15" s="734">
        <f>$L$3-('(Vertcal) (2)'!$D$14-pich!D19)</f>
        <v>295.14286387434561</v>
      </c>
      <c r="D15" s="926">
        <f>'inclind filter above BT'!D16</f>
        <v>1</v>
      </c>
      <c r="E15" s="931" t="str">
        <f t="shared" si="10"/>
        <v>:1</v>
      </c>
      <c r="F15" s="734">
        <f t="shared" si="11"/>
        <v>417.39504092873574</v>
      </c>
      <c r="G15" s="927">
        <f t="shared" si="12"/>
        <v>8338.6283422756787</v>
      </c>
      <c r="H15" s="734">
        <f t="shared" si="13"/>
        <v>8329.7631323142195</v>
      </c>
      <c r="I15" s="824">
        <f t="shared" si="14"/>
        <v>1</v>
      </c>
      <c r="J15" s="928">
        <f t="shared" si="15"/>
        <v>8329.7631323142195</v>
      </c>
      <c r="K15" s="824">
        <f t="shared" si="16"/>
        <v>0</v>
      </c>
      <c r="L15" s="929">
        <f t="shared" si="17"/>
        <v>0</v>
      </c>
      <c r="M15" s="660"/>
      <c r="N15" s="659"/>
      <c r="O15" s="659"/>
      <c r="P15" s="659"/>
      <c r="Q15" s="659"/>
      <c r="R15" s="659"/>
      <c r="S15" s="659"/>
      <c r="T15" s="659"/>
      <c r="U15" s="659"/>
      <c r="V15" s="660"/>
      <c r="W15" s="660"/>
      <c r="X15" s="660"/>
      <c r="Y15" s="660"/>
      <c r="Z15" s="661"/>
      <c r="AA15" s="661"/>
    </row>
    <row r="16" spans="1:27" s="615" customFormat="1" ht="15.6" x14ac:dyDescent="0.3">
      <c r="A16" s="925">
        <f>'e-w'!B38</f>
        <v>140</v>
      </c>
      <c r="B16" s="727">
        <f t="shared" si="9"/>
        <v>20</v>
      </c>
      <c r="C16" s="734">
        <f>$L$3-('(Vertcal) (2)'!$D$14-pich!D20)</f>
        <v>295.2779210526316</v>
      </c>
      <c r="D16" s="926">
        <f>'inclind filter above BT'!D17</f>
        <v>1</v>
      </c>
      <c r="E16" s="931" t="str">
        <f t="shared" si="10"/>
        <v>:1</v>
      </c>
      <c r="F16" s="734">
        <f t="shared" si="11"/>
        <v>417.58604062196366</v>
      </c>
      <c r="G16" s="927">
        <f t="shared" si="12"/>
        <v>8349.8108155069931</v>
      </c>
      <c r="H16" s="734">
        <f t="shared" si="13"/>
        <v>8344.2195788913359</v>
      </c>
      <c r="I16" s="824">
        <f t="shared" si="14"/>
        <v>1</v>
      </c>
      <c r="J16" s="928">
        <f t="shared" si="15"/>
        <v>8344.2195788913359</v>
      </c>
      <c r="K16" s="824">
        <f t="shared" si="16"/>
        <v>0</v>
      </c>
      <c r="L16" s="929">
        <f t="shared" si="17"/>
        <v>0</v>
      </c>
      <c r="M16" s="660"/>
      <c r="N16" s="659"/>
      <c r="O16" s="659"/>
      <c r="P16" s="659"/>
      <c r="Q16" s="659"/>
      <c r="R16" s="659"/>
      <c r="S16" s="659"/>
      <c r="T16" s="659"/>
      <c r="U16" s="659"/>
      <c r="V16" s="660"/>
      <c r="W16" s="660"/>
      <c r="X16" s="660"/>
      <c r="Y16" s="660"/>
      <c r="Z16" s="661"/>
      <c r="AA16" s="661"/>
    </row>
    <row r="17" spans="1:27" s="615" customFormat="1" ht="15.6" x14ac:dyDescent="0.3">
      <c r="A17" s="925">
        <f>'e-w'!B39</f>
        <v>160</v>
      </c>
      <c r="B17" s="727">
        <f t="shared" si="9"/>
        <v>20</v>
      </c>
      <c r="C17" s="734">
        <f>$L$3-('(Vertcal) (2)'!$D$14-pich!D21)</f>
        <v>295.23500000000001</v>
      </c>
      <c r="D17" s="926">
        <f>'inclind filter above BT'!D18</f>
        <v>1</v>
      </c>
      <c r="E17" s="931" t="str">
        <f t="shared" si="10"/>
        <v>:1</v>
      </c>
      <c r="F17" s="734">
        <f t="shared" si="11"/>
        <v>417.52534108722074</v>
      </c>
      <c r="G17" s="927">
        <f t="shared" si="12"/>
        <v>8351.1138170918439</v>
      </c>
      <c r="H17" s="734">
        <f t="shared" si="13"/>
        <v>8350.4623162994176</v>
      </c>
      <c r="I17" s="824">
        <f t="shared" si="14"/>
        <v>1</v>
      </c>
      <c r="J17" s="928">
        <f t="shared" si="15"/>
        <v>8350.4623162994176</v>
      </c>
      <c r="K17" s="824">
        <f t="shared" si="16"/>
        <v>0</v>
      </c>
      <c r="L17" s="929">
        <f t="shared" si="17"/>
        <v>0</v>
      </c>
      <c r="M17" s="660"/>
      <c r="N17" s="659"/>
      <c r="O17" s="659"/>
      <c r="P17" s="659"/>
      <c r="Q17" s="659"/>
      <c r="R17" s="659"/>
      <c r="S17" s="659"/>
      <c r="T17" s="659"/>
      <c r="U17" s="659"/>
      <c r="V17" s="660"/>
      <c r="W17" s="660"/>
      <c r="X17" s="660"/>
      <c r="Y17" s="660"/>
      <c r="Z17" s="661"/>
      <c r="AA17" s="661"/>
    </row>
    <row r="18" spans="1:27" s="615" customFormat="1" ht="15.6" x14ac:dyDescent="0.3">
      <c r="A18" s="925">
        <f>'e-w'!B40</f>
        <v>180</v>
      </c>
      <c r="B18" s="727">
        <f t="shared" si="9"/>
        <v>20</v>
      </c>
      <c r="C18" s="734">
        <f>$L$3-('(Vertcal) (2)'!$D$14-pich!D22)</f>
        <v>295.37878947368421</v>
      </c>
      <c r="D18" s="926">
        <f>'inclind filter above BT'!D19</f>
        <v>1</v>
      </c>
      <c r="E18" s="931" t="str">
        <f t="shared" si="10"/>
        <v>:1</v>
      </c>
      <c r="F18" s="734">
        <f t="shared" si="11"/>
        <v>417.72869011103143</v>
      </c>
      <c r="G18" s="927">
        <f t="shared" si="12"/>
        <v>8352.5403119825223</v>
      </c>
      <c r="H18" s="734">
        <f t="shared" si="13"/>
        <v>8351.8270645371831</v>
      </c>
      <c r="I18" s="824">
        <f t="shared" si="14"/>
        <v>1</v>
      </c>
      <c r="J18" s="928">
        <f t="shared" si="15"/>
        <v>8351.8270645371831</v>
      </c>
      <c r="K18" s="824">
        <f t="shared" si="16"/>
        <v>0</v>
      </c>
      <c r="L18" s="929">
        <f t="shared" si="17"/>
        <v>0</v>
      </c>
      <c r="M18" s="660"/>
      <c r="N18" s="659"/>
      <c r="O18" s="659"/>
      <c r="P18" s="659"/>
      <c r="Q18" s="659"/>
      <c r="R18" s="659"/>
      <c r="S18" s="659"/>
      <c r="T18" s="659"/>
      <c r="U18" s="659"/>
      <c r="V18" s="660"/>
      <c r="W18" s="660"/>
      <c r="X18" s="660"/>
      <c r="Y18" s="660"/>
      <c r="Z18" s="661"/>
      <c r="AA18" s="661"/>
    </row>
    <row r="19" spans="1:27" s="615" customFormat="1" ht="15.6" x14ac:dyDescent="0.3">
      <c r="A19" s="925">
        <f>'e-w'!B41</f>
        <v>200</v>
      </c>
      <c r="B19" s="727">
        <f t="shared" si="9"/>
        <v>20</v>
      </c>
      <c r="C19" s="734">
        <f>$L$3-('(Vertcal) (2)'!$D$14-pich!D23)</f>
        <v>295.52692105263156</v>
      </c>
      <c r="D19" s="926">
        <f>'inclind filter above BT'!D20</f>
        <v>1</v>
      </c>
      <c r="E19" s="931" t="str">
        <f t="shared" si="10"/>
        <v>:1</v>
      </c>
      <c r="F19" s="734">
        <f t="shared" si="11"/>
        <v>417.9381797989945</v>
      </c>
      <c r="G19" s="927">
        <f t="shared" si="12"/>
        <v>8356.6686991002607</v>
      </c>
      <c r="H19" s="734">
        <f t="shared" si="13"/>
        <v>8354.6045055413924</v>
      </c>
      <c r="I19" s="824">
        <f t="shared" si="14"/>
        <v>1</v>
      </c>
      <c r="J19" s="928">
        <f t="shared" si="15"/>
        <v>8354.6045055413924</v>
      </c>
      <c r="K19" s="824">
        <f t="shared" si="16"/>
        <v>0</v>
      </c>
      <c r="L19" s="929">
        <f t="shared" si="17"/>
        <v>0</v>
      </c>
      <c r="M19" s="660"/>
      <c r="N19" s="659"/>
      <c r="O19" s="659"/>
      <c r="P19" s="659"/>
      <c r="Q19" s="659"/>
      <c r="R19" s="659"/>
      <c r="S19" s="659"/>
      <c r="T19" s="659"/>
      <c r="U19" s="659"/>
      <c r="V19" s="660"/>
      <c r="W19" s="660"/>
      <c r="X19" s="660"/>
      <c r="Y19" s="660"/>
      <c r="Z19" s="661"/>
      <c r="AA19" s="661"/>
    </row>
    <row r="20" spans="1:27" s="615" customFormat="1" ht="15.6" x14ac:dyDescent="0.3">
      <c r="A20" s="925">
        <f>'e-w'!B42</f>
        <v>220</v>
      </c>
      <c r="B20" s="727">
        <f t="shared" si="9"/>
        <v>20</v>
      </c>
      <c r="C20" s="734">
        <f>$L$3-('(Vertcal) (2)'!$D$14-pich!D24)</f>
        <v>295.73440789473688</v>
      </c>
      <c r="D20" s="926">
        <f>'inclind filter above BT'!D21</f>
        <v>1</v>
      </c>
      <c r="E20" s="931" t="str">
        <f t="shared" si="10"/>
        <v>:1</v>
      </c>
      <c r="F20" s="734">
        <f t="shared" si="11"/>
        <v>418.23161050511379</v>
      </c>
      <c r="G20" s="927">
        <f t="shared" si="12"/>
        <v>8361.6979030410839</v>
      </c>
      <c r="H20" s="734">
        <f t="shared" si="13"/>
        <v>8359.1833010706723</v>
      </c>
      <c r="I20" s="824">
        <f t="shared" si="14"/>
        <v>1</v>
      </c>
      <c r="J20" s="928">
        <f t="shared" si="15"/>
        <v>8359.1833010706723</v>
      </c>
      <c r="K20" s="824">
        <f t="shared" si="16"/>
        <v>0</v>
      </c>
      <c r="L20" s="929">
        <f t="shared" si="17"/>
        <v>0</v>
      </c>
      <c r="M20" s="660"/>
      <c r="N20" s="659"/>
      <c r="O20" s="659"/>
      <c r="P20" s="659"/>
      <c r="Q20" s="659"/>
      <c r="R20" s="659"/>
      <c r="S20" s="659"/>
      <c r="T20" s="659"/>
      <c r="U20" s="659"/>
      <c r="V20" s="660"/>
      <c r="W20" s="660"/>
      <c r="X20" s="660"/>
      <c r="Y20" s="660"/>
      <c r="Z20" s="661"/>
      <c r="AA20" s="661"/>
    </row>
    <row r="21" spans="1:27" s="615" customFormat="1" ht="15.6" x14ac:dyDescent="0.3">
      <c r="A21" s="925">
        <f>'e-w'!B43</f>
        <v>240</v>
      </c>
      <c r="B21" s="727">
        <f t="shared" si="9"/>
        <v>20</v>
      </c>
      <c r="C21" s="734">
        <f>$L$3-('(Vertcal) (2)'!$D$14-pich!D25)</f>
        <v>299.68663157894736</v>
      </c>
      <c r="D21" s="926">
        <f>'inclind filter above BT'!D22</f>
        <v>1</v>
      </c>
      <c r="E21" s="931" t="str">
        <f t="shared" si="10"/>
        <v>:1</v>
      </c>
      <c r="F21" s="734">
        <f t="shared" si="11"/>
        <v>423.82089884085644</v>
      </c>
      <c r="G21" s="927">
        <f t="shared" si="12"/>
        <v>8420.5250934597025</v>
      </c>
      <c r="H21" s="734">
        <f t="shared" si="13"/>
        <v>8391.1114982503932</v>
      </c>
      <c r="I21" s="824">
        <f t="shared" si="14"/>
        <v>1</v>
      </c>
      <c r="J21" s="928">
        <f t="shared" si="15"/>
        <v>8391.1114982503932</v>
      </c>
      <c r="K21" s="824">
        <f t="shared" si="16"/>
        <v>0</v>
      </c>
      <c r="L21" s="929">
        <f t="shared" si="17"/>
        <v>0</v>
      </c>
      <c r="M21" s="660"/>
      <c r="N21" s="659"/>
      <c r="O21" s="659"/>
      <c r="P21" s="659"/>
      <c r="Q21" s="659"/>
      <c r="R21" s="659"/>
      <c r="S21" s="659"/>
      <c r="T21" s="659"/>
      <c r="U21" s="659"/>
      <c r="V21" s="660"/>
      <c r="W21" s="660"/>
      <c r="X21" s="660"/>
      <c r="Y21" s="660"/>
      <c r="Z21" s="661"/>
      <c r="AA21" s="661"/>
    </row>
    <row r="22" spans="1:27" s="615" customFormat="1" ht="15.6" x14ac:dyDescent="0.3">
      <c r="A22" s="925">
        <f>'e-w'!B44</f>
        <v>260</v>
      </c>
      <c r="B22" s="727">
        <f t="shared" si="9"/>
        <v>20</v>
      </c>
      <c r="C22" s="734">
        <f>$L$3-('(Vertcal) (2)'!$D$14-pich!D26)</f>
        <v>300.13418421052631</v>
      </c>
      <c r="D22" s="926">
        <f>'inclind filter above BT'!D23</f>
        <v>1</v>
      </c>
      <c r="E22" s="931" t="str">
        <f t="shared" si="10"/>
        <v>:1</v>
      </c>
      <c r="F22" s="734">
        <f t="shared" si="11"/>
        <v>424.45383384231116</v>
      </c>
      <c r="G22" s="927">
        <f t="shared" si="12"/>
        <v>8482.7473268316753</v>
      </c>
      <c r="H22" s="734">
        <f t="shared" si="13"/>
        <v>8451.6362101456889</v>
      </c>
      <c r="I22" s="824">
        <f t="shared" si="14"/>
        <v>1</v>
      </c>
      <c r="J22" s="928">
        <f t="shared" si="15"/>
        <v>8451.6362101456889</v>
      </c>
      <c r="K22" s="824">
        <f t="shared" si="16"/>
        <v>0</v>
      </c>
      <c r="L22" s="929">
        <f t="shared" si="17"/>
        <v>0</v>
      </c>
      <c r="M22" s="660"/>
      <c r="N22" s="659"/>
      <c r="O22" s="659"/>
      <c r="P22" s="659"/>
      <c r="Q22" s="659"/>
      <c r="R22" s="659"/>
      <c r="S22" s="659"/>
      <c r="T22" s="659"/>
      <c r="U22" s="659"/>
      <c r="V22" s="660"/>
      <c r="W22" s="660"/>
      <c r="X22" s="660"/>
      <c r="Y22" s="660"/>
      <c r="Z22" s="661"/>
      <c r="AA22" s="661"/>
    </row>
    <row r="23" spans="1:27" x14ac:dyDescent="0.3">
      <c r="A23" s="925">
        <f>'e-w'!B45</f>
        <v>280</v>
      </c>
      <c r="B23" s="727">
        <f t="shared" si="9"/>
        <v>20</v>
      </c>
      <c r="C23" s="734">
        <f>$L$3-('(Vertcal) (2)'!$D$14-pich!D27)</f>
        <v>300.57815789473676</v>
      </c>
      <c r="D23" s="926">
        <f>'inclind filter above BT'!D24</f>
        <v>1</v>
      </c>
      <c r="E23" s="931" t="str">
        <f t="shared" si="10"/>
        <v>:1</v>
      </c>
      <c r="F23" s="734">
        <f t="shared" si="11"/>
        <v>425.08170744785832</v>
      </c>
      <c r="G23" s="927">
        <f t="shared" si="12"/>
        <v>8495.3554129016957</v>
      </c>
      <c r="H23" s="734">
        <f t="shared" si="13"/>
        <v>8489.0513698666855</v>
      </c>
      <c r="I23" s="824">
        <f t="shared" si="14"/>
        <v>1</v>
      </c>
      <c r="J23" s="928">
        <f t="shared" si="15"/>
        <v>8489.0513698666855</v>
      </c>
      <c r="K23" s="824">
        <f t="shared" si="16"/>
        <v>0</v>
      </c>
      <c r="L23" s="929">
        <f t="shared" si="17"/>
        <v>0</v>
      </c>
    </row>
    <row r="24" spans="1:27" x14ac:dyDescent="0.3">
      <c r="A24" s="925">
        <f>'e-w'!B46</f>
        <v>300</v>
      </c>
      <c r="B24" s="727">
        <f t="shared" si="9"/>
        <v>20</v>
      </c>
      <c r="C24" s="734">
        <f>$L$3-('(Vertcal) (2)'!$D$14-pich!D28)</f>
        <v>300.47526315789474</v>
      </c>
      <c r="D24" s="926">
        <f>'inclind filter above BT'!D25</f>
        <v>1</v>
      </c>
      <c r="E24" s="931" t="str">
        <f t="shared" si="10"/>
        <v>:1</v>
      </c>
      <c r="F24" s="734">
        <f t="shared" si="11"/>
        <v>424.93619231551952</v>
      </c>
      <c r="G24" s="927">
        <f t="shared" si="12"/>
        <v>8500.1789976337786</v>
      </c>
      <c r="H24" s="734">
        <f t="shared" si="13"/>
        <v>8497.7672052677372</v>
      </c>
      <c r="I24" s="824">
        <f t="shared" si="14"/>
        <v>1</v>
      </c>
      <c r="J24" s="928">
        <f t="shared" si="15"/>
        <v>8497.7672052677372</v>
      </c>
      <c r="K24" s="824">
        <f t="shared" si="16"/>
        <v>0</v>
      </c>
      <c r="L24" s="929">
        <f t="shared" si="17"/>
        <v>0</v>
      </c>
    </row>
    <row r="25" spans="1:27" x14ac:dyDescent="0.3">
      <c r="A25" s="925">
        <f>'e-w'!B47</f>
        <v>320</v>
      </c>
      <c r="B25" s="727">
        <f t="shared" si="9"/>
        <v>20</v>
      </c>
      <c r="C25" s="734">
        <f>$L$3-('(Vertcal) (2)'!$D$14-pich!D29)</f>
        <v>301.14114473684208</v>
      </c>
      <c r="D25" s="926">
        <f>'inclind filter above BT'!D26</f>
        <v>1</v>
      </c>
      <c r="E25" s="931" t="str">
        <f t="shared" si="10"/>
        <v>:1</v>
      </c>
      <c r="F25" s="734">
        <f t="shared" si="11"/>
        <v>425.87789107540129</v>
      </c>
      <c r="G25" s="927">
        <f t="shared" si="12"/>
        <v>8508.1408339092086</v>
      </c>
      <c r="H25" s="734">
        <f t="shared" si="13"/>
        <v>8504.1599157714936</v>
      </c>
      <c r="I25" s="824">
        <f t="shared" si="14"/>
        <v>1</v>
      </c>
      <c r="J25" s="928">
        <f t="shared" si="15"/>
        <v>8504.1599157714936</v>
      </c>
      <c r="K25" s="824">
        <f t="shared" si="16"/>
        <v>0</v>
      </c>
      <c r="L25" s="929">
        <f t="shared" si="17"/>
        <v>0</v>
      </c>
    </row>
    <row r="26" spans="1:27" x14ac:dyDescent="0.3">
      <c r="A26" s="925">
        <f>'e-w'!B48</f>
        <v>340</v>
      </c>
      <c r="B26" s="727">
        <f t="shared" si="9"/>
        <v>20</v>
      </c>
      <c r="C26" s="734">
        <f>$L$3-('(Vertcal) (2)'!$D$14-pich!D30)</f>
        <v>301.57889473684207</v>
      </c>
      <c r="D26" s="926">
        <f>'inclind filter above BT'!D27</f>
        <v>1</v>
      </c>
      <c r="E26" s="931" t="str">
        <f t="shared" si="10"/>
        <v>:1</v>
      </c>
      <c r="F26" s="734">
        <f t="shared" si="11"/>
        <v>426.49696306233005</v>
      </c>
      <c r="G26" s="927">
        <f t="shared" si="12"/>
        <v>8523.7485413773138</v>
      </c>
      <c r="H26" s="734">
        <f t="shared" si="13"/>
        <v>8515.9446876432612</v>
      </c>
      <c r="I26" s="824">
        <f t="shared" si="14"/>
        <v>1</v>
      </c>
      <c r="J26" s="928">
        <f t="shared" si="15"/>
        <v>8515.9446876432612</v>
      </c>
      <c r="K26" s="824">
        <f t="shared" si="16"/>
        <v>0</v>
      </c>
      <c r="L26" s="929">
        <f t="shared" si="17"/>
        <v>0</v>
      </c>
    </row>
    <row r="27" spans="1:27" x14ac:dyDescent="0.3">
      <c r="A27" s="925">
        <f>'e-w'!B49</f>
        <v>360</v>
      </c>
      <c r="B27" s="727">
        <f t="shared" si="9"/>
        <v>20</v>
      </c>
      <c r="C27" s="734">
        <f>$L$3-('(Vertcal) (2)'!$D$14-pich!D31)</f>
        <v>301.80007894736849</v>
      </c>
      <c r="D27" s="926">
        <f>'inclind filter above BT'!D28</f>
        <v>1</v>
      </c>
      <c r="E27" s="931" t="str">
        <f t="shared" si="10"/>
        <v>:1</v>
      </c>
      <c r="F27" s="734">
        <f t="shared" si="11"/>
        <v>426.80976477263931</v>
      </c>
      <c r="G27" s="927">
        <f t="shared" si="12"/>
        <v>8533.0672783496939</v>
      </c>
      <c r="H27" s="734">
        <f t="shared" si="13"/>
        <v>8528.4079098635048</v>
      </c>
      <c r="I27" s="824">
        <f t="shared" si="14"/>
        <v>1</v>
      </c>
      <c r="J27" s="928">
        <f t="shared" si="15"/>
        <v>8528.4079098635048</v>
      </c>
      <c r="K27" s="824">
        <f t="shared" si="16"/>
        <v>0</v>
      </c>
      <c r="L27" s="929">
        <f t="shared" si="17"/>
        <v>0</v>
      </c>
    </row>
    <row r="28" spans="1:27" x14ac:dyDescent="0.3">
      <c r="A28" s="925">
        <f>'e-w'!B50</f>
        <v>380</v>
      </c>
      <c r="B28" s="727">
        <f t="shared" si="9"/>
        <v>20</v>
      </c>
      <c r="C28" s="734">
        <f>$L$3-('(Vertcal) (2)'!$D$14-pich!D32)</f>
        <v>307.85788311688304</v>
      </c>
      <c r="D28" s="926">
        <f>'inclind filter above BT'!D29</f>
        <v>1</v>
      </c>
      <c r="E28" s="931" t="str">
        <f t="shared" si="10"/>
        <v>:1</v>
      </c>
      <c r="F28" s="734">
        <f t="shared" si="11"/>
        <v>435.3767935873671</v>
      </c>
      <c r="G28" s="927">
        <f t="shared" si="12"/>
        <v>8621.8655836000635</v>
      </c>
      <c r="H28" s="734">
        <f t="shared" si="13"/>
        <v>8577.4664309748787</v>
      </c>
      <c r="I28" s="824">
        <f t="shared" si="14"/>
        <v>1</v>
      </c>
      <c r="J28" s="928">
        <f t="shared" si="15"/>
        <v>8577.4664309748787</v>
      </c>
      <c r="K28" s="824">
        <f t="shared" si="16"/>
        <v>0</v>
      </c>
      <c r="L28" s="929">
        <f t="shared" si="17"/>
        <v>0</v>
      </c>
    </row>
    <row r="29" spans="1:27" x14ac:dyDescent="0.3">
      <c r="A29" s="925">
        <f>'e-w'!B51</f>
        <v>400</v>
      </c>
      <c r="B29" s="727">
        <f t="shared" si="9"/>
        <v>20</v>
      </c>
      <c r="C29" s="734">
        <f>$L$3-('(Vertcal) (2)'!$D$14-pich!D33)</f>
        <v>309.77499999999998</v>
      </c>
      <c r="D29" s="926">
        <f>'inclind filter above BT'!D30</f>
        <v>1</v>
      </c>
      <c r="E29" s="931" t="str">
        <f t="shared" si="10"/>
        <v>:1</v>
      </c>
      <c r="F29" s="734">
        <f t="shared" si="11"/>
        <v>438.08800628412547</v>
      </c>
      <c r="G29" s="927">
        <f t="shared" si="12"/>
        <v>8734.6479987149251</v>
      </c>
      <c r="H29" s="734">
        <f t="shared" si="13"/>
        <v>8678.2567911574952</v>
      </c>
      <c r="I29" s="824">
        <f t="shared" si="14"/>
        <v>1</v>
      </c>
      <c r="J29" s="928">
        <f t="shared" si="15"/>
        <v>8678.2567911574952</v>
      </c>
      <c r="K29" s="824">
        <f t="shared" si="16"/>
        <v>0</v>
      </c>
      <c r="L29" s="929">
        <f t="shared" si="17"/>
        <v>0</v>
      </c>
    </row>
    <row r="30" spans="1:27" x14ac:dyDescent="0.3">
      <c r="A30" s="925">
        <f>'e-w'!B52</f>
        <v>420</v>
      </c>
      <c r="B30" s="727">
        <f t="shared" si="9"/>
        <v>20</v>
      </c>
      <c r="C30" s="734">
        <f>$L$3-('(Vertcal) (2)'!$D$14-pich!D34)</f>
        <v>309.77499999999998</v>
      </c>
      <c r="D30" s="926">
        <f>'inclind filter above BT'!D31</f>
        <v>1</v>
      </c>
      <c r="E30" s="931" t="str">
        <f t="shared" si="10"/>
        <v>:1</v>
      </c>
      <c r="F30" s="734">
        <f t="shared" si="11"/>
        <v>438.08800628412547</v>
      </c>
      <c r="G30" s="927">
        <f t="shared" si="12"/>
        <v>8761.7601256825092</v>
      </c>
      <c r="H30" s="734">
        <f t="shared" si="13"/>
        <v>8748.204062198718</v>
      </c>
      <c r="I30" s="824">
        <f t="shared" si="14"/>
        <v>1</v>
      </c>
      <c r="J30" s="928">
        <f t="shared" si="15"/>
        <v>8748.204062198718</v>
      </c>
      <c r="K30" s="824">
        <f t="shared" si="16"/>
        <v>0</v>
      </c>
      <c r="L30" s="929">
        <f t="shared" si="17"/>
        <v>0</v>
      </c>
    </row>
    <row r="31" spans="1:27" x14ac:dyDescent="0.3">
      <c r="A31" s="925">
        <f>'e-w'!B53</f>
        <v>440</v>
      </c>
      <c r="B31" s="727">
        <f t="shared" si="9"/>
        <v>20</v>
      </c>
      <c r="C31" s="734">
        <f>$L$3-('(Vertcal) (2)'!$D$14-pich!D35)</f>
        <v>309.77499999999998</v>
      </c>
      <c r="D31" s="926">
        <f>'inclind filter above BT'!D32</f>
        <v>1</v>
      </c>
      <c r="E31" s="931" t="str">
        <f t="shared" si="10"/>
        <v>:1</v>
      </c>
      <c r="F31" s="734">
        <f t="shared" si="11"/>
        <v>438.08800628412547</v>
      </c>
      <c r="G31" s="927">
        <f t="shared" si="12"/>
        <v>8761.7601256825092</v>
      </c>
      <c r="H31" s="734">
        <f t="shared" si="13"/>
        <v>8761.7601256825092</v>
      </c>
      <c r="I31" s="824">
        <f t="shared" si="14"/>
        <v>1</v>
      </c>
      <c r="J31" s="928">
        <f t="shared" si="15"/>
        <v>8761.7601256825092</v>
      </c>
      <c r="K31" s="824">
        <f t="shared" si="16"/>
        <v>0</v>
      </c>
      <c r="L31" s="929">
        <f t="shared" si="17"/>
        <v>0</v>
      </c>
    </row>
    <row r="32" spans="1:27" x14ac:dyDescent="0.3">
      <c r="A32" s="925">
        <f>'e-w'!B54</f>
        <v>460</v>
      </c>
      <c r="B32" s="727">
        <f t="shared" si="9"/>
        <v>20</v>
      </c>
      <c r="C32" s="734">
        <f>$L$3-('(Vertcal) (2)'!$D$14-pich!D36)</f>
        <v>305.18841558441562</v>
      </c>
      <c r="D32" s="926">
        <f>'inclind filter above BT'!D33</f>
        <v>1</v>
      </c>
      <c r="E32" s="931" t="str">
        <f t="shared" si="10"/>
        <v>:1</v>
      </c>
      <c r="F32" s="734">
        <f t="shared" si="11"/>
        <v>431.60159639863701</v>
      </c>
      <c r="G32" s="927">
        <f t="shared" si="12"/>
        <v>8696.8960268276242</v>
      </c>
      <c r="H32" s="734">
        <f t="shared" si="13"/>
        <v>8729.3280762550676</v>
      </c>
      <c r="I32" s="824">
        <f t="shared" si="14"/>
        <v>1</v>
      </c>
      <c r="J32" s="928">
        <f t="shared" si="15"/>
        <v>8729.3280762550676</v>
      </c>
      <c r="K32" s="824">
        <f t="shared" si="16"/>
        <v>0</v>
      </c>
      <c r="L32" s="929">
        <f t="shared" si="17"/>
        <v>0</v>
      </c>
    </row>
    <row r="33" spans="1:13" x14ac:dyDescent="0.3">
      <c r="A33" s="925">
        <f>'e-w'!B55</f>
        <v>480</v>
      </c>
      <c r="B33" s="727">
        <f t="shared" si="9"/>
        <v>20</v>
      </c>
      <c r="C33" s="734">
        <f>$L$3-('(Vertcal) (2)'!$D$14-pich!D37)</f>
        <v>302.98834210526314</v>
      </c>
      <c r="D33" s="926">
        <f>'inclind filter above BT'!D34</f>
        <v>1</v>
      </c>
      <c r="E33" s="931" t="str">
        <f t="shared" si="10"/>
        <v>:1</v>
      </c>
      <c r="F33" s="734">
        <f t="shared" si="11"/>
        <v>428.4902226462022</v>
      </c>
      <c r="G33" s="927">
        <f t="shared" si="12"/>
        <v>8600.9181904483921</v>
      </c>
      <c r="H33" s="734">
        <f t="shared" si="13"/>
        <v>8648.9071086380081</v>
      </c>
      <c r="I33" s="824">
        <f t="shared" si="14"/>
        <v>1</v>
      </c>
      <c r="J33" s="928">
        <f t="shared" si="15"/>
        <v>8648.9071086380081</v>
      </c>
      <c r="K33" s="824">
        <f t="shared" si="16"/>
        <v>0</v>
      </c>
      <c r="L33" s="929">
        <f t="shared" si="17"/>
        <v>0</v>
      </c>
    </row>
    <row r="34" spans="1:13" x14ac:dyDescent="0.3">
      <c r="A34" s="925">
        <f>'e-w'!B56</f>
        <v>500</v>
      </c>
      <c r="B34" s="727">
        <f t="shared" si="9"/>
        <v>20</v>
      </c>
      <c r="C34" s="734">
        <f>$L$3-('(Vertcal) (2)'!$D$14-pich!D38)</f>
        <v>301.51797402597401</v>
      </c>
      <c r="D34" s="926">
        <f>'inclind filter above BT'!D35</f>
        <v>1</v>
      </c>
      <c r="E34" s="931" t="str">
        <f t="shared" si="10"/>
        <v>:1</v>
      </c>
      <c r="F34" s="734">
        <f t="shared" si="11"/>
        <v>426.41080816679107</v>
      </c>
      <c r="G34" s="927">
        <f t="shared" si="12"/>
        <v>8549.0103081299312</v>
      </c>
      <c r="H34" s="734">
        <f t="shared" si="13"/>
        <v>8574.9642492891617</v>
      </c>
      <c r="I34" s="824">
        <f t="shared" si="14"/>
        <v>1</v>
      </c>
      <c r="J34" s="928">
        <f t="shared" si="15"/>
        <v>8574.9642492891617</v>
      </c>
      <c r="K34" s="824">
        <f t="shared" si="16"/>
        <v>0</v>
      </c>
      <c r="L34" s="929">
        <f t="shared" si="17"/>
        <v>0</v>
      </c>
    </row>
    <row r="35" spans="1:13" x14ac:dyDescent="0.3">
      <c r="A35" s="925">
        <f>'e-w'!B57</f>
        <v>520</v>
      </c>
      <c r="B35" s="727">
        <f t="shared" si="9"/>
        <v>20</v>
      </c>
      <c r="C35" s="734">
        <f>$L$3-('(Vertcal) (2)'!$D$14-pich!D39)</f>
        <v>298.6955789473684</v>
      </c>
      <c r="D35" s="926">
        <f>'inclind filter above BT'!D36</f>
        <v>1</v>
      </c>
      <c r="E35" s="931" t="str">
        <f t="shared" si="10"/>
        <v>:1</v>
      </c>
      <c r="F35" s="734">
        <f t="shared" si="11"/>
        <v>422.41933876825192</v>
      </c>
      <c r="G35" s="927">
        <f t="shared" si="12"/>
        <v>8488.3014693504301</v>
      </c>
      <c r="H35" s="734">
        <f t="shared" si="13"/>
        <v>8518.6558887401807</v>
      </c>
      <c r="I35" s="824">
        <f t="shared" si="14"/>
        <v>1</v>
      </c>
      <c r="J35" s="928">
        <f t="shared" si="15"/>
        <v>8518.6558887401807</v>
      </c>
      <c r="K35" s="824">
        <f t="shared" si="16"/>
        <v>0</v>
      </c>
      <c r="L35" s="929">
        <f t="shared" si="17"/>
        <v>0</v>
      </c>
    </row>
    <row r="36" spans="1:13" x14ac:dyDescent="0.3">
      <c r="A36" s="925">
        <f>'e-w'!B58</f>
        <v>540</v>
      </c>
      <c r="B36" s="727">
        <f t="shared" si="9"/>
        <v>20</v>
      </c>
      <c r="C36" s="734">
        <f>$L$3-('(Vertcal) (2)'!$D$14-pich!D40)</f>
        <v>299.20647368421055</v>
      </c>
      <c r="D36" s="926">
        <f>'inclind filter above BT'!D37</f>
        <v>1</v>
      </c>
      <c r="E36" s="931" t="str">
        <f t="shared" si="10"/>
        <v>:1</v>
      </c>
      <c r="F36" s="734">
        <f t="shared" si="11"/>
        <v>423.14185303403912</v>
      </c>
      <c r="G36" s="927">
        <f t="shared" si="12"/>
        <v>8455.6119180229107</v>
      </c>
      <c r="H36" s="734">
        <f t="shared" si="13"/>
        <v>8471.9566936866704</v>
      </c>
      <c r="I36" s="824">
        <f t="shared" si="14"/>
        <v>1</v>
      </c>
      <c r="J36" s="928">
        <f t="shared" si="15"/>
        <v>8471.9566936866704</v>
      </c>
      <c r="K36" s="824">
        <f t="shared" si="16"/>
        <v>0</v>
      </c>
      <c r="L36" s="929">
        <f t="shared" si="17"/>
        <v>0</v>
      </c>
    </row>
    <row r="37" spans="1:13" x14ac:dyDescent="0.3">
      <c r="A37" s="925">
        <f>'e-w'!B59</f>
        <v>560</v>
      </c>
      <c r="B37" s="727">
        <f t="shared" si="9"/>
        <v>20</v>
      </c>
      <c r="C37" s="734">
        <f>$L$3-('(Vertcal) (2)'!$D$14-pich!D41)</f>
        <v>302.34806578947371</v>
      </c>
      <c r="D37" s="926">
        <f>'inclind filter above BT'!D38</f>
        <v>1</v>
      </c>
      <c r="E37" s="931" t="str">
        <f t="shared" si="10"/>
        <v>:1</v>
      </c>
      <c r="F37" s="734">
        <f t="shared" si="11"/>
        <v>427.58473519674652</v>
      </c>
      <c r="G37" s="927">
        <f t="shared" si="12"/>
        <v>8507.2658823078564</v>
      </c>
      <c r="H37" s="734">
        <f t="shared" si="13"/>
        <v>8481.4389001653835</v>
      </c>
      <c r="I37" s="824">
        <f t="shared" si="14"/>
        <v>1</v>
      </c>
      <c r="J37" s="928">
        <f t="shared" si="15"/>
        <v>8481.4389001653835</v>
      </c>
      <c r="K37" s="824">
        <f t="shared" si="16"/>
        <v>0</v>
      </c>
      <c r="L37" s="929">
        <f t="shared" si="17"/>
        <v>0</v>
      </c>
    </row>
    <row r="38" spans="1:13" x14ac:dyDescent="0.3">
      <c r="A38" s="925">
        <f>'e-w'!B60</f>
        <v>580</v>
      </c>
      <c r="B38" s="727">
        <f t="shared" si="9"/>
        <v>20</v>
      </c>
      <c r="C38" s="734">
        <f>$L$3-('(Vertcal) (2)'!$D$14-pich!D42)</f>
        <v>301.842025974026</v>
      </c>
      <c r="D38" s="926">
        <f>'inclind filter above BT'!D39</f>
        <v>1</v>
      </c>
      <c r="E38" s="931" t="str">
        <f t="shared" si="10"/>
        <v>:1</v>
      </c>
      <c r="F38" s="734">
        <f t="shared" si="11"/>
        <v>426.8690868266396</v>
      </c>
      <c r="G38" s="927">
        <f t="shared" si="12"/>
        <v>8544.5382202338606</v>
      </c>
      <c r="H38" s="734">
        <f t="shared" si="13"/>
        <v>8525.9020512708594</v>
      </c>
      <c r="I38" s="824">
        <f t="shared" si="14"/>
        <v>1</v>
      </c>
      <c r="J38" s="928">
        <f t="shared" si="15"/>
        <v>8525.9020512708594</v>
      </c>
      <c r="K38" s="824">
        <f t="shared" si="16"/>
        <v>0</v>
      </c>
      <c r="L38" s="929">
        <f t="shared" si="17"/>
        <v>0</v>
      </c>
    </row>
    <row r="39" spans="1:13" x14ac:dyDescent="0.3">
      <c r="A39" s="925">
        <f>'e-w'!B61</f>
        <v>600</v>
      </c>
      <c r="B39" s="727">
        <f t="shared" si="9"/>
        <v>20</v>
      </c>
      <c r="C39" s="734">
        <f>$L$3-('(Vertcal) (2)'!$D$14-pich!D43)</f>
        <v>298.99705263157892</v>
      </c>
      <c r="D39" s="926">
        <f>'inclind filter above BT'!D40</f>
        <v>1</v>
      </c>
      <c r="E39" s="931" t="str">
        <f t="shared" si="10"/>
        <v>:1</v>
      </c>
      <c r="F39" s="734">
        <f t="shared" si="11"/>
        <v>422.84568694116103</v>
      </c>
      <c r="G39" s="927">
        <f t="shared" si="12"/>
        <v>8497.1477376780058</v>
      </c>
      <c r="H39" s="734">
        <f t="shared" si="13"/>
        <v>8520.8429789559341</v>
      </c>
      <c r="I39" s="824">
        <f t="shared" si="14"/>
        <v>1</v>
      </c>
      <c r="J39" s="928">
        <f t="shared" si="15"/>
        <v>8520.8429789559341</v>
      </c>
      <c r="K39" s="824">
        <f t="shared" si="16"/>
        <v>0</v>
      </c>
      <c r="L39" s="929">
        <f t="shared" si="17"/>
        <v>0</v>
      </c>
    </row>
    <row r="40" spans="1:13" x14ac:dyDescent="0.3">
      <c r="A40" s="925">
        <f>'e-w'!B62</f>
        <v>620</v>
      </c>
      <c r="B40" s="727">
        <f t="shared" si="9"/>
        <v>20</v>
      </c>
      <c r="C40" s="734">
        <f>$L$3-('(Vertcal) (2)'!$D$14-pich!D44)</f>
        <v>299.27663157894733</v>
      </c>
      <c r="D40" s="926">
        <f>'inclind filter above BT'!D41</f>
        <v>1</v>
      </c>
      <c r="E40" s="931" t="str">
        <f t="shared" si="10"/>
        <v>:1</v>
      </c>
      <c r="F40" s="734">
        <f t="shared" si="11"/>
        <v>423.24107128028345</v>
      </c>
      <c r="G40" s="927">
        <f t="shared" si="12"/>
        <v>8460.8675822144451</v>
      </c>
      <c r="H40" s="734">
        <f t="shared" si="13"/>
        <v>8479.0076599462263</v>
      </c>
      <c r="I40" s="824">
        <f t="shared" si="14"/>
        <v>1</v>
      </c>
      <c r="J40" s="928">
        <f t="shared" si="15"/>
        <v>8479.0076599462263</v>
      </c>
      <c r="K40" s="824">
        <f t="shared" si="16"/>
        <v>0</v>
      </c>
      <c r="L40" s="929">
        <f t="shared" si="17"/>
        <v>0</v>
      </c>
    </row>
    <row r="41" spans="1:13" x14ac:dyDescent="0.3">
      <c r="A41" s="925">
        <f>'e-w'!B63</f>
        <v>640</v>
      </c>
      <c r="B41" s="727">
        <f t="shared" si="9"/>
        <v>20</v>
      </c>
      <c r="C41" s="734">
        <f>$L$3-('(Vertcal) (2)'!$D$14-pich!D45)</f>
        <v>297.60652631578949</v>
      </c>
      <c r="D41" s="926">
        <f>'inclind filter above BT'!D42</f>
        <v>1</v>
      </c>
      <c r="E41" s="931" t="str">
        <f t="shared" si="10"/>
        <v>:1</v>
      </c>
      <c r="F41" s="734">
        <f t="shared" si="11"/>
        <v>420.87918576653493</v>
      </c>
      <c r="G41" s="927">
        <f t="shared" si="12"/>
        <v>8441.2025704681837</v>
      </c>
      <c r="H41" s="734">
        <f t="shared" si="13"/>
        <v>8451.0350763413153</v>
      </c>
      <c r="I41" s="824">
        <f t="shared" si="14"/>
        <v>1</v>
      </c>
      <c r="J41" s="928">
        <f t="shared" si="15"/>
        <v>8451.0350763413153</v>
      </c>
      <c r="K41" s="824">
        <f t="shared" si="16"/>
        <v>0</v>
      </c>
      <c r="L41" s="929">
        <f t="shared" si="17"/>
        <v>0</v>
      </c>
    </row>
    <row r="42" spans="1:13" x14ac:dyDescent="0.3">
      <c r="A42" s="925">
        <f>'e-w'!B64</f>
        <v>660</v>
      </c>
      <c r="B42" s="727">
        <f t="shared" si="9"/>
        <v>20</v>
      </c>
      <c r="C42" s="734">
        <f>$L$3-('(Vertcal) (2)'!$D$14-pich!D46)</f>
        <v>296.20871052631577</v>
      </c>
      <c r="D42" s="926">
        <f>'inclind filter above BT'!D43</f>
        <v>1</v>
      </c>
      <c r="E42" s="931" t="str">
        <f t="shared" si="10"/>
        <v>:1</v>
      </c>
      <c r="F42" s="734">
        <f t="shared" si="11"/>
        <v>418.90237571936194</v>
      </c>
      <c r="G42" s="927">
        <f t="shared" si="12"/>
        <v>8397.8156148589696</v>
      </c>
      <c r="H42" s="734">
        <f t="shared" si="13"/>
        <v>8419.5090926635767</v>
      </c>
      <c r="I42" s="824">
        <f t="shared" si="14"/>
        <v>1</v>
      </c>
      <c r="J42" s="928">
        <f t="shared" si="15"/>
        <v>8419.5090926635767</v>
      </c>
      <c r="K42" s="824">
        <f t="shared" si="16"/>
        <v>0</v>
      </c>
      <c r="L42" s="929">
        <f t="shared" si="17"/>
        <v>0</v>
      </c>
    </row>
    <row r="43" spans="1:13" x14ac:dyDescent="0.3">
      <c r="A43" s="925">
        <f>'e-w'!B65</f>
        <v>680</v>
      </c>
      <c r="B43" s="727">
        <f t="shared" si="9"/>
        <v>20</v>
      </c>
      <c r="C43" s="734">
        <f>$L$3-('(Vertcal) (2)'!$D$14-pich!D47)</f>
        <v>296.45613157894741</v>
      </c>
      <c r="D43" s="926">
        <f>'inclind filter above BT'!D44</f>
        <v>1</v>
      </c>
      <c r="E43" s="931" t="str">
        <f t="shared" si="10"/>
        <v>:1</v>
      </c>
      <c r="F43" s="734">
        <f t="shared" si="11"/>
        <v>419.25228192761023</v>
      </c>
      <c r="G43" s="927">
        <f t="shared" si="12"/>
        <v>8381.5465764697219</v>
      </c>
      <c r="H43" s="734">
        <f t="shared" si="13"/>
        <v>8389.6810956643458</v>
      </c>
      <c r="I43" s="824">
        <f t="shared" si="14"/>
        <v>1</v>
      </c>
      <c r="J43" s="928">
        <f t="shared" si="15"/>
        <v>8389.6810956643458</v>
      </c>
      <c r="K43" s="824">
        <f t="shared" si="16"/>
        <v>0</v>
      </c>
      <c r="L43" s="929">
        <f t="shared" si="17"/>
        <v>0</v>
      </c>
    </row>
    <row r="44" spans="1:13" x14ac:dyDescent="0.3">
      <c r="A44" s="925">
        <f>'e-w'!B66</f>
        <v>700</v>
      </c>
      <c r="B44" s="727">
        <f t="shared" si="9"/>
        <v>20</v>
      </c>
      <c r="C44" s="734">
        <f>$L$3-('(Vertcal) (2)'!$D$14-pich!D48)</f>
        <v>293.6477368421053</v>
      </c>
      <c r="D44" s="926">
        <f>'inclind filter above BT'!D45</f>
        <v>1</v>
      </c>
      <c r="E44" s="931" t="str">
        <f t="shared" si="10"/>
        <v>:1</v>
      </c>
      <c r="F44" s="734">
        <f t="shared" si="11"/>
        <v>415.28061200227091</v>
      </c>
      <c r="G44" s="927">
        <f t="shared" si="12"/>
        <v>8345.3289392988117</v>
      </c>
      <c r="H44" s="734">
        <f t="shared" si="13"/>
        <v>8363.4377578842668</v>
      </c>
      <c r="I44" s="824">
        <f t="shared" si="14"/>
        <v>1</v>
      </c>
      <c r="J44" s="928">
        <f t="shared" si="15"/>
        <v>8363.4377578842668</v>
      </c>
      <c r="K44" s="824">
        <f t="shared" si="16"/>
        <v>0</v>
      </c>
      <c r="L44" s="929">
        <f t="shared" si="17"/>
        <v>0</v>
      </c>
    </row>
    <row r="45" spans="1:13" x14ac:dyDescent="0.3">
      <c r="A45" s="925">
        <f>'e-w'!B67</f>
        <v>720</v>
      </c>
      <c r="B45" s="727">
        <f t="shared" si="9"/>
        <v>20</v>
      </c>
      <c r="C45" s="734">
        <f>$L$3-('(Vertcal) (2)'!$D$14-pich!D49)</f>
        <v>293.31132894736845</v>
      </c>
      <c r="D45" s="926">
        <f>'inclind filter above BT'!D46</f>
        <v>1</v>
      </c>
      <c r="E45" s="931" t="str">
        <f t="shared" si="10"/>
        <v>:1</v>
      </c>
      <c r="F45" s="734">
        <f t="shared" si="11"/>
        <v>414.80485939504467</v>
      </c>
      <c r="G45" s="927">
        <f t="shared" si="12"/>
        <v>8300.8547139731563</v>
      </c>
      <c r="H45" s="734">
        <f t="shared" si="13"/>
        <v>8323.091826635984</v>
      </c>
      <c r="I45" s="824">
        <f t="shared" si="14"/>
        <v>1</v>
      </c>
      <c r="J45" s="928">
        <f t="shared" si="15"/>
        <v>8323.091826635984</v>
      </c>
      <c r="K45" s="824">
        <f t="shared" si="16"/>
        <v>0</v>
      </c>
      <c r="L45" s="929">
        <f t="shared" si="17"/>
        <v>0</v>
      </c>
    </row>
    <row r="46" spans="1:13" x14ac:dyDescent="0.3">
      <c r="A46" s="925">
        <f>'e-w'!B68</f>
        <v>740</v>
      </c>
      <c r="B46" s="727">
        <f t="shared" si="9"/>
        <v>20</v>
      </c>
      <c r="C46" s="734">
        <f>$L$3-('(Vertcal) (2)'!$D$14-pich!D50)</f>
        <v>293.14049999999997</v>
      </c>
      <c r="D46" s="926">
        <f>'inclind filter above BT'!D47</f>
        <v>1</v>
      </c>
      <c r="E46" s="931" t="str">
        <f t="shared" si="10"/>
        <v>:1</v>
      </c>
      <c r="F46" s="734">
        <f t="shared" si="11"/>
        <v>414.56327078083024</v>
      </c>
      <c r="G46" s="927">
        <f t="shared" si="12"/>
        <v>8293.6813017587501</v>
      </c>
      <c r="H46" s="734">
        <f t="shared" si="13"/>
        <v>8297.2680078659541</v>
      </c>
      <c r="I46" s="824">
        <f t="shared" si="14"/>
        <v>1</v>
      </c>
      <c r="J46" s="928">
        <f t="shared" si="15"/>
        <v>8297.2680078659541</v>
      </c>
      <c r="K46" s="824">
        <f t="shared" si="16"/>
        <v>0</v>
      </c>
      <c r="L46" s="929">
        <f t="shared" si="17"/>
        <v>0</v>
      </c>
    </row>
    <row r="47" spans="1:13" x14ac:dyDescent="0.3">
      <c r="A47" s="743"/>
      <c r="B47" s="736"/>
      <c r="C47" s="745"/>
      <c r="G47" s="930"/>
      <c r="H47" s="1385" t="s">
        <v>15</v>
      </c>
      <c r="I47" s="1397"/>
      <c r="J47" s="928">
        <f>SUM(J9:J46)</f>
        <v>301213.9410539958</v>
      </c>
      <c r="K47" s="932"/>
      <c r="L47" s="818">
        <f>SUM(L9:L21)</f>
        <v>0</v>
      </c>
      <c r="M47" s="708"/>
    </row>
    <row r="48" spans="1:13" x14ac:dyDescent="0.3">
      <c r="A48" s="743"/>
      <c r="B48" s="736"/>
      <c r="C48" s="745"/>
      <c r="D48" s="745"/>
      <c r="E48" s="745"/>
      <c r="F48" s="745"/>
      <c r="G48" s="745"/>
      <c r="H48" s="744"/>
      <c r="I48" s="744"/>
      <c r="K48" s="742"/>
      <c r="L48" s="743"/>
      <c r="M48" s="743"/>
    </row>
    <row r="49" spans="1:9" x14ac:dyDescent="0.3">
      <c r="A49" s="913" t="s">
        <v>444</v>
      </c>
      <c r="B49" s="749" t="s">
        <v>571</v>
      </c>
      <c r="C49" s="749"/>
      <c r="D49" s="749"/>
      <c r="E49" s="749"/>
      <c r="F49" s="749"/>
      <c r="G49" s="749" t="s">
        <v>114</v>
      </c>
      <c r="H49" s="855">
        <f>L47</f>
        <v>0</v>
      </c>
      <c r="I49" s="749" t="s">
        <v>296</v>
      </c>
    </row>
    <row r="50" spans="1:9" x14ac:dyDescent="0.3">
      <c r="A50" s="913" t="s">
        <v>572</v>
      </c>
      <c r="B50" s="749" t="s">
        <v>573</v>
      </c>
      <c r="C50" s="749"/>
      <c r="D50" s="749"/>
      <c r="E50" s="749"/>
      <c r="F50" s="749"/>
      <c r="G50" s="749" t="s">
        <v>114</v>
      </c>
      <c r="H50" s="855">
        <f>J47</f>
        <v>301213.9410539958</v>
      </c>
      <c r="I50" s="749" t="s">
        <v>296</v>
      </c>
    </row>
    <row r="51" spans="1:9" x14ac:dyDescent="0.3">
      <c r="A51" s="913"/>
      <c r="B51" s="749"/>
      <c r="C51" s="749"/>
      <c r="D51" s="749"/>
      <c r="E51" s="749"/>
      <c r="F51" s="749"/>
      <c r="G51" s="749"/>
      <c r="H51" s="855"/>
      <c r="I51" s="749"/>
    </row>
    <row r="53" spans="1:9" x14ac:dyDescent="0.3">
      <c r="C53" s="750"/>
      <c r="D53" s="933" t="e">
        <f>'inclind filter above BT'!D54</f>
        <v>#REF!</v>
      </c>
      <c r="E53" s="750"/>
      <c r="F53" s="750"/>
      <c r="G53" s="934"/>
      <c r="I53" s="933">
        <f>'inclind filter above BT'!I54</f>
        <v>0</v>
      </c>
    </row>
    <row r="54" spans="1:9" x14ac:dyDescent="0.3">
      <c r="C54" s="750"/>
      <c r="D54" s="933" t="e">
        <f>'inclind filter above BT'!D55</f>
        <v>#REF!</v>
      </c>
      <c r="E54" s="750"/>
      <c r="F54" s="750"/>
      <c r="G54" s="934"/>
      <c r="I54" s="933">
        <f>'inclind filter above BT'!I55</f>
        <v>0</v>
      </c>
    </row>
    <row r="55" spans="1:9" x14ac:dyDescent="0.3">
      <c r="D55" s="933" t="e">
        <f>'inclind filter above BT'!D56</f>
        <v>#REF!</v>
      </c>
      <c r="I55" s="933">
        <f>'inclind filter above BT'!I56</f>
        <v>0</v>
      </c>
    </row>
  </sheetData>
  <customSheetViews>
    <customSheetView guid="{5161B42F-120B-436B-80F4-9BB578173AD5}" scale="85" fitToPage="1">
      <selection activeCell="K11" sqref="K11"/>
      <pageMargins left="0.70866141732283505" right="0.70866141732283505" top="0.74803149606299202" bottom="0.74803149606299202" header="0.31496062992126" footer="0.31496062992126"/>
      <printOptions horizontalCentered="1"/>
      <pageSetup fitToHeight="4" orientation="landscape" r:id="rId1"/>
      <headerFooter>
        <oddFooter>&amp;R&amp;P</oddFooter>
      </headerFooter>
    </customSheetView>
  </customSheetViews>
  <mergeCells count="14">
    <mergeCell ref="D8:E8"/>
    <mergeCell ref="H47:I47"/>
    <mergeCell ref="A1:L1"/>
    <mergeCell ref="I2:L2"/>
    <mergeCell ref="A5:L5"/>
    <mergeCell ref="A6:A7"/>
    <mergeCell ref="B6:B7"/>
    <mergeCell ref="C6:C7"/>
    <mergeCell ref="D6:E7"/>
    <mergeCell ref="F6:F7"/>
    <mergeCell ref="G6:G7"/>
    <mergeCell ref="H6:H7"/>
    <mergeCell ref="I6:J6"/>
    <mergeCell ref="K6:L6"/>
  </mergeCells>
  <printOptions horizontalCentered="1"/>
  <pageMargins left="0.70866141732283505" right="0.70866141732283505" top="0.74803149606299202" bottom="0.74803149606299202" header="0.31496062992126" footer="0.31496062992126"/>
  <pageSetup fitToHeight="4" orientation="landscape" r:id="rId2"/>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A56"/>
  <sheetViews>
    <sheetView view="pageBreakPreview" zoomScale="60" zoomScaleNormal="85" workbookViewId="0">
      <selection activeCell="F56" sqref="F56"/>
    </sheetView>
  </sheetViews>
  <sheetFormatPr defaultColWidth="9.109375" defaultRowHeight="13.2" x14ac:dyDescent="0.25"/>
  <cols>
    <col min="1" max="5" width="9.109375" style="449"/>
    <col min="6" max="6" width="8.88671875" style="449" customWidth="1"/>
    <col min="7" max="7" width="10.88671875" style="449" customWidth="1"/>
    <col min="8" max="8" width="9.109375" style="449"/>
    <col min="9" max="9" width="12" style="449" customWidth="1"/>
    <col min="10" max="10" width="9.109375" style="449"/>
    <col min="11" max="11" width="11.5546875" style="449" customWidth="1"/>
    <col min="12" max="16384" width="9.109375" style="449"/>
  </cols>
  <sheetData>
    <row r="1" spans="1:27" ht="15.6" x14ac:dyDescent="0.25">
      <c r="A1" s="1339" t="str">
        <f>'inclined Filetr above hearting'!A1:L1</f>
        <v>ROSHNABAD BARRAGE</v>
      </c>
      <c r="B1" s="1248"/>
      <c r="C1" s="1248"/>
      <c r="D1" s="1248"/>
      <c r="E1" s="1248"/>
      <c r="F1" s="1248"/>
      <c r="G1" s="1248"/>
      <c r="H1" s="1248"/>
      <c r="I1" s="1248"/>
      <c r="J1" s="1248"/>
      <c r="K1" s="1248"/>
      <c r="L1" s="1248"/>
    </row>
    <row r="2" spans="1:27" ht="14.4" x14ac:dyDescent="0.3">
      <c r="A2" s="697" t="str">
        <f>'inclined Filetr above hearting'!A2</f>
        <v>TEHSIL :-SIDHI</v>
      </c>
      <c r="B2" s="698"/>
      <c r="C2" s="698"/>
      <c r="D2" s="699"/>
      <c r="E2" s="698"/>
      <c r="F2" s="569"/>
      <c r="G2" s="569"/>
      <c r="H2" s="569"/>
      <c r="I2" s="1388" t="str">
        <f>'inclined Filetr above hearting'!I2:L2</f>
        <v>DISTRICT :SINGRAULI</v>
      </c>
      <c r="J2" s="1389"/>
      <c r="K2" s="1389"/>
      <c r="L2" s="569"/>
    </row>
    <row r="3" spans="1:27" ht="14.4" x14ac:dyDescent="0.3">
      <c r="A3" s="698" t="s">
        <v>559</v>
      </c>
      <c r="B3" s="698"/>
      <c r="C3" s="923">
        <v>0.3</v>
      </c>
      <c r="D3" s="699"/>
      <c r="E3" s="698"/>
      <c r="F3" s="569"/>
      <c r="G3" s="569"/>
      <c r="H3" s="569"/>
      <c r="I3" s="919"/>
      <c r="J3" s="920"/>
      <c r="K3" s="920"/>
      <c r="L3" s="569"/>
    </row>
    <row r="4" spans="1:27" ht="14.4" x14ac:dyDescent="0.3">
      <c r="A4" s="698" t="s">
        <v>560</v>
      </c>
      <c r="B4" s="698"/>
      <c r="C4" s="923">
        <v>0.4</v>
      </c>
      <c r="D4" s="699"/>
      <c r="E4" s="698"/>
      <c r="F4" s="569"/>
      <c r="G4" s="569"/>
      <c r="H4" s="569"/>
      <c r="I4" s="919"/>
      <c r="J4" s="920"/>
      <c r="K4" s="920"/>
      <c r="L4" s="569"/>
    </row>
    <row r="5" spans="1:27" ht="15.6" x14ac:dyDescent="0.3">
      <c r="A5" s="1398" t="s">
        <v>577</v>
      </c>
      <c r="B5" s="1398"/>
      <c r="C5" s="1398"/>
      <c r="D5" s="1398"/>
      <c r="E5" s="1398"/>
      <c r="F5" s="1398"/>
      <c r="G5" s="1398"/>
      <c r="H5" s="1398"/>
      <c r="I5" s="1398"/>
      <c r="J5" s="1398"/>
      <c r="K5" s="1398"/>
      <c r="L5" s="569"/>
    </row>
    <row r="6" spans="1:27" ht="13.8" x14ac:dyDescent="0.25">
      <c r="A6" s="1341" t="s">
        <v>561</v>
      </c>
      <c r="B6" s="1341" t="s">
        <v>467</v>
      </c>
      <c r="C6" s="1341" t="s">
        <v>578</v>
      </c>
      <c r="D6" s="1341" t="s">
        <v>579</v>
      </c>
      <c r="E6" s="1341" t="s">
        <v>580</v>
      </c>
      <c r="F6" s="1400" t="s">
        <v>581</v>
      </c>
      <c r="G6" s="1342" t="s">
        <v>475</v>
      </c>
      <c r="H6" s="1383" t="s">
        <v>566</v>
      </c>
      <c r="I6" s="1383"/>
      <c r="J6" s="1383" t="s">
        <v>567</v>
      </c>
      <c r="K6" s="1383"/>
      <c r="L6" s="1341" t="s">
        <v>575</v>
      </c>
    </row>
    <row r="7" spans="1:27" ht="41.4" x14ac:dyDescent="0.3">
      <c r="A7" s="1341"/>
      <c r="B7" s="1341"/>
      <c r="C7" s="1399"/>
      <c r="D7" s="1399"/>
      <c r="E7" s="1399"/>
      <c r="F7" s="1399"/>
      <c r="G7" s="1343"/>
      <c r="H7" s="818" t="s">
        <v>582</v>
      </c>
      <c r="I7" s="818" t="s">
        <v>583</v>
      </c>
      <c r="J7" s="818" t="s">
        <v>584</v>
      </c>
      <c r="K7" s="818" t="s">
        <v>585</v>
      </c>
      <c r="L7" s="1341"/>
      <c r="O7" s="935" t="s">
        <v>586</v>
      </c>
      <c r="P7" s="936"/>
      <c r="Q7" s="937">
        <v>0</v>
      </c>
    </row>
    <row r="8" spans="1:27" ht="13.8" x14ac:dyDescent="0.25">
      <c r="A8" s="821">
        <v>1</v>
      </c>
      <c r="B8" s="821">
        <v>2</v>
      </c>
      <c r="C8" s="821">
        <v>3</v>
      </c>
      <c r="D8" s="821">
        <v>4</v>
      </c>
      <c r="E8" s="821">
        <v>5</v>
      </c>
      <c r="F8" s="821">
        <v>6</v>
      </c>
      <c r="G8" s="821">
        <v>7</v>
      </c>
      <c r="H8" s="821">
        <v>8</v>
      </c>
      <c r="I8" s="821">
        <v>9</v>
      </c>
      <c r="J8" s="821">
        <v>10</v>
      </c>
      <c r="K8" s="821">
        <v>11</v>
      </c>
      <c r="L8" s="818"/>
      <c r="O8" s="938" t="s">
        <v>587</v>
      </c>
      <c r="P8" s="939"/>
      <c r="Q8" s="940">
        <v>4.5</v>
      </c>
    </row>
    <row r="9" spans="1:27" s="615" customFormat="1" ht="15.6" x14ac:dyDescent="0.3">
      <c r="A9" s="925">
        <f>'e-w'!B31</f>
        <v>0</v>
      </c>
      <c r="B9" s="727">
        <v>0</v>
      </c>
      <c r="C9" s="734">
        <f>J.C!F8</f>
        <v>6</v>
      </c>
      <c r="D9" s="734">
        <f t="shared" ref="D9:D10" si="0">IF(C9&gt;0,$Q$8+2*(L9*$Q$7),0)</f>
        <v>4.5</v>
      </c>
      <c r="E9" s="734">
        <f>B.T.!P7</f>
        <v>14</v>
      </c>
      <c r="F9" s="734">
        <f t="shared" ref="F9:F10" si="1">IF(C9/2-D9/2&gt;0,C9/2-D9/2,0)</f>
        <v>0.75</v>
      </c>
      <c r="G9" s="927">
        <v>0</v>
      </c>
      <c r="H9" s="824">
        <f t="shared" ref="H9:H10" si="2">IF(F9&gt;0,$C$3,"0")</f>
        <v>0.3</v>
      </c>
      <c r="I9" s="928">
        <f t="shared" ref="I9:I10" si="3">G9*H9</f>
        <v>0</v>
      </c>
      <c r="J9" s="824">
        <f t="shared" ref="J9:J10" si="4">IF(F9&gt;0,$C$4,"0")</f>
        <v>0.4</v>
      </c>
      <c r="K9" s="929">
        <f t="shared" ref="K9:K10" si="5">G9*J9</f>
        <v>0</v>
      </c>
      <c r="L9" s="734">
        <v>0</v>
      </c>
      <c r="M9" s="660"/>
      <c r="N9" s="659"/>
      <c r="O9" s="659"/>
      <c r="P9" s="659"/>
      <c r="Q9" s="659"/>
      <c r="R9" s="659"/>
      <c r="S9" s="659"/>
      <c r="T9" s="659"/>
      <c r="U9" s="659"/>
      <c r="V9" s="660"/>
      <c r="W9" s="660"/>
      <c r="X9" s="660"/>
      <c r="Y9" s="660"/>
      <c r="Z9" s="661"/>
      <c r="AA9" s="661"/>
    </row>
    <row r="10" spans="1:27" s="615" customFormat="1" ht="15.6" x14ac:dyDescent="0.3">
      <c r="A10" s="925">
        <f>'e-w'!B32</f>
        <v>20</v>
      </c>
      <c r="B10" s="727">
        <f t="shared" ref="B10" si="6">IF(A10-A9&gt;0,A10-A9,"0")</f>
        <v>20</v>
      </c>
      <c r="C10" s="734">
        <f>J.C!F9</f>
        <v>100</v>
      </c>
      <c r="D10" s="734">
        <f t="shared" si="0"/>
        <v>4.5</v>
      </c>
      <c r="E10" s="734">
        <f>B.T.!P8</f>
        <v>14</v>
      </c>
      <c r="F10" s="734">
        <f t="shared" si="1"/>
        <v>47.75</v>
      </c>
      <c r="G10" s="927">
        <f t="shared" ref="G10" si="7">B10*(F9+F10)/2</f>
        <v>485</v>
      </c>
      <c r="H10" s="824">
        <f t="shared" si="2"/>
        <v>0.3</v>
      </c>
      <c r="I10" s="928">
        <f t="shared" si="3"/>
        <v>145.5</v>
      </c>
      <c r="J10" s="824">
        <f t="shared" si="4"/>
        <v>0.4</v>
      </c>
      <c r="K10" s="929">
        <f t="shared" si="5"/>
        <v>194</v>
      </c>
      <c r="L10" s="734">
        <v>0</v>
      </c>
      <c r="M10" s="660"/>
      <c r="N10" s="659"/>
      <c r="O10" s="659"/>
      <c r="P10" s="659"/>
      <c r="Q10" s="659"/>
      <c r="R10" s="659"/>
      <c r="S10" s="659"/>
      <c r="T10" s="659"/>
      <c r="U10" s="659"/>
      <c r="V10" s="660"/>
      <c r="W10" s="660"/>
      <c r="X10" s="660"/>
      <c r="Y10" s="660"/>
      <c r="Z10" s="661"/>
      <c r="AA10" s="661"/>
    </row>
    <row r="11" spans="1:27" s="615" customFormat="1" ht="15.6" x14ac:dyDescent="0.3">
      <c r="A11" s="925">
        <f>'e-w'!B33</f>
        <v>40</v>
      </c>
      <c r="B11" s="727">
        <f t="shared" ref="B11:B46" si="8">IF(A11-A10&gt;0,A11-A10,"0")</f>
        <v>20</v>
      </c>
      <c r="C11" s="734">
        <f>J.C!F10</f>
        <v>100</v>
      </c>
      <c r="D11" s="734">
        <f t="shared" ref="D11:D46" si="9">IF(C11&gt;0,$Q$8+2*(L11*$Q$7),0)</f>
        <v>4.5</v>
      </c>
      <c r="E11" s="734">
        <f>B.T.!P9</f>
        <v>14</v>
      </c>
      <c r="F11" s="734">
        <f t="shared" ref="F11:F46" si="10">IF(C11/2-D11/2&gt;0,C11/2-D11/2,0)</f>
        <v>47.75</v>
      </c>
      <c r="G11" s="927">
        <f t="shared" ref="G11:G46" si="11">B11*(F10+F11)/2</f>
        <v>955</v>
      </c>
      <c r="H11" s="824">
        <f t="shared" ref="H11:H46" si="12">IF(F11&gt;0,$C$3,"0")</f>
        <v>0.3</v>
      </c>
      <c r="I11" s="928">
        <f t="shared" ref="I11:I46" si="13">G11*H11</f>
        <v>286.5</v>
      </c>
      <c r="J11" s="824">
        <f t="shared" ref="J11:J46" si="14">IF(F11&gt;0,$C$4,"0")</f>
        <v>0.4</v>
      </c>
      <c r="K11" s="929">
        <f t="shared" ref="K11:K46" si="15">G11*J11</f>
        <v>382</v>
      </c>
      <c r="L11" s="734">
        <v>1</v>
      </c>
      <c r="M11" s="660"/>
      <c r="N11" s="659"/>
      <c r="O11" s="659"/>
      <c r="P11" s="659"/>
      <c r="Q11" s="659"/>
      <c r="R11" s="659"/>
      <c r="S11" s="659"/>
      <c r="T11" s="659"/>
      <c r="U11" s="659"/>
      <c r="V11" s="660"/>
      <c r="W11" s="660"/>
      <c r="X11" s="660"/>
      <c r="Y11" s="660"/>
      <c r="Z11" s="661"/>
      <c r="AA11" s="661"/>
    </row>
    <row r="12" spans="1:27" s="615" customFormat="1" ht="15.6" x14ac:dyDescent="0.3">
      <c r="A12" s="925">
        <f>'e-w'!B34</f>
        <v>60</v>
      </c>
      <c r="B12" s="727">
        <f t="shared" si="8"/>
        <v>20</v>
      </c>
      <c r="C12" s="734">
        <f>J.C!F11</f>
        <v>100</v>
      </c>
      <c r="D12" s="734">
        <f t="shared" si="9"/>
        <v>4.5</v>
      </c>
      <c r="E12" s="734">
        <f>B.T.!P10</f>
        <v>14</v>
      </c>
      <c r="F12" s="734">
        <f t="shared" si="10"/>
        <v>47.75</v>
      </c>
      <c r="G12" s="927">
        <f t="shared" si="11"/>
        <v>955</v>
      </c>
      <c r="H12" s="824">
        <f t="shared" si="12"/>
        <v>0.3</v>
      </c>
      <c r="I12" s="928">
        <f t="shared" si="13"/>
        <v>286.5</v>
      </c>
      <c r="J12" s="824">
        <f t="shared" si="14"/>
        <v>0.4</v>
      </c>
      <c r="K12" s="929">
        <f t="shared" si="15"/>
        <v>382</v>
      </c>
      <c r="L12" s="734">
        <v>2</v>
      </c>
      <c r="M12" s="660"/>
      <c r="N12" s="659"/>
      <c r="O12" s="659"/>
      <c r="P12" s="659"/>
      <c r="Q12" s="659"/>
      <c r="R12" s="659"/>
      <c r="S12" s="659"/>
      <c r="T12" s="659"/>
      <c r="U12" s="659"/>
      <c r="V12" s="660"/>
      <c r="W12" s="660"/>
      <c r="X12" s="660"/>
      <c r="Y12" s="660"/>
      <c r="Z12" s="661"/>
      <c r="AA12" s="661"/>
    </row>
    <row r="13" spans="1:27" s="615" customFormat="1" ht="15.6" x14ac:dyDescent="0.3">
      <c r="A13" s="925">
        <f>'e-w'!B35</f>
        <v>80</v>
      </c>
      <c r="B13" s="727">
        <f t="shared" si="8"/>
        <v>20</v>
      </c>
      <c r="C13" s="734">
        <f>J.C!F12</f>
        <v>100</v>
      </c>
      <c r="D13" s="734">
        <f t="shared" si="9"/>
        <v>4.5</v>
      </c>
      <c r="E13" s="734">
        <f>B.T.!P11</f>
        <v>14</v>
      </c>
      <c r="F13" s="734">
        <f t="shared" si="10"/>
        <v>47.75</v>
      </c>
      <c r="G13" s="927">
        <f t="shared" si="11"/>
        <v>955</v>
      </c>
      <c r="H13" s="824">
        <f t="shared" si="12"/>
        <v>0.3</v>
      </c>
      <c r="I13" s="928">
        <f t="shared" si="13"/>
        <v>286.5</v>
      </c>
      <c r="J13" s="824">
        <f t="shared" si="14"/>
        <v>0.4</v>
      </c>
      <c r="K13" s="929">
        <f t="shared" si="15"/>
        <v>382</v>
      </c>
      <c r="L13" s="734">
        <v>3</v>
      </c>
      <c r="M13" s="660"/>
      <c r="N13" s="659"/>
      <c r="O13" s="659"/>
      <c r="P13" s="659"/>
      <c r="Q13" s="659"/>
      <c r="R13" s="659"/>
      <c r="S13" s="659"/>
      <c r="T13" s="659"/>
      <c r="U13" s="659"/>
      <c r="V13" s="660"/>
      <c r="W13" s="660"/>
      <c r="X13" s="660"/>
      <c r="Y13" s="660"/>
      <c r="Z13" s="661"/>
      <c r="AA13" s="661"/>
    </row>
    <row r="14" spans="1:27" s="615" customFormat="1" ht="15.6" x14ac:dyDescent="0.3">
      <c r="A14" s="925">
        <f>'e-w'!B36</f>
        <v>100</v>
      </c>
      <c r="B14" s="727">
        <f t="shared" si="8"/>
        <v>20</v>
      </c>
      <c r="C14" s="734">
        <f>J.C!F13</f>
        <v>100</v>
      </c>
      <c r="D14" s="734">
        <f t="shared" si="9"/>
        <v>4.5</v>
      </c>
      <c r="E14" s="734">
        <f>B.T.!P12</f>
        <v>14</v>
      </c>
      <c r="F14" s="734">
        <f t="shared" si="10"/>
        <v>47.75</v>
      </c>
      <c r="G14" s="927">
        <f t="shared" si="11"/>
        <v>955</v>
      </c>
      <c r="H14" s="824">
        <f t="shared" si="12"/>
        <v>0.3</v>
      </c>
      <c r="I14" s="928">
        <f t="shared" si="13"/>
        <v>286.5</v>
      </c>
      <c r="J14" s="824">
        <f t="shared" si="14"/>
        <v>0.4</v>
      </c>
      <c r="K14" s="929">
        <f t="shared" si="15"/>
        <v>382</v>
      </c>
      <c r="L14" s="734">
        <v>4</v>
      </c>
      <c r="M14" s="660"/>
      <c r="N14" s="659"/>
      <c r="O14" s="659"/>
      <c r="P14" s="659"/>
      <c r="Q14" s="659"/>
      <c r="R14" s="659"/>
      <c r="S14" s="659"/>
      <c r="T14" s="659"/>
      <c r="U14" s="659"/>
      <c r="V14" s="660"/>
      <c r="W14" s="660"/>
      <c r="X14" s="660"/>
      <c r="Y14" s="660"/>
      <c r="Z14" s="661"/>
      <c r="AA14" s="661"/>
    </row>
    <row r="15" spans="1:27" s="615" customFormat="1" ht="15.6" x14ac:dyDescent="0.3">
      <c r="A15" s="925">
        <f>'e-w'!B37</f>
        <v>120</v>
      </c>
      <c r="B15" s="727">
        <f t="shared" si="8"/>
        <v>20</v>
      </c>
      <c r="C15" s="734">
        <f>J.C!F14</f>
        <v>100</v>
      </c>
      <c r="D15" s="734">
        <f t="shared" si="9"/>
        <v>4.5</v>
      </c>
      <c r="E15" s="734">
        <f>B.T.!P13</f>
        <v>14</v>
      </c>
      <c r="F15" s="734">
        <f t="shared" si="10"/>
        <v>47.75</v>
      </c>
      <c r="G15" s="927">
        <f t="shared" si="11"/>
        <v>955</v>
      </c>
      <c r="H15" s="824">
        <f t="shared" si="12"/>
        <v>0.3</v>
      </c>
      <c r="I15" s="928">
        <f t="shared" si="13"/>
        <v>286.5</v>
      </c>
      <c r="J15" s="824">
        <f t="shared" si="14"/>
        <v>0.4</v>
      </c>
      <c r="K15" s="929">
        <f t="shared" si="15"/>
        <v>382</v>
      </c>
      <c r="L15" s="734">
        <v>5</v>
      </c>
      <c r="M15" s="660"/>
      <c r="N15" s="659"/>
      <c r="O15" s="659"/>
      <c r="P15" s="659"/>
      <c r="Q15" s="659"/>
      <c r="R15" s="659"/>
      <c r="S15" s="659"/>
      <c r="T15" s="659"/>
      <c r="U15" s="659"/>
      <c r="V15" s="660"/>
      <c r="W15" s="660"/>
      <c r="X15" s="660"/>
      <c r="Y15" s="660"/>
      <c r="Z15" s="661"/>
      <c r="AA15" s="661"/>
    </row>
    <row r="16" spans="1:27" s="615" customFormat="1" ht="15.6" x14ac:dyDescent="0.3">
      <c r="A16" s="925">
        <f>'e-w'!B38</f>
        <v>140</v>
      </c>
      <c r="B16" s="727">
        <f t="shared" si="8"/>
        <v>20</v>
      </c>
      <c r="C16" s="734">
        <f>J.C!F15</f>
        <v>100</v>
      </c>
      <c r="D16" s="734">
        <f t="shared" si="9"/>
        <v>4.5</v>
      </c>
      <c r="E16" s="734">
        <f>B.T.!P14</f>
        <v>14</v>
      </c>
      <c r="F16" s="734">
        <f t="shared" si="10"/>
        <v>47.75</v>
      </c>
      <c r="G16" s="927">
        <f t="shared" si="11"/>
        <v>955</v>
      </c>
      <c r="H16" s="824">
        <f t="shared" si="12"/>
        <v>0.3</v>
      </c>
      <c r="I16" s="928">
        <f t="shared" si="13"/>
        <v>286.5</v>
      </c>
      <c r="J16" s="824">
        <f t="shared" si="14"/>
        <v>0.4</v>
      </c>
      <c r="K16" s="929">
        <f t="shared" si="15"/>
        <v>382</v>
      </c>
      <c r="L16" s="734">
        <v>6</v>
      </c>
      <c r="M16" s="660"/>
      <c r="N16" s="659"/>
      <c r="O16" s="659"/>
      <c r="P16" s="659"/>
      <c r="Q16" s="659"/>
      <c r="R16" s="659"/>
      <c r="S16" s="659"/>
      <c r="T16" s="659"/>
      <c r="U16" s="659"/>
      <c r="V16" s="660"/>
      <c r="W16" s="660"/>
      <c r="X16" s="660"/>
      <c r="Y16" s="660"/>
      <c r="Z16" s="661"/>
      <c r="AA16" s="661"/>
    </row>
    <row r="17" spans="1:27" s="615" customFormat="1" ht="15.6" x14ac:dyDescent="0.3">
      <c r="A17" s="925">
        <f>'e-w'!B39</f>
        <v>160</v>
      </c>
      <c r="B17" s="727">
        <f t="shared" si="8"/>
        <v>20</v>
      </c>
      <c r="C17" s="734">
        <f>J.C!F16</f>
        <v>100</v>
      </c>
      <c r="D17" s="734">
        <f t="shared" si="9"/>
        <v>4.5</v>
      </c>
      <c r="E17" s="734">
        <f>B.T.!P15</f>
        <v>14</v>
      </c>
      <c r="F17" s="734">
        <f t="shared" si="10"/>
        <v>47.75</v>
      </c>
      <c r="G17" s="927">
        <f t="shared" si="11"/>
        <v>955</v>
      </c>
      <c r="H17" s="824">
        <f t="shared" si="12"/>
        <v>0.3</v>
      </c>
      <c r="I17" s="928">
        <f t="shared" si="13"/>
        <v>286.5</v>
      </c>
      <c r="J17" s="824">
        <f t="shared" si="14"/>
        <v>0.4</v>
      </c>
      <c r="K17" s="929">
        <f t="shared" si="15"/>
        <v>382</v>
      </c>
      <c r="L17" s="734">
        <v>7</v>
      </c>
      <c r="M17" s="660"/>
      <c r="N17" s="659"/>
      <c r="O17" s="659"/>
      <c r="P17" s="659"/>
      <c r="Q17" s="659"/>
      <c r="R17" s="659"/>
      <c r="S17" s="659"/>
      <c r="T17" s="659"/>
      <c r="U17" s="659"/>
      <c r="V17" s="660"/>
      <c r="W17" s="660"/>
      <c r="X17" s="660"/>
      <c r="Y17" s="660"/>
      <c r="Z17" s="661"/>
      <c r="AA17" s="661"/>
    </row>
    <row r="18" spans="1:27" s="615" customFormat="1" ht="15.6" x14ac:dyDescent="0.3">
      <c r="A18" s="925">
        <f>'e-w'!B40</f>
        <v>180</v>
      </c>
      <c r="B18" s="727">
        <f t="shared" si="8"/>
        <v>20</v>
      </c>
      <c r="C18" s="734">
        <f>J.C!F17</f>
        <v>100</v>
      </c>
      <c r="D18" s="734">
        <f t="shared" si="9"/>
        <v>4.5</v>
      </c>
      <c r="E18" s="734">
        <f>B.T.!P16</f>
        <v>14</v>
      </c>
      <c r="F18" s="734">
        <f t="shared" si="10"/>
        <v>47.75</v>
      </c>
      <c r="G18" s="927">
        <f t="shared" si="11"/>
        <v>955</v>
      </c>
      <c r="H18" s="824">
        <f t="shared" si="12"/>
        <v>0.3</v>
      </c>
      <c r="I18" s="928">
        <f t="shared" si="13"/>
        <v>286.5</v>
      </c>
      <c r="J18" s="824">
        <f t="shared" si="14"/>
        <v>0.4</v>
      </c>
      <c r="K18" s="929">
        <f t="shared" si="15"/>
        <v>382</v>
      </c>
      <c r="L18" s="734">
        <v>8</v>
      </c>
      <c r="M18" s="660"/>
      <c r="N18" s="659"/>
      <c r="O18" s="659"/>
      <c r="P18" s="659"/>
      <c r="Q18" s="659"/>
      <c r="R18" s="659"/>
      <c r="S18" s="659"/>
      <c r="T18" s="659"/>
      <c r="U18" s="659"/>
      <c r="V18" s="660"/>
      <c r="W18" s="660"/>
      <c r="X18" s="660"/>
      <c r="Y18" s="660"/>
      <c r="Z18" s="661"/>
      <c r="AA18" s="661"/>
    </row>
    <row r="19" spans="1:27" s="615" customFormat="1" ht="15.6" x14ac:dyDescent="0.3">
      <c r="A19" s="925">
        <f>'e-w'!B41</f>
        <v>200</v>
      </c>
      <c r="B19" s="727">
        <f t="shared" si="8"/>
        <v>20</v>
      </c>
      <c r="C19" s="734">
        <f>J.C!F18</f>
        <v>100</v>
      </c>
      <c r="D19" s="734">
        <f t="shared" si="9"/>
        <v>4.5</v>
      </c>
      <c r="E19" s="734">
        <f>B.T.!P17</f>
        <v>14</v>
      </c>
      <c r="F19" s="734">
        <f t="shared" si="10"/>
        <v>47.75</v>
      </c>
      <c r="G19" s="927">
        <f t="shared" si="11"/>
        <v>955</v>
      </c>
      <c r="H19" s="824">
        <f t="shared" si="12"/>
        <v>0.3</v>
      </c>
      <c r="I19" s="928">
        <f t="shared" si="13"/>
        <v>286.5</v>
      </c>
      <c r="J19" s="824">
        <f t="shared" si="14"/>
        <v>0.4</v>
      </c>
      <c r="K19" s="929">
        <f t="shared" si="15"/>
        <v>382</v>
      </c>
      <c r="L19" s="734">
        <v>9</v>
      </c>
      <c r="M19" s="660"/>
      <c r="N19" s="659"/>
      <c r="O19" s="659"/>
      <c r="P19" s="659"/>
      <c r="Q19" s="659"/>
      <c r="R19" s="659"/>
      <c r="S19" s="659"/>
      <c r="T19" s="659"/>
      <c r="U19" s="659"/>
      <c r="V19" s="660"/>
      <c r="W19" s="660"/>
      <c r="X19" s="660"/>
      <c r="Y19" s="660"/>
      <c r="Z19" s="661"/>
      <c r="AA19" s="661"/>
    </row>
    <row r="20" spans="1:27" s="615" customFormat="1" ht="15.6" x14ac:dyDescent="0.3">
      <c r="A20" s="925">
        <f>'e-w'!B42</f>
        <v>220</v>
      </c>
      <c r="B20" s="727">
        <f t="shared" si="8"/>
        <v>20</v>
      </c>
      <c r="C20" s="734">
        <f>J.C!F19</f>
        <v>100</v>
      </c>
      <c r="D20" s="734">
        <f t="shared" si="9"/>
        <v>4.5</v>
      </c>
      <c r="E20" s="734">
        <f>B.T.!P18</f>
        <v>14</v>
      </c>
      <c r="F20" s="734">
        <f t="shared" si="10"/>
        <v>47.75</v>
      </c>
      <c r="G20" s="927">
        <f t="shared" si="11"/>
        <v>955</v>
      </c>
      <c r="H20" s="824">
        <f t="shared" si="12"/>
        <v>0.3</v>
      </c>
      <c r="I20" s="928">
        <f t="shared" si="13"/>
        <v>286.5</v>
      </c>
      <c r="J20" s="824">
        <f t="shared" si="14"/>
        <v>0.4</v>
      </c>
      <c r="K20" s="929">
        <f t="shared" si="15"/>
        <v>382</v>
      </c>
      <c r="L20" s="734">
        <v>10</v>
      </c>
      <c r="M20" s="660"/>
      <c r="N20" s="659"/>
      <c r="O20" s="659"/>
      <c r="P20" s="659"/>
      <c r="Q20" s="659"/>
      <c r="R20" s="659"/>
      <c r="S20" s="659"/>
      <c r="T20" s="659"/>
      <c r="U20" s="659"/>
      <c r="V20" s="660"/>
      <c r="W20" s="660"/>
      <c r="X20" s="660"/>
      <c r="Y20" s="660"/>
      <c r="Z20" s="661"/>
      <c r="AA20" s="661"/>
    </row>
    <row r="21" spans="1:27" s="615" customFormat="1" ht="15.6" x14ac:dyDescent="0.3">
      <c r="A21" s="925">
        <f>'e-w'!B43</f>
        <v>240</v>
      </c>
      <c r="B21" s="727">
        <f t="shared" si="8"/>
        <v>20</v>
      </c>
      <c r="C21" s="734">
        <f>J.C!F20</f>
        <v>100</v>
      </c>
      <c r="D21" s="734">
        <f t="shared" si="9"/>
        <v>4.5</v>
      </c>
      <c r="E21" s="734">
        <f>B.T.!P19</f>
        <v>14</v>
      </c>
      <c r="F21" s="734">
        <f t="shared" si="10"/>
        <v>47.75</v>
      </c>
      <c r="G21" s="927">
        <f t="shared" si="11"/>
        <v>955</v>
      </c>
      <c r="H21" s="824">
        <f t="shared" si="12"/>
        <v>0.3</v>
      </c>
      <c r="I21" s="928">
        <f t="shared" si="13"/>
        <v>286.5</v>
      </c>
      <c r="J21" s="824">
        <f t="shared" si="14"/>
        <v>0.4</v>
      </c>
      <c r="K21" s="929">
        <f t="shared" si="15"/>
        <v>382</v>
      </c>
      <c r="L21" s="734">
        <v>11</v>
      </c>
      <c r="M21" s="660"/>
      <c r="N21" s="659"/>
      <c r="O21" s="659"/>
      <c r="P21" s="659"/>
      <c r="Q21" s="659"/>
      <c r="R21" s="659"/>
      <c r="S21" s="659"/>
      <c r="T21" s="659"/>
      <c r="U21" s="659"/>
      <c r="V21" s="660"/>
      <c r="W21" s="660"/>
      <c r="X21" s="660"/>
      <c r="Y21" s="660"/>
      <c r="Z21" s="661"/>
      <c r="AA21" s="661"/>
    </row>
    <row r="22" spans="1:27" s="615" customFormat="1" ht="15.6" x14ac:dyDescent="0.3">
      <c r="A22" s="925">
        <f>'e-w'!B44</f>
        <v>260</v>
      </c>
      <c r="B22" s="727">
        <f t="shared" si="8"/>
        <v>20</v>
      </c>
      <c r="C22" s="734">
        <f>J.C!F21</f>
        <v>100</v>
      </c>
      <c r="D22" s="734">
        <f t="shared" si="9"/>
        <v>4.5</v>
      </c>
      <c r="E22" s="734">
        <f>B.T.!P20</f>
        <v>14</v>
      </c>
      <c r="F22" s="734">
        <f t="shared" si="10"/>
        <v>47.75</v>
      </c>
      <c r="G22" s="927">
        <f t="shared" si="11"/>
        <v>955</v>
      </c>
      <c r="H22" s="824">
        <f t="shared" si="12"/>
        <v>0.3</v>
      </c>
      <c r="I22" s="928">
        <f t="shared" si="13"/>
        <v>286.5</v>
      </c>
      <c r="J22" s="824">
        <f t="shared" si="14"/>
        <v>0.4</v>
      </c>
      <c r="K22" s="929">
        <f t="shared" si="15"/>
        <v>382</v>
      </c>
      <c r="L22" s="734">
        <v>12</v>
      </c>
      <c r="M22" s="660"/>
      <c r="N22" s="659"/>
      <c r="O22" s="659"/>
      <c r="P22" s="659"/>
      <c r="Q22" s="659"/>
      <c r="R22" s="659"/>
      <c r="S22" s="659"/>
      <c r="T22" s="659"/>
      <c r="U22" s="659"/>
      <c r="V22" s="660"/>
      <c r="W22" s="660"/>
      <c r="X22" s="660"/>
      <c r="Y22" s="660"/>
      <c r="Z22" s="661"/>
      <c r="AA22" s="661"/>
    </row>
    <row r="23" spans="1:27" ht="13.8" x14ac:dyDescent="0.3">
      <c r="A23" s="925">
        <f>'e-w'!B45</f>
        <v>280</v>
      </c>
      <c r="B23" s="727">
        <f t="shared" si="8"/>
        <v>20</v>
      </c>
      <c r="C23" s="734">
        <f>J.C!F22</f>
        <v>100</v>
      </c>
      <c r="D23" s="734">
        <f t="shared" si="9"/>
        <v>4.5</v>
      </c>
      <c r="E23" s="734">
        <f>B.T.!P21</f>
        <v>14</v>
      </c>
      <c r="F23" s="734">
        <f t="shared" si="10"/>
        <v>47.75</v>
      </c>
      <c r="G23" s="927">
        <f t="shared" si="11"/>
        <v>955</v>
      </c>
      <c r="H23" s="824">
        <f t="shared" si="12"/>
        <v>0.3</v>
      </c>
      <c r="I23" s="928">
        <f t="shared" si="13"/>
        <v>286.5</v>
      </c>
      <c r="J23" s="824">
        <f t="shared" si="14"/>
        <v>0.4</v>
      </c>
      <c r="K23" s="929">
        <f t="shared" si="15"/>
        <v>382</v>
      </c>
      <c r="L23" s="734">
        <v>13</v>
      </c>
    </row>
    <row r="24" spans="1:27" ht="13.8" x14ac:dyDescent="0.3">
      <c r="A24" s="925">
        <f>'e-w'!B46</f>
        <v>300</v>
      </c>
      <c r="B24" s="727">
        <f t="shared" si="8"/>
        <v>20</v>
      </c>
      <c r="C24" s="734">
        <f>J.C!F23</f>
        <v>100</v>
      </c>
      <c r="D24" s="734">
        <f t="shared" si="9"/>
        <v>4.5</v>
      </c>
      <c r="E24" s="734">
        <f>B.T.!P22</f>
        <v>14</v>
      </c>
      <c r="F24" s="734">
        <f t="shared" si="10"/>
        <v>47.75</v>
      </c>
      <c r="G24" s="927">
        <f t="shared" si="11"/>
        <v>955</v>
      </c>
      <c r="H24" s="824">
        <f t="shared" si="12"/>
        <v>0.3</v>
      </c>
      <c r="I24" s="928">
        <f t="shared" si="13"/>
        <v>286.5</v>
      </c>
      <c r="J24" s="824">
        <f t="shared" si="14"/>
        <v>0.4</v>
      </c>
      <c r="K24" s="929">
        <f t="shared" si="15"/>
        <v>382</v>
      </c>
      <c r="L24" s="734">
        <v>14</v>
      </c>
    </row>
    <row r="25" spans="1:27" ht="13.8" x14ac:dyDescent="0.3">
      <c r="A25" s="925">
        <f>'e-w'!B47</f>
        <v>320</v>
      </c>
      <c r="B25" s="727">
        <f t="shared" si="8"/>
        <v>20</v>
      </c>
      <c r="C25" s="734">
        <f>J.C!F24</f>
        <v>100</v>
      </c>
      <c r="D25" s="734">
        <f t="shared" si="9"/>
        <v>4.5</v>
      </c>
      <c r="E25" s="734">
        <f>B.T.!P23</f>
        <v>14</v>
      </c>
      <c r="F25" s="734">
        <f t="shared" si="10"/>
        <v>47.75</v>
      </c>
      <c r="G25" s="927">
        <f t="shared" si="11"/>
        <v>955</v>
      </c>
      <c r="H25" s="824">
        <f t="shared" si="12"/>
        <v>0.3</v>
      </c>
      <c r="I25" s="928">
        <f t="shared" si="13"/>
        <v>286.5</v>
      </c>
      <c r="J25" s="824">
        <f t="shared" si="14"/>
        <v>0.4</v>
      </c>
      <c r="K25" s="929">
        <f t="shared" si="15"/>
        <v>382</v>
      </c>
      <c r="L25" s="734">
        <v>15</v>
      </c>
    </row>
    <row r="26" spans="1:27" ht="13.8" x14ac:dyDescent="0.3">
      <c r="A26" s="925">
        <f>'e-w'!B48</f>
        <v>340</v>
      </c>
      <c r="B26" s="727">
        <f t="shared" si="8"/>
        <v>20</v>
      </c>
      <c r="C26" s="734">
        <f>J.C!F25</f>
        <v>100</v>
      </c>
      <c r="D26" s="734">
        <f t="shared" si="9"/>
        <v>4.5</v>
      </c>
      <c r="E26" s="734">
        <f>B.T.!P24</f>
        <v>14</v>
      </c>
      <c r="F26" s="734">
        <f t="shared" si="10"/>
        <v>47.75</v>
      </c>
      <c r="G26" s="927">
        <f t="shared" si="11"/>
        <v>955</v>
      </c>
      <c r="H26" s="824">
        <f t="shared" si="12"/>
        <v>0.3</v>
      </c>
      <c r="I26" s="928">
        <f t="shared" si="13"/>
        <v>286.5</v>
      </c>
      <c r="J26" s="824">
        <f t="shared" si="14"/>
        <v>0.4</v>
      </c>
      <c r="K26" s="929">
        <f t="shared" si="15"/>
        <v>382</v>
      </c>
      <c r="L26" s="734">
        <v>16</v>
      </c>
    </row>
    <row r="27" spans="1:27" ht="13.8" x14ac:dyDescent="0.3">
      <c r="A27" s="925">
        <f>'e-w'!B49</f>
        <v>360</v>
      </c>
      <c r="B27" s="727">
        <f t="shared" si="8"/>
        <v>20</v>
      </c>
      <c r="C27" s="734">
        <f>J.C!F26</f>
        <v>100</v>
      </c>
      <c r="D27" s="734">
        <f t="shared" si="9"/>
        <v>4.5</v>
      </c>
      <c r="E27" s="734">
        <f>B.T.!P25</f>
        <v>14</v>
      </c>
      <c r="F27" s="734">
        <f t="shared" si="10"/>
        <v>47.75</v>
      </c>
      <c r="G27" s="927">
        <f t="shared" si="11"/>
        <v>955</v>
      </c>
      <c r="H27" s="824">
        <f t="shared" si="12"/>
        <v>0.3</v>
      </c>
      <c r="I27" s="928">
        <f t="shared" si="13"/>
        <v>286.5</v>
      </c>
      <c r="J27" s="824">
        <f t="shared" si="14"/>
        <v>0.4</v>
      </c>
      <c r="K27" s="929">
        <f t="shared" si="15"/>
        <v>382</v>
      </c>
      <c r="L27" s="734">
        <v>17</v>
      </c>
    </row>
    <row r="28" spans="1:27" ht="13.8" x14ac:dyDescent="0.3">
      <c r="A28" s="925">
        <f>'e-w'!B50</f>
        <v>380</v>
      </c>
      <c r="B28" s="727">
        <f t="shared" si="8"/>
        <v>20</v>
      </c>
      <c r="C28" s="734">
        <f>J.C!F27</f>
        <v>100</v>
      </c>
      <c r="D28" s="734">
        <f t="shared" si="9"/>
        <v>4.5</v>
      </c>
      <c r="E28" s="734">
        <f>B.T.!P26</f>
        <v>14</v>
      </c>
      <c r="F28" s="734">
        <f t="shared" si="10"/>
        <v>47.75</v>
      </c>
      <c r="G28" s="927">
        <f t="shared" si="11"/>
        <v>955</v>
      </c>
      <c r="H28" s="824">
        <f t="shared" si="12"/>
        <v>0.3</v>
      </c>
      <c r="I28" s="928">
        <f t="shared" si="13"/>
        <v>286.5</v>
      </c>
      <c r="J28" s="824">
        <f t="shared" si="14"/>
        <v>0.4</v>
      </c>
      <c r="K28" s="929">
        <f t="shared" si="15"/>
        <v>382</v>
      </c>
      <c r="L28" s="734">
        <v>18</v>
      </c>
    </row>
    <row r="29" spans="1:27" ht="13.8" x14ac:dyDescent="0.3">
      <c r="A29" s="925">
        <f>'e-w'!B51</f>
        <v>400</v>
      </c>
      <c r="B29" s="727">
        <f t="shared" si="8"/>
        <v>20</v>
      </c>
      <c r="C29" s="734">
        <f>J.C!F28</f>
        <v>100</v>
      </c>
      <c r="D29" s="734">
        <f t="shared" si="9"/>
        <v>4.5</v>
      </c>
      <c r="E29" s="734">
        <f>B.T.!P27</f>
        <v>14</v>
      </c>
      <c r="F29" s="734">
        <f t="shared" si="10"/>
        <v>47.75</v>
      </c>
      <c r="G29" s="927">
        <f t="shared" si="11"/>
        <v>955</v>
      </c>
      <c r="H29" s="824">
        <f t="shared" si="12"/>
        <v>0.3</v>
      </c>
      <c r="I29" s="928">
        <f t="shared" si="13"/>
        <v>286.5</v>
      </c>
      <c r="J29" s="824">
        <f t="shared" si="14"/>
        <v>0.4</v>
      </c>
      <c r="K29" s="929">
        <f t="shared" si="15"/>
        <v>382</v>
      </c>
      <c r="L29" s="734">
        <v>19</v>
      </c>
    </row>
    <row r="30" spans="1:27" ht="13.8" x14ac:dyDescent="0.3">
      <c r="A30" s="925">
        <f>'e-w'!B52</f>
        <v>420</v>
      </c>
      <c r="B30" s="727">
        <f t="shared" si="8"/>
        <v>20</v>
      </c>
      <c r="C30" s="734">
        <f>J.C!F29</f>
        <v>100</v>
      </c>
      <c r="D30" s="734">
        <f t="shared" si="9"/>
        <v>4.5</v>
      </c>
      <c r="E30" s="734">
        <f>B.T.!P28</f>
        <v>14</v>
      </c>
      <c r="F30" s="734">
        <f t="shared" si="10"/>
        <v>47.75</v>
      </c>
      <c r="G30" s="927">
        <f t="shared" si="11"/>
        <v>955</v>
      </c>
      <c r="H30" s="824">
        <f t="shared" si="12"/>
        <v>0.3</v>
      </c>
      <c r="I30" s="928">
        <f t="shared" si="13"/>
        <v>286.5</v>
      </c>
      <c r="J30" s="824">
        <f t="shared" si="14"/>
        <v>0.4</v>
      </c>
      <c r="K30" s="929">
        <f t="shared" si="15"/>
        <v>382</v>
      </c>
      <c r="L30" s="734">
        <v>20</v>
      </c>
    </row>
    <row r="31" spans="1:27" ht="13.8" x14ac:dyDescent="0.3">
      <c r="A31" s="925">
        <f>'e-w'!B53</f>
        <v>440</v>
      </c>
      <c r="B31" s="727">
        <f t="shared" si="8"/>
        <v>20</v>
      </c>
      <c r="C31" s="734">
        <f>J.C!F30</f>
        <v>100</v>
      </c>
      <c r="D31" s="734">
        <f t="shared" si="9"/>
        <v>4.5</v>
      </c>
      <c r="E31" s="734">
        <f>B.T.!P29</f>
        <v>14</v>
      </c>
      <c r="F31" s="734">
        <f t="shared" si="10"/>
        <v>47.75</v>
      </c>
      <c r="G31" s="927">
        <f t="shared" si="11"/>
        <v>955</v>
      </c>
      <c r="H31" s="824">
        <f t="shared" si="12"/>
        <v>0.3</v>
      </c>
      <c r="I31" s="928">
        <f t="shared" si="13"/>
        <v>286.5</v>
      </c>
      <c r="J31" s="824">
        <f t="shared" si="14"/>
        <v>0.4</v>
      </c>
      <c r="K31" s="929">
        <f t="shared" si="15"/>
        <v>382</v>
      </c>
      <c r="L31" s="734">
        <v>21</v>
      </c>
    </row>
    <row r="32" spans="1:27" ht="13.8" x14ac:dyDescent="0.3">
      <c r="A32" s="925">
        <f>'e-w'!B54</f>
        <v>460</v>
      </c>
      <c r="B32" s="727">
        <f t="shared" si="8"/>
        <v>20</v>
      </c>
      <c r="C32" s="734">
        <f>J.C!F31</f>
        <v>100</v>
      </c>
      <c r="D32" s="734">
        <f t="shared" si="9"/>
        <v>4.5</v>
      </c>
      <c r="E32" s="734">
        <f>B.T.!P30</f>
        <v>14</v>
      </c>
      <c r="F32" s="734">
        <f t="shared" si="10"/>
        <v>47.75</v>
      </c>
      <c r="G32" s="927">
        <f t="shared" si="11"/>
        <v>955</v>
      </c>
      <c r="H32" s="824">
        <f t="shared" si="12"/>
        <v>0.3</v>
      </c>
      <c r="I32" s="928">
        <f t="shared" si="13"/>
        <v>286.5</v>
      </c>
      <c r="J32" s="824">
        <f t="shared" si="14"/>
        <v>0.4</v>
      </c>
      <c r="K32" s="929">
        <f t="shared" si="15"/>
        <v>382</v>
      </c>
      <c r="L32" s="734">
        <v>22</v>
      </c>
    </row>
    <row r="33" spans="1:12" ht="13.8" x14ac:dyDescent="0.3">
      <c r="A33" s="925">
        <f>'e-w'!B55</f>
        <v>480</v>
      </c>
      <c r="B33" s="727">
        <f t="shared" si="8"/>
        <v>20</v>
      </c>
      <c r="C33" s="734">
        <f>J.C!F32</f>
        <v>100</v>
      </c>
      <c r="D33" s="734">
        <f t="shared" si="9"/>
        <v>4.5</v>
      </c>
      <c r="E33" s="734">
        <f>B.T.!P31</f>
        <v>14</v>
      </c>
      <c r="F33" s="734">
        <f t="shared" si="10"/>
        <v>47.75</v>
      </c>
      <c r="G33" s="927">
        <f t="shared" si="11"/>
        <v>955</v>
      </c>
      <c r="H33" s="824">
        <f t="shared" si="12"/>
        <v>0.3</v>
      </c>
      <c r="I33" s="928">
        <f t="shared" si="13"/>
        <v>286.5</v>
      </c>
      <c r="J33" s="824">
        <f t="shared" si="14"/>
        <v>0.4</v>
      </c>
      <c r="K33" s="929">
        <f t="shared" si="15"/>
        <v>382</v>
      </c>
      <c r="L33" s="734">
        <v>23</v>
      </c>
    </row>
    <row r="34" spans="1:12" ht="13.8" x14ac:dyDescent="0.3">
      <c r="A34" s="925">
        <f>'e-w'!B56</f>
        <v>500</v>
      </c>
      <c r="B34" s="727">
        <f t="shared" si="8"/>
        <v>20</v>
      </c>
      <c r="C34" s="734">
        <f>J.C!F33</f>
        <v>100</v>
      </c>
      <c r="D34" s="734">
        <f t="shared" si="9"/>
        <v>4.5</v>
      </c>
      <c r="E34" s="734">
        <f>B.T.!P32</f>
        <v>14</v>
      </c>
      <c r="F34" s="734">
        <f t="shared" si="10"/>
        <v>47.75</v>
      </c>
      <c r="G34" s="927">
        <f t="shared" si="11"/>
        <v>955</v>
      </c>
      <c r="H34" s="824">
        <f t="shared" si="12"/>
        <v>0.3</v>
      </c>
      <c r="I34" s="928">
        <f t="shared" si="13"/>
        <v>286.5</v>
      </c>
      <c r="J34" s="824">
        <f t="shared" si="14"/>
        <v>0.4</v>
      </c>
      <c r="K34" s="929">
        <f t="shared" si="15"/>
        <v>382</v>
      </c>
      <c r="L34" s="734">
        <v>24</v>
      </c>
    </row>
    <row r="35" spans="1:12" ht="13.8" x14ac:dyDescent="0.3">
      <c r="A35" s="925">
        <f>'e-w'!B57</f>
        <v>520</v>
      </c>
      <c r="B35" s="727">
        <f t="shared" si="8"/>
        <v>20</v>
      </c>
      <c r="C35" s="734">
        <f>J.C!F34</f>
        <v>100</v>
      </c>
      <c r="D35" s="734">
        <f t="shared" si="9"/>
        <v>4.5</v>
      </c>
      <c r="E35" s="734">
        <f>B.T.!P33</f>
        <v>14</v>
      </c>
      <c r="F35" s="734">
        <f t="shared" si="10"/>
        <v>47.75</v>
      </c>
      <c r="G35" s="927">
        <f t="shared" si="11"/>
        <v>955</v>
      </c>
      <c r="H35" s="824">
        <f t="shared" si="12"/>
        <v>0.3</v>
      </c>
      <c r="I35" s="928">
        <f t="shared" si="13"/>
        <v>286.5</v>
      </c>
      <c r="J35" s="824">
        <f t="shared" si="14"/>
        <v>0.4</v>
      </c>
      <c r="K35" s="929">
        <f t="shared" si="15"/>
        <v>382</v>
      </c>
      <c r="L35" s="734">
        <v>25</v>
      </c>
    </row>
    <row r="36" spans="1:12" ht="13.8" x14ac:dyDescent="0.3">
      <c r="A36" s="925">
        <f>'e-w'!B58</f>
        <v>540</v>
      </c>
      <c r="B36" s="727">
        <f t="shared" si="8"/>
        <v>20</v>
      </c>
      <c r="C36" s="734">
        <f>J.C!F35</f>
        <v>100</v>
      </c>
      <c r="D36" s="734">
        <f t="shared" si="9"/>
        <v>4.5</v>
      </c>
      <c r="E36" s="734">
        <f>B.T.!P34</f>
        <v>14</v>
      </c>
      <c r="F36" s="734">
        <f t="shared" si="10"/>
        <v>47.75</v>
      </c>
      <c r="G36" s="927">
        <f t="shared" si="11"/>
        <v>955</v>
      </c>
      <c r="H36" s="824">
        <f t="shared" si="12"/>
        <v>0.3</v>
      </c>
      <c r="I36" s="928">
        <f t="shared" si="13"/>
        <v>286.5</v>
      </c>
      <c r="J36" s="824">
        <f t="shared" si="14"/>
        <v>0.4</v>
      </c>
      <c r="K36" s="929">
        <f t="shared" si="15"/>
        <v>382</v>
      </c>
      <c r="L36" s="734">
        <v>26</v>
      </c>
    </row>
    <row r="37" spans="1:12" ht="13.8" x14ac:dyDescent="0.3">
      <c r="A37" s="925">
        <f>'e-w'!B59</f>
        <v>560</v>
      </c>
      <c r="B37" s="727">
        <f t="shared" si="8"/>
        <v>20</v>
      </c>
      <c r="C37" s="734">
        <f>J.C!F36</f>
        <v>100</v>
      </c>
      <c r="D37" s="734">
        <f t="shared" si="9"/>
        <v>4.5</v>
      </c>
      <c r="E37" s="734">
        <f>B.T.!P35</f>
        <v>14</v>
      </c>
      <c r="F37" s="734">
        <f t="shared" si="10"/>
        <v>47.75</v>
      </c>
      <c r="G37" s="927">
        <f t="shared" si="11"/>
        <v>955</v>
      </c>
      <c r="H37" s="824">
        <f t="shared" si="12"/>
        <v>0.3</v>
      </c>
      <c r="I37" s="928">
        <f t="shared" si="13"/>
        <v>286.5</v>
      </c>
      <c r="J37" s="824">
        <f t="shared" si="14"/>
        <v>0.4</v>
      </c>
      <c r="K37" s="929">
        <f t="shared" si="15"/>
        <v>382</v>
      </c>
      <c r="L37" s="734">
        <v>27</v>
      </c>
    </row>
    <row r="38" spans="1:12" ht="13.8" x14ac:dyDescent="0.3">
      <c r="A38" s="925">
        <f>'e-w'!B60</f>
        <v>580</v>
      </c>
      <c r="B38" s="727">
        <f t="shared" si="8"/>
        <v>20</v>
      </c>
      <c r="C38" s="734">
        <f>J.C!F37</f>
        <v>100</v>
      </c>
      <c r="D38" s="734">
        <f t="shared" si="9"/>
        <v>4.5</v>
      </c>
      <c r="E38" s="734">
        <f>B.T.!P36</f>
        <v>14</v>
      </c>
      <c r="F38" s="734">
        <f t="shared" si="10"/>
        <v>47.75</v>
      </c>
      <c r="G38" s="927">
        <f t="shared" si="11"/>
        <v>955</v>
      </c>
      <c r="H38" s="824">
        <f t="shared" si="12"/>
        <v>0.3</v>
      </c>
      <c r="I38" s="928">
        <f t="shared" si="13"/>
        <v>286.5</v>
      </c>
      <c r="J38" s="824">
        <f t="shared" si="14"/>
        <v>0.4</v>
      </c>
      <c r="K38" s="929">
        <f t="shared" si="15"/>
        <v>382</v>
      </c>
      <c r="L38" s="734">
        <v>28</v>
      </c>
    </row>
    <row r="39" spans="1:12" ht="13.8" x14ac:dyDescent="0.3">
      <c r="A39" s="925">
        <f>'e-w'!B61</f>
        <v>600</v>
      </c>
      <c r="B39" s="727">
        <f t="shared" si="8"/>
        <v>20</v>
      </c>
      <c r="C39" s="734">
        <f>J.C!F38</f>
        <v>100</v>
      </c>
      <c r="D39" s="734">
        <f t="shared" si="9"/>
        <v>4.5</v>
      </c>
      <c r="E39" s="734">
        <f>B.T.!P37</f>
        <v>14</v>
      </c>
      <c r="F39" s="734">
        <f t="shared" si="10"/>
        <v>47.75</v>
      </c>
      <c r="G39" s="927">
        <f t="shared" si="11"/>
        <v>955</v>
      </c>
      <c r="H39" s="824">
        <f t="shared" si="12"/>
        <v>0.3</v>
      </c>
      <c r="I39" s="928">
        <f t="shared" si="13"/>
        <v>286.5</v>
      </c>
      <c r="J39" s="824">
        <f t="shared" si="14"/>
        <v>0.4</v>
      </c>
      <c r="K39" s="929">
        <f t="shared" si="15"/>
        <v>382</v>
      </c>
      <c r="L39" s="734">
        <v>29</v>
      </c>
    </row>
    <row r="40" spans="1:12" ht="13.8" x14ac:dyDescent="0.3">
      <c r="A40" s="925">
        <f>'e-w'!B62</f>
        <v>620</v>
      </c>
      <c r="B40" s="727">
        <f t="shared" si="8"/>
        <v>20</v>
      </c>
      <c r="C40" s="734">
        <f>J.C!F39</f>
        <v>100</v>
      </c>
      <c r="D40" s="734">
        <f t="shared" si="9"/>
        <v>4.5</v>
      </c>
      <c r="E40" s="734">
        <f>B.T.!P38</f>
        <v>14</v>
      </c>
      <c r="F40" s="734">
        <f t="shared" si="10"/>
        <v>47.75</v>
      </c>
      <c r="G40" s="927">
        <f t="shared" si="11"/>
        <v>955</v>
      </c>
      <c r="H40" s="824">
        <f t="shared" si="12"/>
        <v>0.3</v>
      </c>
      <c r="I40" s="928">
        <f t="shared" si="13"/>
        <v>286.5</v>
      </c>
      <c r="J40" s="824">
        <f t="shared" si="14"/>
        <v>0.4</v>
      </c>
      <c r="K40" s="929">
        <f t="shared" si="15"/>
        <v>382</v>
      </c>
      <c r="L40" s="734">
        <v>30</v>
      </c>
    </row>
    <row r="41" spans="1:12" ht="13.8" x14ac:dyDescent="0.3">
      <c r="A41" s="925">
        <f>'e-w'!B63</f>
        <v>640</v>
      </c>
      <c r="B41" s="727">
        <f t="shared" si="8"/>
        <v>20</v>
      </c>
      <c r="C41" s="734">
        <f>J.C!F40</f>
        <v>100</v>
      </c>
      <c r="D41" s="734">
        <f t="shared" si="9"/>
        <v>4.5</v>
      </c>
      <c r="E41" s="734">
        <f>B.T.!P39</f>
        <v>14</v>
      </c>
      <c r="F41" s="734">
        <f t="shared" si="10"/>
        <v>47.75</v>
      </c>
      <c r="G41" s="927">
        <f t="shared" si="11"/>
        <v>955</v>
      </c>
      <c r="H41" s="824">
        <f t="shared" si="12"/>
        <v>0.3</v>
      </c>
      <c r="I41" s="928">
        <f t="shared" si="13"/>
        <v>286.5</v>
      </c>
      <c r="J41" s="824">
        <f t="shared" si="14"/>
        <v>0.4</v>
      </c>
      <c r="K41" s="929">
        <f t="shared" si="15"/>
        <v>382</v>
      </c>
      <c r="L41" s="734">
        <v>31</v>
      </c>
    </row>
    <row r="42" spans="1:12" ht="13.8" x14ac:dyDescent="0.3">
      <c r="A42" s="925">
        <f>'e-w'!B64</f>
        <v>660</v>
      </c>
      <c r="B42" s="727">
        <f t="shared" si="8"/>
        <v>20</v>
      </c>
      <c r="C42" s="734">
        <f>J.C!F41</f>
        <v>100</v>
      </c>
      <c r="D42" s="734">
        <f t="shared" si="9"/>
        <v>4.5</v>
      </c>
      <c r="E42" s="734">
        <f>B.T.!P40</f>
        <v>14</v>
      </c>
      <c r="F42" s="734">
        <f t="shared" si="10"/>
        <v>47.75</v>
      </c>
      <c r="G42" s="927">
        <f t="shared" si="11"/>
        <v>955</v>
      </c>
      <c r="H42" s="824">
        <f t="shared" si="12"/>
        <v>0.3</v>
      </c>
      <c r="I42" s="928">
        <f t="shared" si="13"/>
        <v>286.5</v>
      </c>
      <c r="J42" s="824">
        <f t="shared" si="14"/>
        <v>0.4</v>
      </c>
      <c r="K42" s="929">
        <f t="shared" si="15"/>
        <v>382</v>
      </c>
      <c r="L42" s="734">
        <v>32</v>
      </c>
    </row>
    <row r="43" spans="1:12" ht="13.8" x14ac:dyDescent="0.3">
      <c r="A43" s="925">
        <f>'e-w'!B65</f>
        <v>680</v>
      </c>
      <c r="B43" s="727">
        <f t="shared" si="8"/>
        <v>20</v>
      </c>
      <c r="C43" s="734">
        <f>J.C!F42</f>
        <v>100</v>
      </c>
      <c r="D43" s="734">
        <f t="shared" si="9"/>
        <v>4.5</v>
      </c>
      <c r="E43" s="734">
        <f>B.T.!P41</f>
        <v>14</v>
      </c>
      <c r="F43" s="734">
        <f t="shared" si="10"/>
        <v>47.75</v>
      </c>
      <c r="G43" s="927">
        <f t="shared" si="11"/>
        <v>955</v>
      </c>
      <c r="H43" s="824">
        <f t="shared" si="12"/>
        <v>0.3</v>
      </c>
      <c r="I43" s="928">
        <f t="shared" si="13"/>
        <v>286.5</v>
      </c>
      <c r="J43" s="824">
        <f t="shared" si="14"/>
        <v>0.4</v>
      </c>
      <c r="K43" s="929">
        <f t="shared" si="15"/>
        <v>382</v>
      </c>
      <c r="L43" s="734">
        <v>33</v>
      </c>
    </row>
    <row r="44" spans="1:12" ht="13.8" x14ac:dyDescent="0.3">
      <c r="A44" s="925">
        <f>'e-w'!B66</f>
        <v>700</v>
      </c>
      <c r="B44" s="727">
        <f t="shared" si="8"/>
        <v>20</v>
      </c>
      <c r="C44" s="734">
        <f>J.C!F43</f>
        <v>100</v>
      </c>
      <c r="D44" s="734">
        <f t="shared" si="9"/>
        <v>4.5</v>
      </c>
      <c r="E44" s="734">
        <f>B.T.!P42</f>
        <v>14</v>
      </c>
      <c r="F44" s="734">
        <f t="shared" si="10"/>
        <v>47.75</v>
      </c>
      <c r="G44" s="927">
        <f t="shared" si="11"/>
        <v>955</v>
      </c>
      <c r="H44" s="824">
        <f t="shared" si="12"/>
        <v>0.3</v>
      </c>
      <c r="I44" s="928">
        <f t="shared" si="13"/>
        <v>286.5</v>
      </c>
      <c r="J44" s="824">
        <f t="shared" si="14"/>
        <v>0.4</v>
      </c>
      <c r="K44" s="929">
        <f t="shared" si="15"/>
        <v>382</v>
      </c>
      <c r="L44" s="734">
        <v>34</v>
      </c>
    </row>
    <row r="45" spans="1:12" ht="13.8" x14ac:dyDescent="0.3">
      <c r="A45" s="925">
        <f>'e-w'!B67</f>
        <v>720</v>
      </c>
      <c r="B45" s="727">
        <f t="shared" si="8"/>
        <v>20</v>
      </c>
      <c r="C45" s="734">
        <f>J.C!F44</f>
        <v>100</v>
      </c>
      <c r="D45" s="734">
        <f t="shared" si="9"/>
        <v>4.5</v>
      </c>
      <c r="E45" s="734">
        <f>B.T.!P43</f>
        <v>14</v>
      </c>
      <c r="F45" s="734">
        <f t="shared" si="10"/>
        <v>47.75</v>
      </c>
      <c r="G45" s="927">
        <f t="shared" si="11"/>
        <v>955</v>
      </c>
      <c r="H45" s="824">
        <f t="shared" si="12"/>
        <v>0.3</v>
      </c>
      <c r="I45" s="928">
        <f t="shared" si="13"/>
        <v>286.5</v>
      </c>
      <c r="J45" s="824">
        <f t="shared" si="14"/>
        <v>0.4</v>
      </c>
      <c r="K45" s="929">
        <f t="shared" si="15"/>
        <v>382</v>
      </c>
      <c r="L45" s="734">
        <v>35</v>
      </c>
    </row>
    <row r="46" spans="1:12" ht="13.8" x14ac:dyDescent="0.3">
      <c r="A46" s="925">
        <f>'e-w'!B68</f>
        <v>740</v>
      </c>
      <c r="B46" s="727">
        <f t="shared" si="8"/>
        <v>20</v>
      </c>
      <c r="C46" s="734">
        <f>J.C!F45</f>
        <v>100</v>
      </c>
      <c r="D46" s="734">
        <f t="shared" si="9"/>
        <v>4.5</v>
      </c>
      <c r="E46" s="734">
        <f>B.T.!P44</f>
        <v>14</v>
      </c>
      <c r="F46" s="734">
        <f t="shared" si="10"/>
        <v>47.75</v>
      </c>
      <c r="G46" s="927">
        <f t="shared" si="11"/>
        <v>955</v>
      </c>
      <c r="H46" s="824">
        <f t="shared" si="12"/>
        <v>0.3</v>
      </c>
      <c r="I46" s="928">
        <f t="shared" si="13"/>
        <v>286.5</v>
      </c>
      <c r="J46" s="824">
        <f t="shared" si="14"/>
        <v>0.4</v>
      </c>
      <c r="K46" s="929">
        <f t="shared" si="15"/>
        <v>382</v>
      </c>
      <c r="L46" s="734">
        <v>36</v>
      </c>
    </row>
    <row r="47" spans="1:12" ht="13.8" x14ac:dyDescent="0.3">
      <c r="A47" s="743"/>
      <c r="B47" s="736"/>
      <c r="C47" s="569"/>
      <c r="D47" s="569"/>
      <c r="E47" s="569"/>
      <c r="F47" s="569"/>
      <c r="G47" s="1385" t="s">
        <v>15</v>
      </c>
      <c r="H47" s="1385"/>
      <c r="I47" s="831">
        <f>SUM(I9:I46)</f>
        <v>10459.5</v>
      </c>
      <c r="J47" s="930"/>
      <c r="K47" s="941">
        <f>SUM(K9:K46)</f>
        <v>13946</v>
      </c>
      <c r="L47" s="942"/>
    </row>
    <row r="48" spans="1:12" ht="13.8" x14ac:dyDescent="0.3">
      <c r="A48" s="743"/>
      <c r="B48" s="736"/>
      <c r="C48" s="745"/>
      <c r="D48" s="745"/>
      <c r="E48" s="745"/>
      <c r="F48" s="745"/>
      <c r="G48" s="745"/>
      <c r="H48" s="744"/>
      <c r="I48" s="569"/>
      <c r="J48" s="742"/>
      <c r="K48" s="743"/>
      <c r="L48" s="743"/>
    </row>
    <row r="49" spans="1:12" ht="13.8" x14ac:dyDescent="0.3">
      <c r="A49" s="913" t="s">
        <v>444</v>
      </c>
      <c r="B49" s="749" t="s">
        <v>571</v>
      </c>
      <c r="C49" s="749"/>
      <c r="D49" s="749"/>
      <c r="E49" s="749"/>
      <c r="F49" s="749" t="s">
        <v>114</v>
      </c>
      <c r="G49" s="855">
        <f>K47</f>
        <v>13946</v>
      </c>
      <c r="H49" s="749" t="s">
        <v>296</v>
      </c>
      <c r="I49" s="569"/>
      <c r="J49" s="569"/>
      <c r="K49" s="569"/>
      <c r="L49" s="569"/>
    </row>
    <row r="50" spans="1:12" ht="13.8" x14ac:dyDescent="0.3">
      <c r="A50" s="913" t="s">
        <v>572</v>
      </c>
      <c r="B50" s="749" t="s">
        <v>588</v>
      </c>
      <c r="C50" s="749"/>
      <c r="D50" s="749"/>
      <c r="E50" s="749"/>
      <c r="F50" s="749" t="s">
        <v>114</v>
      </c>
      <c r="G50" s="855">
        <f>I47*2</f>
        <v>20919</v>
      </c>
      <c r="H50" s="749" t="s">
        <v>296</v>
      </c>
      <c r="I50" s="569"/>
      <c r="J50" s="569"/>
      <c r="K50" s="569"/>
      <c r="L50" s="569"/>
    </row>
    <row r="54" spans="1:12" x14ac:dyDescent="0.25">
      <c r="D54" s="943" t="e">
        <f>'inclined Filetr above hearting'!D53</f>
        <v>#REF!</v>
      </c>
      <c r="I54" s="943">
        <f>'inclined Filetr above hearting'!I53</f>
        <v>0</v>
      </c>
    </row>
    <row r="55" spans="1:12" x14ac:dyDescent="0.25">
      <c r="D55" s="943" t="e">
        <f>'inclined Filetr above hearting'!D54</f>
        <v>#REF!</v>
      </c>
      <c r="I55" s="943">
        <f>'inclined Filetr above hearting'!I54</f>
        <v>0</v>
      </c>
    </row>
    <row r="56" spans="1:12" x14ac:dyDescent="0.25">
      <c r="D56" s="943" t="e">
        <f>'inclined Filetr above hearting'!D55</f>
        <v>#REF!</v>
      </c>
      <c r="I56" s="943">
        <f>'inclined Filetr above hearting'!I55</f>
        <v>0</v>
      </c>
    </row>
  </sheetData>
  <protectedRanges>
    <protectedRange sqref="Q7:Q8" name="Range1"/>
  </protectedRanges>
  <customSheetViews>
    <customSheetView guid="{5161B42F-120B-436B-80F4-9BB578173AD5}" scale="85" topLeftCell="B1">
      <selection activeCell="D20" sqref="D20"/>
      <colBreaks count="1" manualBreakCount="1">
        <brk id="12" max="1048575" man="1"/>
      </colBreaks>
      <pageMargins left="0.70866141732283505" right="0.70866141732283505" top="0.74803149606299202" bottom="0.74803149606299202" header="0.31496062992126" footer="0.31496062992126"/>
      <printOptions horizontalCentered="1"/>
      <pageSetup scale="95" orientation="landscape" r:id="rId1"/>
      <headerFooter>
        <oddFooter>&amp;R&amp;P</oddFooter>
      </headerFooter>
    </customSheetView>
  </customSheetViews>
  <mergeCells count="14">
    <mergeCell ref="G47:H47"/>
    <mergeCell ref="A1:L1"/>
    <mergeCell ref="I2:K2"/>
    <mergeCell ref="A5:K5"/>
    <mergeCell ref="A6:A7"/>
    <mergeCell ref="B6:B7"/>
    <mergeCell ref="C6:C7"/>
    <mergeCell ref="D6:D7"/>
    <mergeCell ref="E6:E7"/>
    <mergeCell ref="F6:F7"/>
    <mergeCell ref="G6:G7"/>
    <mergeCell ref="H6:I6"/>
    <mergeCell ref="J6:K6"/>
    <mergeCell ref="L6:L7"/>
  </mergeCells>
  <printOptions horizontalCentered="1"/>
  <pageMargins left="0.70866141732283505" right="0.70866141732283505" top="0.74803149606299202" bottom="0.74803149606299202" header="0.31496062992126" footer="0.31496062992126"/>
  <pageSetup scale="65" orientation="landscape" r:id="rId2"/>
  <headerFooter>
    <oddFooter>&amp;R&amp;P</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2"/>
  <sheetViews>
    <sheetView view="pageBreakPreview" zoomScale="60" zoomScaleNormal="55" workbookViewId="0">
      <selection activeCell="E10" sqref="E10"/>
    </sheetView>
  </sheetViews>
  <sheetFormatPr defaultRowHeight="14.4" x14ac:dyDescent="0.3"/>
  <cols>
    <col min="1" max="1" width="5.88671875" style="53" bestFit="1" customWidth="1"/>
    <col min="2" max="2" width="38.44140625" style="123" customWidth="1"/>
    <col min="3" max="3" width="9.109375" style="53" customWidth="1"/>
    <col min="4" max="4" width="12.33203125" style="53" customWidth="1"/>
    <col min="5" max="5" width="13.5546875" style="53" customWidth="1"/>
    <col min="6" max="6" width="18.44140625" style="53" customWidth="1"/>
    <col min="7" max="7" width="8.44140625" style="126" customWidth="1"/>
    <col min="8" max="8" width="9.5546875" style="53" bestFit="1" customWidth="1"/>
    <col min="9" max="9" width="17.5546875" style="53" customWidth="1"/>
    <col min="10" max="10" width="14.33203125" style="53" bestFit="1" customWidth="1"/>
    <col min="11" max="253" width="8.88671875" style="53"/>
    <col min="254" max="254" width="5.88671875" style="53" bestFit="1" customWidth="1"/>
    <col min="255" max="255" width="36.109375" style="53" customWidth="1"/>
    <col min="256" max="256" width="6.33203125" style="53" customWidth="1"/>
    <col min="257" max="257" width="10" style="53" customWidth="1"/>
    <col min="258" max="258" width="13.5546875" style="53" customWidth="1"/>
    <col min="259" max="259" width="16.88671875" style="53" customWidth="1"/>
    <col min="260" max="260" width="8.44140625" style="53" customWidth="1"/>
    <col min="261" max="261" width="9.5546875" style="53" bestFit="1" customWidth="1"/>
    <col min="262" max="262" width="17.5546875" style="53" customWidth="1"/>
    <col min="263" max="263" width="11.109375" style="53" bestFit="1" customWidth="1"/>
    <col min="264" max="509" width="8.88671875" style="53"/>
    <col min="510" max="510" width="5.88671875" style="53" bestFit="1" customWidth="1"/>
    <col min="511" max="511" width="36.109375" style="53" customWidth="1"/>
    <col min="512" max="512" width="6.33203125" style="53" customWidth="1"/>
    <col min="513" max="513" width="10" style="53" customWidth="1"/>
    <col min="514" max="514" width="13.5546875" style="53" customWidth="1"/>
    <col min="515" max="515" width="16.88671875" style="53" customWidth="1"/>
    <col min="516" max="516" width="8.44140625" style="53" customWidth="1"/>
    <col min="517" max="517" width="9.5546875" style="53" bestFit="1" customWidth="1"/>
    <col min="518" max="518" width="17.5546875" style="53" customWidth="1"/>
    <col min="519" max="519" width="11.109375" style="53" bestFit="1" customWidth="1"/>
    <col min="520" max="765" width="8.88671875" style="53"/>
    <col min="766" max="766" width="5.88671875" style="53" bestFit="1" customWidth="1"/>
    <col min="767" max="767" width="36.109375" style="53" customWidth="1"/>
    <col min="768" max="768" width="6.33203125" style="53" customWidth="1"/>
    <col min="769" max="769" width="10" style="53" customWidth="1"/>
    <col min="770" max="770" width="13.5546875" style="53" customWidth="1"/>
    <col min="771" max="771" width="16.88671875" style="53" customWidth="1"/>
    <col min="772" max="772" width="8.44140625" style="53" customWidth="1"/>
    <col min="773" max="773" width="9.5546875" style="53" bestFit="1" customWidth="1"/>
    <col min="774" max="774" width="17.5546875" style="53" customWidth="1"/>
    <col min="775" max="775" width="11.109375" style="53" bestFit="1" customWidth="1"/>
    <col min="776" max="1021" width="8.88671875" style="53"/>
    <col min="1022" max="1022" width="5.88671875" style="53" bestFit="1" customWidth="1"/>
    <col min="1023" max="1023" width="36.109375" style="53" customWidth="1"/>
    <col min="1024" max="1024" width="6.33203125" style="53" customWidth="1"/>
    <col min="1025" max="1025" width="10" style="53" customWidth="1"/>
    <col min="1026" max="1026" width="13.5546875" style="53" customWidth="1"/>
    <col min="1027" max="1027" width="16.88671875" style="53" customWidth="1"/>
    <col min="1028" max="1028" width="8.44140625" style="53" customWidth="1"/>
    <col min="1029" max="1029" width="9.5546875" style="53" bestFit="1" customWidth="1"/>
    <col min="1030" max="1030" width="17.5546875" style="53" customWidth="1"/>
    <col min="1031" max="1031" width="11.109375" style="53" bestFit="1" customWidth="1"/>
    <col min="1032" max="1277" width="8.88671875" style="53"/>
    <col min="1278" max="1278" width="5.88671875" style="53" bestFit="1" customWidth="1"/>
    <col min="1279" max="1279" width="36.109375" style="53" customWidth="1"/>
    <col min="1280" max="1280" width="6.33203125" style="53" customWidth="1"/>
    <col min="1281" max="1281" width="10" style="53" customWidth="1"/>
    <col min="1282" max="1282" width="13.5546875" style="53" customWidth="1"/>
    <col min="1283" max="1283" width="16.88671875" style="53" customWidth="1"/>
    <col min="1284" max="1284" width="8.44140625" style="53" customWidth="1"/>
    <col min="1285" max="1285" width="9.5546875" style="53" bestFit="1" customWidth="1"/>
    <col min="1286" max="1286" width="17.5546875" style="53" customWidth="1"/>
    <col min="1287" max="1287" width="11.109375" style="53" bestFit="1" customWidth="1"/>
    <col min="1288" max="1533" width="8.88671875" style="53"/>
    <col min="1534" max="1534" width="5.88671875" style="53" bestFit="1" customWidth="1"/>
    <col min="1535" max="1535" width="36.109375" style="53" customWidth="1"/>
    <col min="1536" max="1536" width="6.33203125" style="53" customWidth="1"/>
    <col min="1537" max="1537" width="10" style="53" customWidth="1"/>
    <col min="1538" max="1538" width="13.5546875" style="53" customWidth="1"/>
    <col min="1539" max="1539" width="16.88671875" style="53" customWidth="1"/>
    <col min="1540" max="1540" width="8.44140625" style="53" customWidth="1"/>
    <col min="1541" max="1541" width="9.5546875" style="53" bestFit="1" customWidth="1"/>
    <col min="1542" max="1542" width="17.5546875" style="53" customWidth="1"/>
    <col min="1543" max="1543" width="11.109375" style="53" bestFit="1" customWidth="1"/>
    <col min="1544" max="1789" width="8.88671875" style="53"/>
    <col min="1790" max="1790" width="5.88671875" style="53" bestFit="1" customWidth="1"/>
    <col min="1791" max="1791" width="36.109375" style="53" customWidth="1"/>
    <col min="1792" max="1792" width="6.33203125" style="53" customWidth="1"/>
    <col min="1793" max="1793" width="10" style="53" customWidth="1"/>
    <col min="1794" max="1794" width="13.5546875" style="53" customWidth="1"/>
    <col min="1795" max="1795" width="16.88671875" style="53" customWidth="1"/>
    <col min="1796" max="1796" width="8.44140625" style="53" customWidth="1"/>
    <col min="1797" max="1797" width="9.5546875" style="53" bestFit="1" customWidth="1"/>
    <col min="1798" max="1798" width="17.5546875" style="53" customWidth="1"/>
    <col min="1799" max="1799" width="11.109375" style="53" bestFit="1" customWidth="1"/>
    <col min="1800" max="2045" width="8.88671875" style="53"/>
    <col min="2046" max="2046" width="5.88671875" style="53" bestFit="1" customWidth="1"/>
    <col min="2047" max="2047" width="36.109375" style="53" customWidth="1"/>
    <col min="2048" max="2048" width="6.33203125" style="53" customWidth="1"/>
    <col min="2049" max="2049" width="10" style="53" customWidth="1"/>
    <col min="2050" max="2050" width="13.5546875" style="53" customWidth="1"/>
    <col min="2051" max="2051" width="16.88671875" style="53" customWidth="1"/>
    <col min="2052" max="2052" width="8.44140625" style="53" customWidth="1"/>
    <col min="2053" max="2053" width="9.5546875" style="53" bestFit="1" customWidth="1"/>
    <col min="2054" max="2054" width="17.5546875" style="53" customWidth="1"/>
    <col min="2055" max="2055" width="11.109375" style="53" bestFit="1" customWidth="1"/>
    <col min="2056" max="2301" width="8.88671875" style="53"/>
    <col min="2302" max="2302" width="5.88671875" style="53" bestFit="1" customWidth="1"/>
    <col min="2303" max="2303" width="36.109375" style="53" customWidth="1"/>
    <col min="2304" max="2304" width="6.33203125" style="53" customWidth="1"/>
    <col min="2305" max="2305" width="10" style="53" customWidth="1"/>
    <col min="2306" max="2306" width="13.5546875" style="53" customWidth="1"/>
    <col min="2307" max="2307" width="16.88671875" style="53" customWidth="1"/>
    <col min="2308" max="2308" width="8.44140625" style="53" customWidth="1"/>
    <col min="2309" max="2309" width="9.5546875" style="53" bestFit="1" customWidth="1"/>
    <col min="2310" max="2310" width="17.5546875" style="53" customWidth="1"/>
    <col min="2311" max="2311" width="11.109375" style="53" bestFit="1" customWidth="1"/>
    <col min="2312" max="2557" width="8.88671875" style="53"/>
    <col min="2558" max="2558" width="5.88671875" style="53" bestFit="1" customWidth="1"/>
    <col min="2559" max="2559" width="36.109375" style="53" customWidth="1"/>
    <col min="2560" max="2560" width="6.33203125" style="53" customWidth="1"/>
    <col min="2561" max="2561" width="10" style="53" customWidth="1"/>
    <col min="2562" max="2562" width="13.5546875" style="53" customWidth="1"/>
    <col min="2563" max="2563" width="16.88671875" style="53" customWidth="1"/>
    <col min="2564" max="2564" width="8.44140625" style="53" customWidth="1"/>
    <col min="2565" max="2565" width="9.5546875" style="53" bestFit="1" customWidth="1"/>
    <col min="2566" max="2566" width="17.5546875" style="53" customWidth="1"/>
    <col min="2567" max="2567" width="11.109375" style="53" bestFit="1" customWidth="1"/>
    <col min="2568" max="2813" width="8.88671875" style="53"/>
    <col min="2814" max="2814" width="5.88671875" style="53" bestFit="1" customWidth="1"/>
    <col min="2815" max="2815" width="36.109375" style="53" customWidth="1"/>
    <col min="2816" max="2816" width="6.33203125" style="53" customWidth="1"/>
    <col min="2817" max="2817" width="10" style="53" customWidth="1"/>
    <col min="2818" max="2818" width="13.5546875" style="53" customWidth="1"/>
    <col min="2819" max="2819" width="16.88671875" style="53" customWidth="1"/>
    <col min="2820" max="2820" width="8.44140625" style="53" customWidth="1"/>
    <col min="2821" max="2821" width="9.5546875" style="53" bestFit="1" customWidth="1"/>
    <col min="2822" max="2822" width="17.5546875" style="53" customWidth="1"/>
    <col min="2823" max="2823" width="11.109375" style="53" bestFit="1" customWidth="1"/>
    <col min="2824" max="3069" width="8.88671875" style="53"/>
    <col min="3070" max="3070" width="5.88671875" style="53" bestFit="1" customWidth="1"/>
    <col min="3071" max="3071" width="36.109375" style="53" customWidth="1"/>
    <col min="3072" max="3072" width="6.33203125" style="53" customWidth="1"/>
    <col min="3073" max="3073" width="10" style="53" customWidth="1"/>
    <col min="3074" max="3074" width="13.5546875" style="53" customWidth="1"/>
    <col min="3075" max="3075" width="16.88671875" style="53" customWidth="1"/>
    <col min="3076" max="3076" width="8.44140625" style="53" customWidth="1"/>
    <col min="3077" max="3077" width="9.5546875" style="53" bestFit="1" customWidth="1"/>
    <col min="3078" max="3078" width="17.5546875" style="53" customWidth="1"/>
    <col min="3079" max="3079" width="11.109375" style="53" bestFit="1" customWidth="1"/>
    <col min="3080" max="3325" width="8.88671875" style="53"/>
    <col min="3326" max="3326" width="5.88671875" style="53" bestFit="1" customWidth="1"/>
    <col min="3327" max="3327" width="36.109375" style="53" customWidth="1"/>
    <col min="3328" max="3328" width="6.33203125" style="53" customWidth="1"/>
    <col min="3329" max="3329" width="10" style="53" customWidth="1"/>
    <col min="3330" max="3330" width="13.5546875" style="53" customWidth="1"/>
    <col min="3331" max="3331" width="16.88671875" style="53" customWidth="1"/>
    <col min="3332" max="3332" width="8.44140625" style="53" customWidth="1"/>
    <col min="3333" max="3333" width="9.5546875" style="53" bestFit="1" customWidth="1"/>
    <col min="3334" max="3334" width="17.5546875" style="53" customWidth="1"/>
    <col min="3335" max="3335" width="11.109375" style="53" bestFit="1" customWidth="1"/>
    <col min="3336" max="3581" width="8.88671875" style="53"/>
    <col min="3582" max="3582" width="5.88671875" style="53" bestFit="1" customWidth="1"/>
    <col min="3583" max="3583" width="36.109375" style="53" customWidth="1"/>
    <col min="3584" max="3584" width="6.33203125" style="53" customWidth="1"/>
    <col min="3585" max="3585" width="10" style="53" customWidth="1"/>
    <col min="3586" max="3586" width="13.5546875" style="53" customWidth="1"/>
    <col min="3587" max="3587" width="16.88671875" style="53" customWidth="1"/>
    <col min="3588" max="3588" width="8.44140625" style="53" customWidth="1"/>
    <col min="3589" max="3589" width="9.5546875" style="53" bestFit="1" customWidth="1"/>
    <col min="3590" max="3590" width="17.5546875" style="53" customWidth="1"/>
    <col min="3591" max="3591" width="11.109375" style="53" bestFit="1" customWidth="1"/>
    <col min="3592" max="3837" width="8.88671875" style="53"/>
    <col min="3838" max="3838" width="5.88671875" style="53" bestFit="1" customWidth="1"/>
    <col min="3839" max="3839" width="36.109375" style="53" customWidth="1"/>
    <col min="3840" max="3840" width="6.33203125" style="53" customWidth="1"/>
    <col min="3841" max="3841" width="10" style="53" customWidth="1"/>
    <col min="3842" max="3842" width="13.5546875" style="53" customWidth="1"/>
    <col min="3843" max="3843" width="16.88671875" style="53" customWidth="1"/>
    <col min="3844" max="3844" width="8.44140625" style="53" customWidth="1"/>
    <col min="3845" max="3845" width="9.5546875" style="53" bestFit="1" customWidth="1"/>
    <col min="3846" max="3846" width="17.5546875" style="53" customWidth="1"/>
    <col min="3847" max="3847" width="11.109375" style="53" bestFit="1" customWidth="1"/>
    <col min="3848" max="4093" width="8.88671875" style="53"/>
    <col min="4094" max="4094" width="5.88671875" style="53" bestFit="1" customWidth="1"/>
    <col min="4095" max="4095" width="36.109375" style="53" customWidth="1"/>
    <col min="4096" max="4096" width="6.33203125" style="53" customWidth="1"/>
    <col min="4097" max="4097" width="10" style="53" customWidth="1"/>
    <col min="4098" max="4098" width="13.5546875" style="53" customWidth="1"/>
    <col min="4099" max="4099" width="16.88671875" style="53" customWidth="1"/>
    <col min="4100" max="4100" width="8.44140625" style="53" customWidth="1"/>
    <col min="4101" max="4101" width="9.5546875" style="53" bestFit="1" customWidth="1"/>
    <col min="4102" max="4102" width="17.5546875" style="53" customWidth="1"/>
    <col min="4103" max="4103" width="11.109375" style="53" bestFit="1" customWidth="1"/>
    <col min="4104" max="4349" width="8.88671875" style="53"/>
    <col min="4350" max="4350" width="5.88671875" style="53" bestFit="1" customWidth="1"/>
    <col min="4351" max="4351" width="36.109375" style="53" customWidth="1"/>
    <col min="4352" max="4352" width="6.33203125" style="53" customWidth="1"/>
    <col min="4353" max="4353" width="10" style="53" customWidth="1"/>
    <col min="4354" max="4354" width="13.5546875" style="53" customWidth="1"/>
    <col min="4355" max="4355" width="16.88671875" style="53" customWidth="1"/>
    <col min="4356" max="4356" width="8.44140625" style="53" customWidth="1"/>
    <col min="4357" max="4357" width="9.5546875" style="53" bestFit="1" customWidth="1"/>
    <col min="4358" max="4358" width="17.5546875" style="53" customWidth="1"/>
    <col min="4359" max="4359" width="11.109375" style="53" bestFit="1" customWidth="1"/>
    <col min="4360" max="4605" width="8.88671875" style="53"/>
    <col min="4606" max="4606" width="5.88671875" style="53" bestFit="1" customWidth="1"/>
    <col min="4607" max="4607" width="36.109375" style="53" customWidth="1"/>
    <col min="4608" max="4608" width="6.33203125" style="53" customWidth="1"/>
    <col min="4609" max="4609" width="10" style="53" customWidth="1"/>
    <col min="4610" max="4610" width="13.5546875" style="53" customWidth="1"/>
    <col min="4611" max="4611" width="16.88671875" style="53" customWidth="1"/>
    <col min="4612" max="4612" width="8.44140625" style="53" customWidth="1"/>
    <col min="4613" max="4613" width="9.5546875" style="53" bestFit="1" customWidth="1"/>
    <col min="4614" max="4614" width="17.5546875" style="53" customWidth="1"/>
    <col min="4615" max="4615" width="11.109375" style="53" bestFit="1" customWidth="1"/>
    <col min="4616" max="4861" width="8.88671875" style="53"/>
    <col min="4862" max="4862" width="5.88671875" style="53" bestFit="1" customWidth="1"/>
    <col min="4863" max="4863" width="36.109375" style="53" customWidth="1"/>
    <col min="4864" max="4864" width="6.33203125" style="53" customWidth="1"/>
    <col min="4865" max="4865" width="10" style="53" customWidth="1"/>
    <col min="4866" max="4866" width="13.5546875" style="53" customWidth="1"/>
    <col min="4867" max="4867" width="16.88671875" style="53" customWidth="1"/>
    <col min="4868" max="4868" width="8.44140625" style="53" customWidth="1"/>
    <col min="4869" max="4869" width="9.5546875" style="53" bestFit="1" customWidth="1"/>
    <col min="4870" max="4870" width="17.5546875" style="53" customWidth="1"/>
    <col min="4871" max="4871" width="11.109375" style="53" bestFit="1" customWidth="1"/>
    <col min="4872" max="5117" width="8.88671875" style="53"/>
    <col min="5118" max="5118" width="5.88671875" style="53" bestFit="1" customWidth="1"/>
    <col min="5119" max="5119" width="36.109375" style="53" customWidth="1"/>
    <col min="5120" max="5120" width="6.33203125" style="53" customWidth="1"/>
    <col min="5121" max="5121" width="10" style="53" customWidth="1"/>
    <col min="5122" max="5122" width="13.5546875" style="53" customWidth="1"/>
    <col min="5123" max="5123" width="16.88671875" style="53" customWidth="1"/>
    <col min="5124" max="5124" width="8.44140625" style="53" customWidth="1"/>
    <col min="5125" max="5125" width="9.5546875" style="53" bestFit="1" customWidth="1"/>
    <col min="5126" max="5126" width="17.5546875" style="53" customWidth="1"/>
    <col min="5127" max="5127" width="11.109375" style="53" bestFit="1" customWidth="1"/>
    <col min="5128" max="5373" width="8.88671875" style="53"/>
    <col min="5374" max="5374" width="5.88671875" style="53" bestFit="1" customWidth="1"/>
    <col min="5375" max="5375" width="36.109375" style="53" customWidth="1"/>
    <col min="5376" max="5376" width="6.33203125" style="53" customWidth="1"/>
    <col min="5377" max="5377" width="10" style="53" customWidth="1"/>
    <col min="5378" max="5378" width="13.5546875" style="53" customWidth="1"/>
    <col min="5379" max="5379" width="16.88671875" style="53" customWidth="1"/>
    <col min="5380" max="5380" width="8.44140625" style="53" customWidth="1"/>
    <col min="5381" max="5381" width="9.5546875" style="53" bestFit="1" customWidth="1"/>
    <col min="5382" max="5382" width="17.5546875" style="53" customWidth="1"/>
    <col min="5383" max="5383" width="11.109375" style="53" bestFit="1" customWidth="1"/>
    <col min="5384" max="5629" width="8.88671875" style="53"/>
    <col min="5630" max="5630" width="5.88671875" style="53" bestFit="1" customWidth="1"/>
    <col min="5631" max="5631" width="36.109375" style="53" customWidth="1"/>
    <col min="5632" max="5632" width="6.33203125" style="53" customWidth="1"/>
    <col min="5633" max="5633" width="10" style="53" customWidth="1"/>
    <col min="5634" max="5634" width="13.5546875" style="53" customWidth="1"/>
    <col min="5635" max="5635" width="16.88671875" style="53" customWidth="1"/>
    <col min="5636" max="5636" width="8.44140625" style="53" customWidth="1"/>
    <col min="5637" max="5637" width="9.5546875" style="53" bestFit="1" customWidth="1"/>
    <col min="5638" max="5638" width="17.5546875" style="53" customWidth="1"/>
    <col min="5639" max="5639" width="11.109375" style="53" bestFit="1" customWidth="1"/>
    <col min="5640" max="5885" width="8.88671875" style="53"/>
    <col min="5886" max="5886" width="5.88671875" style="53" bestFit="1" customWidth="1"/>
    <col min="5887" max="5887" width="36.109375" style="53" customWidth="1"/>
    <col min="5888" max="5888" width="6.33203125" style="53" customWidth="1"/>
    <col min="5889" max="5889" width="10" style="53" customWidth="1"/>
    <col min="5890" max="5890" width="13.5546875" style="53" customWidth="1"/>
    <col min="5891" max="5891" width="16.88671875" style="53" customWidth="1"/>
    <col min="5892" max="5892" width="8.44140625" style="53" customWidth="1"/>
    <col min="5893" max="5893" width="9.5546875" style="53" bestFit="1" customWidth="1"/>
    <col min="5894" max="5894" width="17.5546875" style="53" customWidth="1"/>
    <col min="5895" max="5895" width="11.109375" style="53" bestFit="1" customWidth="1"/>
    <col min="5896" max="6141" width="8.88671875" style="53"/>
    <col min="6142" max="6142" width="5.88671875" style="53" bestFit="1" customWidth="1"/>
    <col min="6143" max="6143" width="36.109375" style="53" customWidth="1"/>
    <col min="6144" max="6144" width="6.33203125" style="53" customWidth="1"/>
    <col min="6145" max="6145" width="10" style="53" customWidth="1"/>
    <col min="6146" max="6146" width="13.5546875" style="53" customWidth="1"/>
    <col min="6147" max="6147" width="16.88671875" style="53" customWidth="1"/>
    <col min="6148" max="6148" width="8.44140625" style="53" customWidth="1"/>
    <col min="6149" max="6149" width="9.5546875" style="53" bestFit="1" customWidth="1"/>
    <col min="6150" max="6150" width="17.5546875" style="53" customWidth="1"/>
    <col min="6151" max="6151" width="11.109375" style="53" bestFit="1" customWidth="1"/>
    <col min="6152" max="6397" width="8.88671875" style="53"/>
    <col min="6398" max="6398" width="5.88671875" style="53" bestFit="1" customWidth="1"/>
    <col min="6399" max="6399" width="36.109375" style="53" customWidth="1"/>
    <col min="6400" max="6400" width="6.33203125" style="53" customWidth="1"/>
    <col min="6401" max="6401" width="10" style="53" customWidth="1"/>
    <col min="6402" max="6402" width="13.5546875" style="53" customWidth="1"/>
    <col min="6403" max="6403" width="16.88671875" style="53" customWidth="1"/>
    <col min="6404" max="6404" width="8.44140625" style="53" customWidth="1"/>
    <col min="6405" max="6405" width="9.5546875" style="53" bestFit="1" customWidth="1"/>
    <col min="6406" max="6406" width="17.5546875" style="53" customWidth="1"/>
    <col min="6407" max="6407" width="11.109375" style="53" bestFit="1" customWidth="1"/>
    <col min="6408" max="6653" width="8.88671875" style="53"/>
    <col min="6654" max="6654" width="5.88671875" style="53" bestFit="1" customWidth="1"/>
    <col min="6655" max="6655" width="36.109375" style="53" customWidth="1"/>
    <col min="6656" max="6656" width="6.33203125" style="53" customWidth="1"/>
    <col min="6657" max="6657" width="10" style="53" customWidth="1"/>
    <col min="6658" max="6658" width="13.5546875" style="53" customWidth="1"/>
    <col min="6659" max="6659" width="16.88671875" style="53" customWidth="1"/>
    <col min="6660" max="6660" width="8.44140625" style="53" customWidth="1"/>
    <col min="6661" max="6661" width="9.5546875" style="53" bestFit="1" customWidth="1"/>
    <col min="6662" max="6662" width="17.5546875" style="53" customWidth="1"/>
    <col min="6663" max="6663" width="11.109375" style="53" bestFit="1" customWidth="1"/>
    <col min="6664" max="6909" width="8.88671875" style="53"/>
    <col min="6910" max="6910" width="5.88671875" style="53" bestFit="1" customWidth="1"/>
    <col min="6911" max="6911" width="36.109375" style="53" customWidth="1"/>
    <col min="6912" max="6912" width="6.33203125" style="53" customWidth="1"/>
    <col min="6913" max="6913" width="10" style="53" customWidth="1"/>
    <col min="6914" max="6914" width="13.5546875" style="53" customWidth="1"/>
    <col min="6915" max="6915" width="16.88671875" style="53" customWidth="1"/>
    <col min="6916" max="6916" width="8.44140625" style="53" customWidth="1"/>
    <col min="6917" max="6917" width="9.5546875" style="53" bestFit="1" customWidth="1"/>
    <col min="6918" max="6918" width="17.5546875" style="53" customWidth="1"/>
    <col min="6919" max="6919" width="11.109375" style="53" bestFit="1" customWidth="1"/>
    <col min="6920" max="7165" width="8.88671875" style="53"/>
    <col min="7166" max="7166" width="5.88671875" style="53" bestFit="1" customWidth="1"/>
    <col min="7167" max="7167" width="36.109375" style="53" customWidth="1"/>
    <col min="7168" max="7168" width="6.33203125" style="53" customWidth="1"/>
    <col min="7169" max="7169" width="10" style="53" customWidth="1"/>
    <col min="7170" max="7170" width="13.5546875" style="53" customWidth="1"/>
    <col min="7171" max="7171" width="16.88671875" style="53" customWidth="1"/>
    <col min="7172" max="7172" width="8.44140625" style="53" customWidth="1"/>
    <col min="7173" max="7173" width="9.5546875" style="53" bestFit="1" customWidth="1"/>
    <col min="7174" max="7174" width="17.5546875" style="53" customWidth="1"/>
    <col min="7175" max="7175" width="11.109375" style="53" bestFit="1" customWidth="1"/>
    <col min="7176" max="7421" width="8.88671875" style="53"/>
    <col min="7422" max="7422" width="5.88671875" style="53" bestFit="1" customWidth="1"/>
    <col min="7423" max="7423" width="36.109375" style="53" customWidth="1"/>
    <col min="7424" max="7424" width="6.33203125" style="53" customWidth="1"/>
    <col min="7425" max="7425" width="10" style="53" customWidth="1"/>
    <col min="7426" max="7426" width="13.5546875" style="53" customWidth="1"/>
    <col min="7427" max="7427" width="16.88671875" style="53" customWidth="1"/>
    <col min="7428" max="7428" width="8.44140625" style="53" customWidth="1"/>
    <col min="7429" max="7429" width="9.5546875" style="53" bestFit="1" customWidth="1"/>
    <col min="7430" max="7430" width="17.5546875" style="53" customWidth="1"/>
    <col min="7431" max="7431" width="11.109375" style="53" bestFit="1" customWidth="1"/>
    <col min="7432" max="7677" width="8.88671875" style="53"/>
    <col min="7678" max="7678" width="5.88671875" style="53" bestFit="1" customWidth="1"/>
    <col min="7679" max="7679" width="36.109375" style="53" customWidth="1"/>
    <col min="7680" max="7680" width="6.33203125" style="53" customWidth="1"/>
    <col min="7681" max="7681" width="10" style="53" customWidth="1"/>
    <col min="7682" max="7682" width="13.5546875" style="53" customWidth="1"/>
    <col min="7683" max="7683" width="16.88671875" style="53" customWidth="1"/>
    <col min="7684" max="7684" width="8.44140625" style="53" customWidth="1"/>
    <col min="7685" max="7685" width="9.5546875" style="53" bestFit="1" customWidth="1"/>
    <col min="7686" max="7686" width="17.5546875" style="53" customWidth="1"/>
    <col min="7687" max="7687" width="11.109375" style="53" bestFit="1" customWidth="1"/>
    <col min="7688" max="7933" width="8.88671875" style="53"/>
    <col min="7934" max="7934" width="5.88671875" style="53" bestFit="1" customWidth="1"/>
    <col min="7935" max="7935" width="36.109375" style="53" customWidth="1"/>
    <col min="7936" max="7936" width="6.33203125" style="53" customWidth="1"/>
    <col min="7937" max="7937" width="10" style="53" customWidth="1"/>
    <col min="7938" max="7938" width="13.5546875" style="53" customWidth="1"/>
    <col min="7939" max="7939" width="16.88671875" style="53" customWidth="1"/>
    <col min="7940" max="7940" width="8.44140625" style="53" customWidth="1"/>
    <col min="7941" max="7941" width="9.5546875" style="53" bestFit="1" customWidth="1"/>
    <col min="7942" max="7942" width="17.5546875" style="53" customWidth="1"/>
    <col min="7943" max="7943" width="11.109375" style="53" bestFit="1" customWidth="1"/>
    <col min="7944" max="8189" width="8.88671875" style="53"/>
    <col min="8190" max="8190" width="5.88671875" style="53" bestFit="1" customWidth="1"/>
    <col min="8191" max="8191" width="36.109375" style="53" customWidth="1"/>
    <col min="8192" max="8192" width="6.33203125" style="53" customWidth="1"/>
    <col min="8193" max="8193" width="10" style="53" customWidth="1"/>
    <col min="8194" max="8194" width="13.5546875" style="53" customWidth="1"/>
    <col min="8195" max="8195" width="16.88671875" style="53" customWidth="1"/>
    <col min="8196" max="8196" width="8.44140625" style="53" customWidth="1"/>
    <col min="8197" max="8197" width="9.5546875" style="53" bestFit="1" customWidth="1"/>
    <col min="8198" max="8198" width="17.5546875" style="53" customWidth="1"/>
    <col min="8199" max="8199" width="11.109375" style="53" bestFit="1" customWidth="1"/>
    <col min="8200" max="8445" width="8.88671875" style="53"/>
    <col min="8446" max="8446" width="5.88671875" style="53" bestFit="1" customWidth="1"/>
    <col min="8447" max="8447" width="36.109375" style="53" customWidth="1"/>
    <col min="8448" max="8448" width="6.33203125" style="53" customWidth="1"/>
    <col min="8449" max="8449" width="10" style="53" customWidth="1"/>
    <col min="8450" max="8450" width="13.5546875" style="53" customWidth="1"/>
    <col min="8451" max="8451" width="16.88671875" style="53" customWidth="1"/>
    <col min="8452" max="8452" width="8.44140625" style="53" customWidth="1"/>
    <col min="8453" max="8453" width="9.5546875" style="53" bestFit="1" customWidth="1"/>
    <col min="8454" max="8454" width="17.5546875" style="53" customWidth="1"/>
    <col min="8455" max="8455" width="11.109375" style="53" bestFit="1" customWidth="1"/>
    <col min="8456" max="8701" width="8.88671875" style="53"/>
    <col min="8702" max="8702" width="5.88671875" style="53" bestFit="1" customWidth="1"/>
    <col min="8703" max="8703" width="36.109375" style="53" customWidth="1"/>
    <col min="8704" max="8704" width="6.33203125" style="53" customWidth="1"/>
    <col min="8705" max="8705" width="10" style="53" customWidth="1"/>
    <col min="8706" max="8706" width="13.5546875" style="53" customWidth="1"/>
    <col min="8707" max="8707" width="16.88671875" style="53" customWidth="1"/>
    <col min="8708" max="8708" width="8.44140625" style="53" customWidth="1"/>
    <col min="8709" max="8709" width="9.5546875" style="53" bestFit="1" customWidth="1"/>
    <col min="8710" max="8710" width="17.5546875" style="53" customWidth="1"/>
    <col min="8711" max="8711" width="11.109375" style="53" bestFit="1" customWidth="1"/>
    <col min="8712" max="8957" width="8.88671875" style="53"/>
    <col min="8958" max="8958" width="5.88671875" style="53" bestFit="1" customWidth="1"/>
    <col min="8959" max="8959" width="36.109375" style="53" customWidth="1"/>
    <col min="8960" max="8960" width="6.33203125" style="53" customWidth="1"/>
    <col min="8961" max="8961" width="10" style="53" customWidth="1"/>
    <col min="8962" max="8962" width="13.5546875" style="53" customWidth="1"/>
    <col min="8963" max="8963" width="16.88671875" style="53" customWidth="1"/>
    <col min="8964" max="8964" width="8.44140625" style="53" customWidth="1"/>
    <col min="8965" max="8965" width="9.5546875" style="53" bestFit="1" customWidth="1"/>
    <col min="8966" max="8966" width="17.5546875" style="53" customWidth="1"/>
    <col min="8967" max="8967" width="11.109375" style="53" bestFit="1" customWidth="1"/>
    <col min="8968" max="9213" width="8.88671875" style="53"/>
    <col min="9214" max="9214" width="5.88671875" style="53" bestFit="1" customWidth="1"/>
    <col min="9215" max="9215" width="36.109375" style="53" customWidth="1"/>
    <col min="9216" max="9216" width="6.33203125" style="53" customWidth="1"/>
    <col min="9217" max="9217" width="10" style="53" customWidth="1"/>
    <col min="9218" max="9218" width="13.5546875" style="53" customWidth="1"/>
    <col min="9219" max="9219" width="16.88671875" style="53" customWidth="1"/>
    <col min="9220" max="9220" width="8.44140625" style="53" customWidth="1"/>
    <col min="9221" max="9221" width="9.5546875" style="53" bestFit="1" customWidth="1"/>
    <col min="9222" max="9222" width="17.5546875" style="53" customWidth="1"/>
    <col min="9223" max="9223" width="11.109375" style="53" bestFit="1" customWidth="1"/>
    <col min="9224" max="9469" width="8.88671875" style="53"/>
    <col min="9470" max="9470" width="5.88671875" style="53" bestFit="1" customWidth="1"/>
    <col min="9471" max="9471" width="36.109375" style="53" customWidth="1"/>
    <col min="9472" max="9472" width="6.33203125" style="53" customWidth="1"/>
    <col min="9473" max="9473" width="10" style="53" customWidth="1"/>
    <col min="9474" max="9474" width="13.5546875" style="53" customWidth="1"/>
    <col min="9475" max="9475" width="16.88671875" style="53" customWidth="1"/>
    <col min="9476" max="9476" width="8.44140625" style="53" customWidth="1"/>
    <col min="9477" max="9477" width="9.5546875" style="53" bestFit="1" customWidth="1"/>
    <col min="9478" max="9478" width="17.5546875" style="53" customWidth="1"/>
    <col min="9479" max="9479" width="11.109375" style="53" bestFit="1" customWidth="1"/>
    <col min="9480" max="9725" width="8.88671875" style="53"/>
    <col min="9726" max="9726" width="5.88671875" style="53" bestFit="1" customWidth="1"/>
    <col min="9727" max="9727" width="36.109375" style="53" customWidth="1"/>
    <col min="9728" max="9728" width="6.33203125" style="53" customWidth="1"/>
    <col min="9729" max="9729" width="10" style="53" customWidth="1"/>
    <col min="9730" max="9730" width="13.5546875" style="53" customWidth="1"/>
    <col min="9731" max="9731" width="16.88671875" style="53" customWidth="1"/>
    <col min="9732" max="9732" width="8.44140625" style="53" customWidth="1"/>
    <col min="9733" max="9733" width="9.5546875" style="53" bestFit="1" customWidth="1"/>
    <col min="9734" max="9734" width="17.5546875" style="53" customWidth="1"/>
    <col min="9735" max="9735" width="11.109375" style="53" bestFit="1" customWidth="1"/>
    <col min="9736" max="9981" width="8.88671875" style="53"/>
    <col min="9982" max="9982" width="5.88671875" style="53" bestFit="1" customWidth="1"/>
    <col min="9983" max="9983" width="36.109375" style="53" customWidth="1"/>
    <col min="9984" max="9984" width="6.33203125" style="53" customWidth="1"/>
    <col min="9985" max="9985" width="10" style="53" customWidth="1"/>
    <col min="9986" max="9986" width="13.5546875" style="53" customWidth="1"/>
    <col min="9987" max="9987" width="16.88671875" style="53" customWidth="1"/>
    <col min="9988" max="9988" width="8.44140625" style="53" customWidth="1"/>
    <col min="9989" max="9989" width="9.5546875" style="53" bestFit="1" customWidth="1"/>
    <col min="9990" max="9990" width="17.5546875" style="53" customWidth="1"/>
    <col min="9991" max="9991" width="11.109375" style="53" bestFit="1" customWidth="1"/>
    <col min="9992" max="10237" width="8.88671875" style="53"/>
    <col min="10238" max="10238" width="5.88671875" style="53" bestFit="1" customWidth="1"/>
    <col min="10239" max="10239" width="36.109375" style="53" customWidth="1"/>
    <col min="10240" max="10240" width="6.33203125" style="53" customWidth="1"/>
    <col min="10241" max="10241" width="10" style="53" customWidth="1"/>
    <col min="10242" max="10242" width="13.5546875" style="53" customWidth="1"/>
    <col min="10243" max="10243" width="16.88671875" style="53" customWidth="1"/>
    <col min="10244" max="10244" width="8.44140625" style="53" customWidth="1"/>
    <col min="10245" max="10245" width="9.5546875" style="53" bestFit="1" customWidth="1"/>
    <col min="10246" max="10246" width="17.5546875" style="53" customWidth="1"/>
    <col min="10247" max="10247" width="11.109375" style="53" bestFit="1" customWidth="1"/>
    <col min="10248" max="10493" width="8.88671875" style="53"/>
    <col min="10494" max="10494" width="5.88671875" style="53" bestFit="1" customWidth="1"/>
    <col min="10495" max="10495" width="36.109375" style="53" customWidth="1"/>
    <col min="10496" max="10496" width="6.33203125" style="53" customWidth="1"/>
    <col min="10497" max="10497" width="10" style="53" customWidth="1"/>
    <col min="10498" max="10498" width="13.5546875" style="53" customWidth="1"/>
    <col min="10499" max="10499" width="16.88671875" style="53" customWidth="1"/>
    <col min="10500" max="10500" width="8.44140625" style="53" customWidth="1"/>
    <col min="10501" max="10501" width="9.5546875" style="53" bestFit="1" customWidth="1"/>
    <col min="10502" max="10502" width="17.5546875" style="53" customWidth="1"/>
    <col min="10503" max="10503" width="11.109375" style="53" bestFit="1" customWidth="1"/>
    <col min="10504" max="10749" width="8.88671875" style="53"/>
    <col min="10750" max="10750" width="5.88671875" style="53" bestFit="1" customWidth="1"/>
    <col min="10751" max="10751" width="36.109375" style="53" customWidth="1"/>
    <col min="10752" max="10752" width="6.33203125" style="53" customWidth="1"/>
    <col min="10753" max="10753" width="10" style="53" customWidth="1"/>
    <col min="10754" max="10754" width="13.5546875" style="53" customWidth="1"/>
    <col min="10755" max="10755" width="16.88671875" style="53" customWidth="1"/>
    <col min="10756" max="10756" width="8.44140625" style="53" customWidth="1"/>
    <col min="10757" max="10757" width="9.5546875" style="53" bestFit="1" customWidth="1"/>
    <col min="10758" max="10758" width="17.5546875" style="53" customWidth="1"/>
    <col min="10759" max="10759" width="11.109375" style="53" bestFit="1" customWidth="1"/>
    <col min="10760" max="11005" width="8.88671875" style="53"/>
    <col min="11006" max="11006" width="5.88671875" style="53" bestFit="1" customWidth="1"/>
    <col min="11007" max="11007" width="36.109375" style="53" customWidth="1"/>
    <col min="11008" max="11008" width="6.33203125" style="53" customWidth="1"/>
    <col min="11009" max="11009" width="10" style="53" customWidth="1"/>
    <col min="11010" max="11010" width="13.5546875" style="53" customWidth="1"/>
    <col min="11011" max="11011" width="16.88671875" style="53" customWidth="1"/>
    <col min="11012" max="11012" width="8.44140625" style="53" customWidth="1"/>
    <col min="11013" max="11013" width="9.5546875" style="53" bestFit="1" customWidth="1"/>
    <col min="11014" max="11014" width="17.5546875" style="53" customWidth="1"/>
    <col min="11015" max="11015" width="11.109375" style="53" bestFit="1" customWidth="1"/>
    <col min="11016" max="11261" width="8.88671875" style="53"/>
    <col min="11262" max="11262" width="5.88671875" style="53" bestFit="1" customWidth="1"/>
    <col min="11263" max="11263" width="36.109375" style="53" customWidth="1"/>
    <col min="11264" max="11264" width="6.33203125" style="53" customWidth="1"/>
    <col min="11265" max="11265" width="10" style="53" customWidth="1"/>
    <col min="11266" max="11266" width="13.5546875" style="53" customWidth="1"/>
    <col min="11267" max="11267" width="16.88671875" style="53" customWidth="1"/>
    <col min="11268" max="11268" width="8.44140625" style="53" customWidth="1"/>
    <col min="11269" max="11269" width="9.5546875" style="53" bestFit="1" customWidth="1"/>
    <col min="11270" max="11270" width="17.5546875" style="53" customWidth="1"/>
    <col min="11271" max="11271" width="11.109375" style="53" bestFit="1" customWidth="1"/>
    <col min="11272" max="11517" width="8.88671875" style="53"/>
    <col min="11518" max="11518" width="5.88671875" style="53" bestFit="1" customWidth="1"/>
    <col min="11519" max="11519" width="36.109375" style="53" customWidth="1"/>
    <col min="11520" max="11520" width="6.33203125" style="53" customWidth="1"/>
    <col min="11521" max="11521" width="10" style="53" customWidth="1"/>
    <col min="11522" max="11522" width="13.5546875" style="53" customWidth="1"/>
    <col min="11523" max="11523" width="16.88671875" style="53" customWidth="1"/>
    <col min="11524" max="11524" width="8.44140625" style="53" customWidth="1"/>
    <col min="11525" max="11525" width="9.5546875" style="53" bestFit="1" customWidth="1"/>
    <col min="11526" max="11526" width="17.5546875" style="53" customWidth="1"/>
    <col min="11527" max="11527" width="11.109375" style="53" bestFit="1" customWidth="1"/>
    <col min="11528" max="11773" width="8.88671875" style="53"/>
    <col min="11774" max="11774" width="5.88671875" style="53" bestFit="1" customWidth="1"/>
    <col min="11775" max="11775" width="36.109375" style="53" customWidth="1"/>
    <col min="11776" max="11776" width="6.33203125" style="53" customWidth="1"/>
    <col min="11777" max="11777" width="10" style="53" customWidth="1"/>
    <col min="11778" max="11778" width="13.5546875" style="53" customWidth="1"/>
    <col min="11779" max="11779" width="16.88671875" style="53" customWidth="1"/>
    <col min="11780" max="11780" width="8.44140625" style="53" customWidth="1"/>
    <col min="11781" max="11781" width="9.5546875" style="53" bestFit="1" customWidth="1"/>
    <col min="11782" max="11782" width="17.5546875" style="53" customWidth="1"/>
    <col min="11783" max="11783" width="11.109375" style="53" bestFit="1" customWidth="1"/>
    <col min="11784" max="12029" width="8.88671875" style="53"/>
    <col min="12030" max="12030" width="5.88671875" style="53" bestFit="1" customWidth="1"/>
    <col min="12031" max="12031" width="36.109375" style="53" customWidth="1"/>
    <col min="12032" max="12032" width="6.33203125" style="53" customWidth="1"/>
    <col min="12033" max="12033" width="10" style="53" customWidth="1"/>
    <col min="12034" max="12034" width="13.5546875" style="53" customWidth="1"/>
    <col min="12035" max="12035" width="16.88671875" style="53" customWidth="1"/>
    <col min="12036" max="12036" width="8.44140625" style="53" customWidth="1"/>
    <col min="12037" max="12037" width="9.5546875" style="53" bestFit="1" customWidth="1"/>
    <col min="12038" max="12038" width="17.5546875" style="53" customWidth="1"/>
    <col min="12039" max="12039" width="11.109375" style="53" bestFit="1" customWidth="1"/>
    <col min="12040" max="12285" width="8.88671875" style="53"/>
    <col min="12286" max="12286" width="5.88671875" style="53" bestFit="1" customWidth="1"/>
    <col min="12287" max="12287" width="36.109375" style="53" customWidth="1"/>
    <col min="12288" max="12288" width="6.33203125" style="53" customWidth="1"/>
    <col min="12289" max="12289" width="10" style="53" customWidth="1"/>
    <col min="12290" max="12290" width="13.5546875" style="53" customWidth="1"/>
    <col min="12291" max="12291" width="16.88671875" style="53" customWidth="1"/>
    <col min="12292" max="12292" width="8.44140625" style="53" customWidth="1"/>
    <col min="12293" max="12293" width="9.5546875" style="53" bestFit="1" customWidth="1"/>
    <col min="12294" max="12294" width="17.5546875" style="53" customWidth="1"/>
    <col min="12295" max="12295" width="11.109375" style="53" bestFit="1" customWidth="1"/>
    <col min="12296" max="12541" width="8.88671875" style="53"/>
    <col min="12542" max="12542" width="5.88671875" style="53" bestFit="1" customWidth="1"/>
    <col min="12543" max="12543" width="36.109375" style="53" customWidth="1"/>
    <col min="12544" max="12544" width="6.33203125" style="53" customWidth="1"/>
    <col min="12545" max="12545" width="10" style="53" customWidth="1"/>
    <col min="12546" max="12546" width="13.5546875" style="53" customWidth="1"/>
    <col min="12547" max="12547" width="16.88671875" style="53" customWidth="1"/>
    <col min="12548" max="12548" width="8.44140625" style="53" customWidth="1"/>
    <col min="12549" max="12549" width="9.5546875" style="53" bestFit="1" customWidth="1"/>
    <col min="12550" max="12550" width="17.5546875" style="53" customWidth="1"/>
    <col min="12551" max="12551" width="11.109375" style="53" bestFit="1" customWidth="1"/>
    <col min="12552" max="12797" width="8.88671875" style="53"/>
    <col min="12798" max="12798" width="5.88671875" style="53" bestFit="1" customWidth="1"/>
    <col min="12799" max="12799" width="36.109375" style="53" customWidth="1"/>
    <col min="12800" max="12800" width="6.33203125" style="53" customWidth="1"/>
    <col min="12801" max="12801" width="10" style="53" customWidth="1"/>
    <col min="12802" max="12802" width="13.5546875" style="53" customWidth="1"/>
    <col min="12803" max="12803" width="16.88671875" style="53" customWidth="1"/>
    <col min="12804" max="12804" width="8.44140625" style="53" customWidth="1"/>
    <col min="12805" max="12805" width="9.5546875" style="53" bestFit="1" customWidth="1"/>
    <col min="12806" max="12806" width="17.5546875" style="53" customWidth="1"/>
    <col min="12807" max="12807" width="11.109375" style="53" bestFit="1" customWidth="1"/>
    <col min="12808" max="13053" width="8.88671875" style="53"/>
    <col min="13054" max="13054" width="5.88671875" style="53" bestFit="1" customWidth="1"/>
    <col min="13055" max="13055" width="36.109375" style="53" customWidth="1"/>
    <col min="13056" max="13056" width="6.33203125" style="53" customWidth="1"/>
    <col min="13057" max="13057" width="10" style="53" customWidth="1"/>
    <col min="13058" max="13058" width="13.5546875" style="53" customWidth="1"/>
    <col min="13059" max="13059" width="16.88671875" style="53" customWidth="1"/>
    <col min="13060" max="13060" width="8.44140625" style="53" customWidth="1"/>
    <col min="13061" max="13061" width="9.5546875" style="53" bestFit="1" customWidth="1"/>
    <col min="13062" max="13062" width="17.5546875" style="53" customWidth="1"/>
    <col min="13063" max="13063" width="11.109375" style="53" bestFit="1" customWidth="1"/>
    <col min="13064" max="13309" width="8.88671875" style="53"/>
    <col min="13310" max="13310" width="5.88671875" style="53" bestFit="1" customWidth="1"/>
    <col min="13311" max="13311" width="36.109375" style="53" customWidth="1"/>
    <col min="13312" max="13312" width="6.33203125" style="53" customWidth="1"/>
    <col min="13313" max="13313" width="10" style="53" customWidth="1"/>
    <col min="13314" max="13314" width="13.5546875" style="53" customWidth="1"/>
    <col min="13315" max="13315" width="16.88671875" style="53" customWidth="1"/>
    <col min="13316" max="13316" width="8.44140625" style="53" customWidth="1"/>
    <col min="13317" max="13317" width="9.5546875" style="53" bestFit="1" customWidth="1"/>
    <col min="13318" max="13318" width="17.5546875" style="53" customWidth="1"/>
    <col min="13319" max="13319" width="11.109375" style="53" bestFit="1" customWidth="1"/>
    <col min="13320" max="13565" width="8.88671875" style="53"/>
    <col min="13566" max="13566" width="5.88671875" style="53" bestFit="1" customWidth="1"/>
    <col min="13567" max="13567" width="36.109375" style="53" customWidth="1"/>
    <col min="13568" max="13568" width="6.33203125" style="53" customWidth="1"/>
    <col min="13569" max="13569" width="10" style="53" customWidth="1"/>
    <col min="13570" max="13570" width="13.5546875" style="53" customWidth="1"/>
    <col min="13571" max="13571" width="16.88671875" style="53" customWidth="1"/>
    <col min="13572" max="13572" width="8.44140625" style="53" customWidth="1"/>
    <col min="13573" max="13573" width="9.5546875" style="53" bestFit="1" customWidth="1"/>
    <col min="13574" max="13574" width="17.5546875" style="53" customWidth="1"/>
    <col min="13575" max="13575" width="11.109375" style="53" bestFit="1" customWidth="1"/>
    <col min="13576" max="13821" width="8.88671875" style="53"/>
    <col min="13822" max="13822" width="5.88671875" style="53" bestFit="1" customWidth="1"/>
    <col min="13823" max="13823" width="36.109375" style="53" customWidth="1"/>
    <col min="13824" max="13824" width="6.33203125" style="53" customWidth="1"/>
    <col min="13825" max="13825" width="10" style="53" customWidth="1"/>
    <col min="13826" max="13826" width="13.5546875" style="53" customWidth="1"/>
    <col min="13827" max="13827" width="16.88671875" style="53" customWidth="1"/>
    <col min="13828" max="13828" width="8.44140625" style="53" customWidth="1"/>
    <col min="13829" max="13829" width="9.5546875" style="53" bestFit="1" customWidth="1"/>
    <col min="13830" max="13830" width="17.5546875" style="53" customWidth="1"/>
    <col min="13831" max="13831" width="11.109375" style="53" bestFit="1" customWidth="1"/>
    <col min="13832" max="14077" width="8.88671875" style="53"/>
    <col min="14078" max="14078" width="5.88671875" style="53" bestFit="1" customWidth="1"/>
    <col min="14079" max="14079" width="36.109375" style="53" customWidth="1"/>
    <col min="14080" max="14080" width="6.33203125" style="53" customWidth="1"/>
    <col min="14081" max="14081" width="10" style="53" customWidth="1"/>
    <col min="14082" max="14082" width="13.5546875" style="53" customWidth="1"/>
    <col min="14083" max="14083" width="16.88671875" style="53" customWidth="1"/>
    <col min="14084" max="14084" width="8.44140625" style="53" customWidth="1"/>
    <col min="14085" max="14085" width="9.5546875" style="53" bestFit="1" customWidth="1"/>
    <col min="14086" max="14086" width="17.5546875" style="53" customWidth="1"/>
    <col min="14087" max="14087" width="11.109375" style="53" bestFit="1" customWidth="1"/>
    <col min="14088" max="14333" width="8.88671875" style="53"/>
    <col min="14334" max="14334" width="5.88671875" style="53" bestFit="1" customWidth="1"/>
    <col min="14335" max="14335" width="36.109375" style="53" customWidth="1"/>
    <col min="14336" max="14336" width="6.33203125" style="53" customWidth="1"/>
    <col min="14337" max="14337" width="10" style="53" customWidth="1"/>
    <col min="14338" max="14338" width="13.5546875" style="53" customWidth="1"/>
    <col min="14339" max="14339" width="16.88671875" style="53" customWidth="1"/>
    <col min="14340" max="14340" width="8.44140625" style="53" customWidth="1"/>
    <col min="14341" max="14341" width="9.5546875" style="53" bestFit="1" customWidth="1"/>
    <col min="14342" max="14342" width="17.5546875" style="53" customWidth="1"/>
    <col min="14343" max="14343" width="11.109375" style="53" bestFit="1" customWidth="1"/>
    <col min="14344" max="14589" width="8.88671875" style="53"/>
    <col min="14590" max="14590" width="5.88671875" style="53" bestFit="1" customWidth="1"/>
    <col min="14591" max="14591" width="36.109375" style="53" customWidth="1"/>
    <col min="14592" max="14592" width="6.33203125" style="53" customWidth="1"/>
    <col min="14593" max="14593" width="10" style="53" customWidth="1"/>
    <col min="14594" max="14594" width="13.5546875" style="53" customWidth="1"/>
    <col min="14595" max="14595" width="16.88671875" style="53" customWidth="1"/>
    <col min="14596" max="14596" width="8.44140625" style="53" customWidth="1"/>
    <col min="14597" max="14597" width="9.5546875" style="53" bestFit="1" customWidth="1"/>
    <col min="14598" max="14598" width="17.5546875" style="53" customWidth="1"/>
    <col min="14599" max="14599" width="11.109375" style="53" bestFit="1" customWidth="1"/>
    <col min="14600" max="14845" width="8.88671875" style="53"/>
    <col min="14846" max="14846" width="5.88671875" style="53" bestFit="1" customWidth="1"/>
    <col min="14847" max="14847" width="36.109375" style="53" customWidth="1"/>
    <col min="14848" max="14848" width="6.33203125" style="53" customWidth="1"/>
    <col min="14849" max="14849" width="10" style="53" customWidth="1"/>
    <col min="14850" max="14850" width="13.5546875" style="53" customWidth="1"/>
    <col min="14851" max="14851" width="16.88671875" style="53" customWidth="1"/>
    <col min="14852" max="14852" width="8.44140625" style="53" customWidth="1"/>
    <col min="14853" max="14853" width="9.5546875" style="53" bestFit="1" customWidth="1"/>
    <col min="14854" max="14854" width="17.5546875" style="53" customWidth="1"/>
    <col min="14855" max="14855" width="11.109375" style="53" bestFit="1" customWidth="1"/>
    <col min="14856" max="15101" width="8.88671875" style="53"/>
    <col min="15102" max="15102" width="5.88671875" style="53" bestFit="1" customWidth="1"/>
    <col min="15103" max="15103" width="36.109375" style="53" customWidth="1"/>
    <col min="15104" max="15104" width="6.33203125" style="53" customWidth="1"/>
    <col min="15105" max="15105" width="10" style="53" customWidth="1"/>
    <col min="15106" max="15106" width="13.5546875" style="53" customWidth="1"/>
    <col min="15107" max="15107" width="16.88671875" style="53" customWidth="1"/>
    <col min="15108" max="15108" width="8.44140625" style="53" customWidth="1"/>
    <col min="15109" max="15109" width="9.5546875" style="53" bestFit="1" customWidth="1"/>
    <col min="15110" max="15110" width="17.5546875" style="53" customWidth="1"/>
    <col min="15111" max="15111" width="11.109375" style="53" bestFit="1" customWidth="1"/>
    <col min="15112" max="15357" width="8.88671875" style="53"/>
    <col min="15358" max="15358" width="5.88671875" style="53" bestFit="1" customWidth="1"/>
    <col min="15359" max="15359" width="36.109375" style="53" customWidth="1"/>
    <col min="15360" max="15360" width="6.33203125" style="53" customWidth="1"/>
    <col min="15361" max="15361" width="10" style="53" customWidth="1"/>
    <col min="15362" max="15362" width="13.5546875" style="53" customWidth="1"/>
    <col min="15363" max="15363" width="16.88671875" style="53" customWidth="1"/>
    <col min="15364" max="15364" width="8.44140625" style="53" customWidth="1"/>
    <col min="15365" max="15365" width="9.5546875" style="53" bestFit="1" customWidth="1"/>
    <col min="15366" max="15366" width="17.5546875" style="53" customWidth="1"/>
    <col min="15367" max="15367" width="11.109375" style="53" bestFit="1" customWidth="1"/>
    <col min="15368" max="15613" width="8.88671875" style="53"/>
    <col min="15614" max="15614" width="5.88671875" style="53" bestFit="1" customWidth="1"/>
    <col min="15615" max="15615" width="36.109375" style="53" customWidth="1"/>
    <col min="15616" max="15616" width="6.33203125" style="53" customWidth="1"/>
    <col min="15617" max="15617" width="10" style="53" customWidth="1"/>
    <col min="15618" max="15618" width="13.5546875" style="53" customWidth="1"/>
    <col min="15619" max="15619" width="16.88671875" style="53" customWidth="1"/>
    <col min="15620" max="15620" width="8.44140625" style="53" customWidth="1"/>
    <col min="15621" max="15621" width="9.5546875" style="53" bestFit="1" customWidth="1"/>
    <col min="15622" max="15622" width="17.5546875" style="53" customWidth="1"/>
    <col min="15623" max="15623" width="11.109375" style="53" bestFit="1" customWidth="1"/>
    <col min="15624" max="15869" width="8.88671875" style="53"/>
    <col min="15870" max="15870" width="5.88671875" style="53" bestFit="1" customWidth="1"/>
    <col min="15871" max="15871" width="36.109375" style="53" customWidth="1"/>
    <col min="15872" max="15872" width="6.33203125" style="53" customWidth="1"/>
    <col min="15873" max="15873" width="10" style="53" customWidth="1"/>
    <col min="15874" max="15874" width="13.5546875" style="53" customWidth="1"/>
    <col min="15875" max="15875" width="16.88671875" style="53" customWidth="1"/>
    <col min="15876" max="15876" width="8.44140625" style="53" customWidth="1"/>
    <col min="15877" max="15877" width="9.5546875" style="53" bestFit="1" customWidth="1"/>
    <col min="15878" max="15878" width="17.5546875" style="53" customWidth="1"/>
    <col min="15879" max="15879" width="11.109375" style="53" bestFit="1" customWidth="1"/>
    <col min="15880" max="16125" width="8.88671875" style="53"/>
    <col min="16126" max="16126" width="5.88671875" style="53" bestFit="1" customWidth="1"/>
    <col min="16127" max="16127" width="36.109375" style="53" customWidth="1"/>
    <col min="16128" max="16128" width="6.33203125" style="53" customWidth="1"/>
    <col min="16129" max="16129" width="10" style="53" customWidth="1"/>
    <col min="16130" max="16130" width="13.5546875" style="53" customWidth="1"/>
    <col min="16131" max="16131" width="16.88671875" style="53" customWidth="1"/>
    <col min="16132" max="16132" width="8.44140625" style="53" customWidth="1"/>
    <col min="16133" max="16133" width="9.5546875" style="53" bestFit="1" customWidth="1"/>
    <col min="16134" max="16134" width="17.5546875" style="53" customWidth="1"/>
    <col min="16135" max="16135" width="11.109375" style="53" bestFit="1" customWidth="1"/>
    <col min="16136" max="16384" width="8.88671875" style="53"/>
  </cols>
  <sheetData>
    <row r="1" spans="1:14" x14ac:dyDescent="0.3">
      <c r="A1" s="1069" t="str">
        <f>'Cover Page'!A18:I18</f>
        <v>ROSHNABAD BARRAGE</v>
      </c>
      <c r="B1" s="1069"/>
      <c r="C1" s="1069"/>
      <c r="D1" s="1069"/>
      <c r="E1" s="1069"/>
      <c r="F1" s="1069"/>
      <c r="G1" s="1069"/>
    </row>
    <row r="2" spans="1:14" x14ac:dyDescent="0.3">
      <c r="A2" s="1070" t="s">
        <v>675</v>
      </c>
      <c r="B2" s="1071"/>
      <c r="C2" s="52"/>
      <c r="D2" s="52"/>
      <c r="E2" s="52"/>
      <c r="F2" s="1072" t="s">
        <v>676</v>
      </c>
      <c r="G2" s="1073"/>
    </row>
    <row r="3" spans="1:14" x14ac:dyDescent="0.3">
      <c r="A3" s="1069" t="s">
        <v>16</v>
      </c>
      <c r="B3" s="1069"/>
      <c r="C3" s="1069"/>
      <c r="D3" s="1069"/>
      <c r="E3" s="1069"/>
      <c r="F3" s="1069"/>
      <c r="G3" s="1069"/>
    </row>
    <row r="4" spans="1:14" x14ac:dyDescent="0.3">
      <c r="A4" s="1069" t="s">
        <v>17</v>
      </c>
      <c r="B4" s="1069"/>
      <c r="C4" s="1069"/>
      <c r="D4" s="1069"/>
      <c r="E4" s="1069"/>
      <c r="F4" s="1069"/>
      <c r="G4" s="1069"/>
    </row>
    <row r="5" spans="1:14" x14ac:dyDescent="0.3">
      <c r="A5" s="1074" t="s">
        <v>18</v>
      </c>
      <c r="B5" s="1074"/>
      <c r="C5" s="1074"/>
      <c r="D5" s="1074"/>
      <c r="E5" s="1074"/>
      <c r="F5" s="1074"/>
      <c r="G5" s="1074"/>
    </row>
    <row r="6" spans="1:14" x14ac:dyDescent="0.3">
      <c r="A6" s="1075"/>
      <c r="B6" s="1076"/>
      <c r="C6" s="1076"/>
      <c r="D6" s="1076"/>
      <c r="E6" s="1076"/>
      <c r="F6" s="1076"/>
      <c r="G6" s="54"/>
    </row>
    <row r="7" spans="1:14" ht="26.4" customHeight="1" x14ac:dyDescent="0.3">
      <c r="A7" s="55" t="s">
        <v>19</v>
      </c>
      <c r="B7" s="55" t="s">
        <v>20</v>
      </c>
      <c r="C7" s="55" t="s">
        <v>21</v>
      </c>
      <c r="D7" s="56" t="s">
        <v>22</v>
      </c>
      <c r="E7" s="55" t="s">
        <v>23</v>
      </c>
      <c r="F7" s="55" t="s">
        <v>24</v>
      </c>
      <c r="G7" s="55" t="s">
        <v>25</v>
      </c>
    </row>
    <row r="8" spans="1:14" x14ac:dyDescent="0.3">
      <c r="A8" s="55">
        <v>1</v>
      </c>
      <c r="B8" s="55">
        <v>2</v>
      </c>
      <c r="C8" s="55">
        <v>3</v>
      </c>
      <c r="D8" s="57">
        <v>4</v>
      </c>
      <c r="E8" s="55">
        <v>5</v>
      </c>
      <c r="F8" s="55">
        <v>6</v>
      </c>
      <c r="G8" s="55"/>
    </row>
    <row r="9" spans="1:14" ht="81.75" customHeight="1" x14ac:dyDescent="0.3">
      <c r="A9" s="58">
        <v>1</v>
      </c>
      <c r="B9" s="59" t="s">
        <v>26</v>
      </c>
      <c r="C9" s="60" t="s">
        <v>27</v>
      </c>
      <c r="D9" s="61">
        <f>'Detail (2)'!G24</f>
        <v>4052.835</v>
      </c>
      <c r="E9" s="62">
        <v>1.6</v>
      </c>
      <c r="F9" s="63">
        <f t="shared" ref="F9:F17" si="0">D9*E9</f>
        <v>6484.5360000000001</v>
      </c>
      <c r="G9" s="64">
        <v>9.02</v>
      </c>
      <c r="I9" s="65">
        <f>F9/10000000</f>
        <v>6.4845359999999999E-4</v>
      </c>
    </row>
    <row r="10" spans="1:14" ht="119.25" customHeight="1" x14ac:dyDescent="0.3">
      <c r="A10" s="60">
        <f>MAX($A$9:A9)+1</f>
        <v>2</v>
      </c>
      <c r="B10" s="59" t="s">
        <v>28</v>
      </c>
      <c r="C10" s="60" t="s">
        <v>27</v>
      </c>
      <c r="D10" s="62">
        <f>'Detail (2)'!G25</f>
        <v>7809.9999999999991</v>
      </c>
      <c r="E10" s="62">
        <v>52</v>
      </c>
      <c r="F10" s="63">
        <f t="shared" si="0"/>
        <v>406119.99999999994</v>
      </c>
      <c r="G10" s="64">
        <v>3.01</v>
      </c>
      <c r="I10" s="65">
        <f t="shared" ref="I10:I46" si="1">F10/10000000</f>
        <v>4.0611999999999995E-2</v>
      </c>
    </row>
    <row r="11" spans="1:14" ht="147.75" customHeight="1" x14ac:dyDescent="0.3">
      <c r="A11" s="60">
        <f>MAX($A$9:A10)+1</f>
        <v>3</v>
      </c>
      <c r="B11" s="59" t="s">
        <v>29</v>
      </c>
      <c r="C11" s="66" t="s">
        <v>30</v>
      </c>
      <c r="D11" s="67">
        <f>'Detail (2)'!G26</f>
        <v>74727.762929603603</v>
      </c>
      <c r="E11" s="64">
        <v>80</v>
      </c>
      <c r="F11" s="63">
        <f t="shared" si="0"/>
        <v>5978221.0343682878</v>
      </c>
      <c r="G11" s="68" t="s">
        <v>31</v>
      </c>
      <c r="I11" s="65">
        <f t="shared" si="1"/>
        <v>0.59782210343682873</v>
      </c>
    </row>
    <row r="12" spans="1:14" ht="128.4" customHeight="1" x14ac:dyDescent="0.3">
      <c r="A12" s="60">
        <f>MAX($A$9:A11)+1</f>
        <v>4</v>
      </c>
      <c r="B12" s="59" t="s">
        <v>32</v>
      </c>
      <c r="C12" s="66" t="s">
        <v>30</v>
      </c>
      <c r="D12" s="69">
        <f>'Detail (2)'!G27</f>
        <v>49818.508619735738</v>
      </c>
      <c r="E12" s="64">
        <v>80</v>
      </c>
      <c r="F12" s="63">
        <f t="shared" si="0"/>
        <v>3985480.6895788591</v>
      </c>
      <c r="G12" s="68" t="s">
        <v>33</v>
      </c>
      <c r="I12" s="65">
        <f t="shared" si="1"/>
        <v>0.39854806895788591</v>
      </c>
      <c r="K12" s="1067"/>
      <c r="L12" s="1068"/>
      <c r="M12" s="1068"/>
      <c r="N12" s="1068"/>
    </row>
    <row r="13" spans="1:14" ht="154.19999999999999" customHeight="1" x14ac:dyDescent="0.3">
      <c r="A13" s="60">
        <f>MAX($A$9:A12)+1</f>
        <v>5</v>
      </c>
      <c r="B13" s="59" t="s">
        <v>34</v>
      </c>
      <c r="C13" s="66" t="s">
        <v>30</v>
      </c>
      <c r="D13" s="62">
        <f>'Detail (2)'!G28</f>
        <v>124546.27154933933</v>
      </c>
      <c r="E13" s="64">
        <v>120</v>
      </c>
      <c r="F13" s="63">
        <f t="shared" si="0"/>
        <v>14945552.585920719</v>
      </c>
      <c r="G13" s="68" t="s">
        <v>35</v>
      </c>
      <c r="H13" s="70"/>
      <c r="I13" s="65">
        <f t="shared" si="1"/>
        <v>1.4945552585920718</v>
      </c>
      <c r="K13" s="1067"/>
      <c r="L13" s="1068"/>
      <c r="M13" s="1068"/>
      <c r="N13" s="1068"/>
    </row>
    <row r="14" spans="1:14" ht="165.6" x14ac:dyDescent="0.3">
      <c r="A14" s="60">
        <f>MAX($A$9:A13)+1</f>
        <v>6</v>
      </c>
      <c r="B14" s="59" t="s">
        <v>36</v>
      </c>
      <c r="C14" s="60" t="s">
        <v>37</v>
      </c>
      <c r="D14" s="61">
        <f>'Detail (2)'!G29</f>
        <v>193</v>
      </c>
      <c r="E14" s="64">
        <v>1171</v>
      </c>
      <c r="F14" s="63">
        <f>D14*E14</f>
        <v>226003</v>
      </c>
      <c r="G14" s="64">
        <v>3.11</v>
      </c>
      <c r="H14" s="70"/>
      <c r="I14" s="65">
        <f t="shared" si="1"/>
        <v>2.26003E-2</v>
      </c>
    </row>
    <row r="15" spans="1:14" ht="69" x14ac:dyDescent="0.3">
      <c r="A15" s="60">
        <f>MAX($A$9:A14)+1</f>
        <v>7</v>
      </c>
      <c r="B15" s="59" t="s">
        <v>38</v>
      </c>
      <c r="C15" s="60"/>
      <c r="D15" s="62"/>
      <c r="E15" s="64"/>
      <c r="F15" s="63"/>
      <c r="G15" s="71"/>
      <c r="H15" s="72"/>
      <c r="I15" s="65">
        <f t="shared" si="1"/>
        <v>0</v>
      </c>
      <c r="J15" s="73"/>
      <c r="K15" s="1010"/>
    </row>
    <row r="16" spans="1:14" x14ac:dyDescent="0.3">
      <c r="A16" s="74"/>
      <c r="B16" s="75" t="s">
        <v>39</v>
      </c>
      <c r="C16" s="60" t="s">
        <v>40</v>
      </c>
      <c r="D16" s="62">
        <f>'Detail (2)'!G36</f>
        <v>2443.5</v>
      </c>
      <c r="E16" s="76">
        <v>1090</v>
      </c>
      <c r="F16" s="63">
        <f t="shared" si="0"/>
        <v>2663415</v>
      </c>
      <c r="G16" s="77" t="s">
        <v>41</v>
      </c>
      <c r="H16" s="78"/>
      <c r="I16" s="65">
        <f t="shared" si="1"/>
        <v>0.26634150000000001</v>
      </c>
      <c r="J16" s="79"/>
    </row>
    <row r="17" spans="1:13" ht="115.5" customHeight="1" x14ac:dyDescent="0.3">
      <c r="A17" s="60">
        <f>MAX($A$9:A16)+1</f>
        <v>8</v>
      </c>
      <c r="B17" s="80" t="s">
        <v>42</v>
      </c>
      <c r="C17" s="60" t="s">
        <v>43</v>
      </c>
      <c r="D17" s="62">
        <f>'Detail (2)'!G38</f>
        <v>61</v>
      </c>
      <c r="E17" s="64">
        <v>9081</v>
      </c>
      <c r="F17" s="63">
        <f t="shared" si="0"/>
        <v>553941</v>
      </c>
      <c r="G17" s="64">
        <v>3.08</v>
      </c>
      <c r="H17" s="72"/>
      <c r="I17" s="65">
        <f t="shared" si="1"/>
        <v>5.5394100000000002E-2</v>
      </c>
      <c r="J17" s="73"/>
    </row>
    <row r="18" spans="1:13" ht="132" customHeight="1" x14ac:dyDescent="0.3">
      <c r="A18" s="60">
        <f>MAX($A$9:A17)+1</f>
        <v>9</v>
      </c>
      <c r="B18" s="80" t="s">
        <v>44</v>
      </c>
      <c r="C18" s="60" t="s">
        <v>30</v>
      </c>
      <c r="D18" s="81">
        <f>QTTY!K33</f>
        <v>50087.130000000005</v>
      </c>
      <c r="E18" s="64">
        <v>3048</v>
      </c>
      <c r="F18" s="82">
        <f>D18*E18</f>
        <v>152665572.24000001</v>
      </c>
      <c r="G18" s="64" t="s">
        <v>45</v>
      </c>
      <c r="H18" s="83" t="s">
        <v>46</v>
      </c>
      <c r="I18" s="65">
        <f t="shared" si="1"/>
        <v>15.266557224000001</v>
      </c>
      <c r="J18" s="83"/>
    </row>
    <row r="19" spans="1:13" ht="13.8" customHeight="1" x14ac:dyDescent="0.3">
      <c r="A19" s="84"/>
      <c r="B19" s="85"/>
      <c r="C19" s="66"/>
      <c r="D19" s="62"/>
      <c r="E19" s="64"/>
      <c r="F19" s="63"/>
      <c r="G19" s="64"/>
      <c r="H19" s="70"/>
      <c r="I19" s="65">
        <f t="shared" si="1"/>
        <v>0</v>
      </c>
    </row>
    <row r="20" spans="1:13" ht="11.4" customHeight="1" x14ac:dyDescent="0.3">
      <c r="A20" s="84"/>
      <c r="B20" s="86"/>
      <c r="C20" s="66"/>
      <c r="D20" s="62"/>
      <c r="E20" s="87"/>
      <c r="F20" s="63"/>
      <c r="G20" s="87"/>
      <c r="H20" s="70"/>
      <c r="I20" s="65">
        <f>I18+I21+I22+I23+I24</f>
        <v>43.793697257600002</v>
      </c>
    </row>
    <row r="21" spans="1:13" ht="153.6" customHeight="1" x14ac:dyDescent="0.3">
      <c r="A21" s="60">
        <f>MAX($A$9:A20)+1</f>
        <v>10</v>
      </c>
      <c r="B21" s="59" t="s">
        <v>47</v>
      </c>
      <c r="C21" s="66" t="s">
        <v>30</v>
      </c>
      <c r="D21" s="88">
        <f>QTTY!L33</f>
        <v>17123.128000000001</v>
      </c>
      <c r="E21" s="64">
        <v>4223</v>
      </c>
      <c r="F21" s="63">
        <f t="shared" ref="F21:F28" si="2">D21*E21</f>
        <v>72310969.544</v>
      </c>
      <c r="G21" s="64" t="s">
        <v>48</v>
      </c>
      <c r="H21" s="89" t="s">
        <v>49</v>
      </c>
      <c r="I21" s="65">
        <f t="shared" si="1"/>
        <v>7.2310969543999999</v>
      </c>
    </row>
    <row r="22" spans="1:13" ht="147.6" customHeight="1" x14ac:dyDescent="0.3">
      <c r="A22" s="60">
        <f>MAX($A$9:A21)+1+1</f>
        <v>12</v>
      </c>
      <c r="B22" s="59" t="s">
        <v>50</v>
      </c>
      <c r="C22" s="66" t="s">
        <v>30</v>
      </c>
      <c r="D22" s="90">
        <f>QTTY!M33+QTTY!N33</f>
        <v>40176.504000000001</v>
      </c>
      <c r="E22" s="64">
        <v>4223</v>
      </c>
      <c r="F22" s="63">
        <f t="shared" si="2"/>
        <v>169665376.39199999</v>
      </c>
      <c r="G22" s="64" t="s">
        <v>51</v>
      </c>
      <c r="H22" s="89" t="s">
        <v>656</v>
      </c>
      <c r="I22" s="65">
        <f t="shared" si="1"/>
        <v>16.966537639199998</v>
      </c>
      <c r="J22" s="1067"/>
      <c r="K22" s="1068"/>
      <c r="L22" s="1068"/>
      <c r="M22" s="1068"/>
    </row>
    <row r="23" spans="1:13" ht="166.2" customHeight="1" x14ac:dyDescent="0.3">
      <c r="A23" s="60">
        <f>MAX($A$9:A22)+1</f>
        <v>13</v>
      </c>
      <c r="B23" s="59" t="s">
        <v>52</v>
      </c>
      <c r="C23" s="66" t="s">
        <v>30</v>
      </c>
      <c r="D23" s="90">
        <f>QTTY!O33</f>
        <v>7450.95</v>
      </c>
      <c r="E23" s="87">
        <v>4893</v>
      </c>
      <c r="F23" s="63">
        <f t="shared" si="2"/>
        <v>36457498.350000001</v>
      </c>
      <c r="G23" s="64" t="s">
        <v>53</v>
      </c>
      <c r="H23" s="92" t="s">
        <v>54</v>
      </c>
      <c r="I23" s="65">
        <f t="shared" si="1"/>
        <v>3.6457498350000002</v>
      </c>
    </row>
    <row r="24" spans="1:13" ht="122.4" customHeight="1" x14ac:dyDescent="0.3">
      <c r="A24" s="60">
        <f>MAX($A$9:A23)+1</f>
        <v>14</v>
      </c>
      <c r="B24" s="59" t="s">
        <v>55</v>
      </c>
      <c r="C24" s="66" t="s">
        <v>30</v>
      </c>
      <c r="D24" s="93">
        <f>QTTY!P33</f>
        <v>625.46249999999998</v>
      </c>
      <c r="E24" s="87">
        <v>10932</v>
      </c>
      <c r="F24" s="63">
        <f t="shared" si="2"/>
        <v>6837556.0499999998</v>
      </c>
      <c r="G24" s="66" t="s">
        <v>56</v>
      </c>
      <c r="H24" s="92" t="s">
        <v>57</v>
      </c>
      <c r="I24" s="65">
        <f t="shared" si="1"/>
        <v>0.68375560499999999</v>
      </c>
    </row>
    <row r="25" spans="1:13" ht="123.6" customHeight="1" x14ac:dyDescent="0.3">
      <c r="A25" s="60">
        <f>MAX($A$9:A24)+1</f>
        <v>15</v>
      </c>
      <c r="B25" s="59" t="str">
        <f>'Detail (2)'!B96</f>
        <v>Providing elastomeric bearings such as
restrained neoprene bearings or any
other type with mild steel plates or
shims, manufactured as per specifications given in the approved
design of the bearings, includingpacking, fixing with adhesives as specified in the design etc. complete</v>
      </c>
      <c r="C25" s="66" t="s">
        <v>58</v>
      </c>
      <c r="D25" s="1012">
        <f>'Detail (2)'!G96</f>
        <v>907200</v>
      </c>
      <c r="E25" s="87">
        <v>2</v>
      </c>
      <c r="F25" s="63">
        <f t="shared" si="2"/>
        <v>1814400</v>
      </c>
      <c r="G25" s="66">
        <v>5.25</v>
      </c>
      <c r="H25" s="91"/>
      <c r="I25" s="65">
        <f t="shared" si="1"/>
        <v>0.18143999999999999</v>
      </c>
    </row>
    <row r="26" spans="1:13" ht="169.95" customHeight="1" x14ac:dyDescent="0.3">
      <c r="A26" s="60">
        <f>MAX($A$9:A25)+1</f>
        <v>16</v>
      </c>
      <c r="B26" s="94" t="str">
        <f>'Detail (2)'!B97</f>
        <v>Providing and forming expansion joint for bridge consisting of 75 x 75 x 6 mm
angles 2 numbers provided with 250 mm long 12 mm dia. anchors fixed to both flanges at 150 mm c /c and 140 x 6 mm plate welded on top of one of the
angle including cost of all materials,
labour, machinery, providing and fixing
38 mm thick joint filler board
matching the thickness of wearing
coat, painting etc. complete</v>
      </c>
      <c r="C26" s="66" t="s">
        <v>59</v>
      </c>
      <c r="D26" s="93">
        <f>'Detail (2)'!G97</f>
        <v>126</v>
      </c>
      <c r="E26" s="95">
        <v>1495</v>
      </c>
      <c r="F26" s="63">
        <f t="shared" si="2"/>
        <v>188370</v>
      </c>
      <c r="G26" s="64">
        <v>5.27</v>
      </c>
      <c r="H26" s="91"/>
      <c r="I26" s="65">
        <f t="shared" si="1"/>
        <v>1.8837E-2</v>
      </c>
    </row>
    <row r="27" spans="1:13" ht="169.95" customHeight="1" x14ac:dyDescent="0.3">
      <c r="A27" s="60">
        <f>MAX($A$9:A26)+1</f>
        <v>17</v>
      </c>
      <c r="B27" s="94" t="str">
        <f>'Detail (2)'!B98</f>
        <v>Providing and constructing PVC pipe
weep holes for concrete / masonry
walls including cost of all materials,
machinery, labour, providing 200 x
200 x 200 mm size porous concrete
block made of cement and 20 mm
down coarse aggregate in 1 : 4
proportion by volume with 100 mm
thick sand backing at the junction of
wall and soil back fill, etc.,
complete-  100 mm dia pipe</v>
      </c>
      <c r="C27" s="66" t="s">
        <v>59</v>
      </c>
      <c r="D27" s="93">
        <f>'Detail (2)'!G102</f>
        <v>1332.8000000000002</v>
      </c>
      <c r="E27" s="95">
        <v>243</v>
      </c>
      <c r="F27" s="63">
        <f t="shared" si="2"/>
        <v>323870.40000000002</v>
      </c>
      <c r="G27" s="64">
        <v>5.26</v>
      </c>
      <c r="H27" s="91"/>
      <c r="I27" s="65">
        <f t="shared" si="1"/>
        <v>3.2387039999999999E-2</v>
      </c>
    </row>
    <row r="28" spans="1:13" ht="131.4" customHeight="1" x14ac:dyDescent="0.3">
      <c r="A28" s="60">
        <f>MAX($A$9:A27)+1</f>
        <v>18</v>
      </c>
      <c r="B28" s="94" t="str">
        <f>'Detail (2)'!B103</f>
        <v>Providing, fencing and erecting 50 mm dia (weighing 3.56 kg per mts.) painted steel pipe railing in 3 rows on precast M20 grade RCC vertical posts1.8 metres high (1.2 m above GL) with 3 holes 50 mm dia for pipe, fixed 2 metres centre to, complete as per
approved drawing.</v>
      </c>
      <c r="C28" s="66" t="s">
        <v>59</v>
      </c>
      <c r="D28" s="93">
        <f>'Detail (2)'!G103</f>
        <v>390</v>
      </c>
      <c r="E28" s="95">
        <v>1308</v>
      </c>
      <c r="F28" s="63">
        <f t="shared" si="2"/>
        <v>510120</v>
      </c>
      <c r="G28" s="66" t="s">
        <v>60</v>
      </c>
      <c r="H28" s="91"/>
      <c r="I28" s="65">
        <f t="shared" si="1"/>
        <v>5.1012000000000002E-2</v>
      </c>
    </row>
    <row r="29" spans="1:13" ht="162.6" customHeight="1" x14ac:dyDescent="0.3">
      <c r="A29" s="60">
        <f>MAX($A$9:A28)+1</f>
        <v>19</v>
      </c>
      <c r="B29" s="59" t="s">
        <v>61</v>
      </c>
      <c r="C29" s="66" t="s">
        <v>62</v>
      </c>
      <c r="D29" s="90">
        <f>'Detail (2)'!G116/1000</f>
        <v>1632.9800999999998</v>
      </c>
      <c r="E29" s="95">
        <v>66936</v>
      </c>
      <c r="F29" s="63">
        <f>D29*E29</f>
        <v>109305155.97359999</v>
      </c>
      <c r="G29" s="64">
        <v>3.13</v>
      </c>
      <c r="H29" s="70"/>
      <c r="I29" s="65">
        <f t="shared" si="1"/>
        <v>10.930515597359998</v>
      </c>
    </row>
    <row r="30" spans="1:13" ht="151.5" customHeight="1" x14ac:dyDescent="0.3">
      <c r="A30" s="60">
        <f>MAX($A$9:A29)+1</f>
        <v>20</v>
      </c>
      <c r="B30" s="59" t="s">
        <v>63</v>
      </c>
      <c r="C30" s="66" t="s">
        <v>59</v>
      </c>
      <c r="D30" s="90">
        <f>'Detail (2)'!G120</f>
        <v>188</v>
      </c>
      <c r="E30" s="64">
        <v>2893</v>
      </c>
      <c r="F30" s="63">
        <f>D30*E30</f>
        <v>543884</v>
      </c>
      <c r="G30" s="64">
        <v>3.3</v>
      </c>
      <c r="H30" s="96"/>
      <c r="I30" s="65">
        <f t="shared" si="1"/>
        <v>5.4388400000000003E-2</v>
      </c>
    </row>
    <row r="31" spans="1:13" ht="79.2" customHeight="1" x14ac:dyDescent="0.3">
      <c r="A31" s="60">
        <f>MAX($A$9:A30)+1</f>
        <v>21</v>
      </c>
      <c r="B31" s="59" t="str">
        <f>'[167]Detail (2)'!B244</f>
        <v>Dewatering and pumping the working area including all connecting operation required etc. complete. for
cleanliness of working area by 10 hp to 20 hp diesel pump</v>
      </c>
      <c r="C31" s="66" t="s">
        <v>64</v>
      </c>
      <c r="D31" s="90">
        <f>'Detail (2)'!G122</f>
        <v>28800</v>
      </c>
      <c r="E31" s="64">
        <v>293</v>
      </c>
      <c r="F31" s="63">
        <f>D31*E31</f>
        <v>8438400</v>
      </c>
      <c r="G31" s="64" t="s">
        <v>65</v>
      </c>
      <c r="H31" s="96"/>
      <c r="I31" s="65">
        <f t="shared" si="1"/>
        <v>0.84384000000000003</v>
      </c>
    </row>
    <row r="32" spans="1:13" s="98" customFormat="1" ht="24" customHeight="1" x14ac:dyDescent="0.3">
      <c r="A32" s="84">
        <f>MAX($A$9:A31)+1</f>
        <v>22</v>
      </c>
      <c r="B32" s="97" t="s">
        <v>66</v>
      </c>
      <c r="C32" s="1077" t="s">
        <v>67</v>
      </c>
      <c r="D32" s="1078"/>
      <c r="E32" s="1079"/>
      <c r="F32" s="63">
        <f>'(Vertcal) (2)'!H73</f>
        <v>4324018.4930750439</v>
      </c>
      <c r="G32" s="64">
        <v>8.02</v>
      </c>
      <c r="H32" s="96"/>
      <c r="I32" s="65">
        <f t="shared" si="1"/>
        <v>0.43240184930750442</v>
      </c>
    </row>
    <row r="33" spans="1:14" s="103" customFormat="1" x14ac:dyDescent="0.3">
      <c r="A33" s="84">
        <f>MAX($A$9:A32)+1</f>
        <v>23</v>
      </c>
      <c r="B33" s="99" t="s">
        <v>68</v>
      </c>
      <c r="C33" s="1077" t="s">
        <v>67</v>
      </c>
      <c r="D33" s="1078"/>
      <c r="E33" s="1079"/>
      <c r="F33" s="100">
        <v>0</v>
      </c>
      <c r="G33" s="101"/>
      <c r="H33" s="102"/>
      <c r="I33" s="65">
        <f t="shared" si="1"/>
        <v>0</v>
      </c>
    </row>
    <row r="34" spans="1:14" s="107" customFormat="1" ht="15.6" x14ac:dyDescent="0.3">
      <c r="A34" s="84">
        <f>MAX($A$9:A33)+1</f>
        <v>24</v>
      </c>
      <c r="B34" s="104" t="s">
        <v>69</v>
      </c>
      <c r="C34" s="1062" t="s">
        <v>70</v>
      </c>
      <c r="D34" s="1063"/>
      <c r="E34" s="1064"/>
      <c r="F34" s="106">
        <v>0</v>
      </c>
      <c r="G34" s="106"/>
      <c r="I34" s="65">
        <f t="shared" si="1"/>
        <v>0</v>
      </c>
    </row>
    <row r="35" spans="1:14" s="107" customFormat="1" ht="15.6" x14ac:dyDescent="0.3">
      <c r="A35" s="84">
        <f>MAX($A$9:A34)+1</f>
        <v>25</v>
      </c>
      <c r="B35" s="104" t="s">
        <v>71</v>
      </c>
      <c r="C35" s="1062" t="s">
        <v>72</v>
      </c>
      <c r="D35" s="1063"/>
      <c r="E35" s="1064"/>
      <c r="F35" s="106">
        <v>0</v>
      </c>
      <c r="G35" s="106"/>
      <c r="I35" s="65">
        <f t="shared" si="1"/>
        <v>0</v>
      </c>
    </row>
    <row r="36" spans="1:14" s="107" customFormat="1" ht="15.6" x14ac:dyDescent="0.3">
      <c r="A36" s="84">
        <f>MAX($A$9:A35)+1</f>
        <v>26</v>
      </c>
      <c r="B36" s="104" t="s">
        <v>73</v>
      </c>
      <c r="C36" s="1062" t="s">
        <v>72</v>
      </c>
      <c r="D36" s="1063"/>
      <c r="E36" s="1064"/>
      <c r="F36" s="106">
        <v>0</v>
      </c>
      <c r="G36" s="106"/>
      <c r="I36" s="65">
        <f t="shared" si="1"/>
        <v>0</v>
      </c>
    </row>
    <row r="37" spans="1:14" s="107" customFormat="1" ht="15.6" x14ac:dyDescent="0.3">
      <c r="A37" s="84">
        <f>A33+1</f>
        <v>24</v>
      </c>
      <c r="B37" s="104" t="s">
        <v>74</v>
      </c>
      <c r="C37" s="1062" t="s">
        <v>72</v>
      </c>
      <c r="D37" s="1063"/>
      <c r="E37" s="1064"/>
      <c r="F37" s="1022">
        <v>0</v>
      </c>
      <c r="G37" s="106"/>
      <c r="I37" s="65">
        <f t="shared" si="1"/>
        <v>0</v>
      </c>
    </row>
    <row r="38" spans="1:14" s="107" customFormat="1" ht="15.6" x14ac:dyDescent="0.3">
      <c r="A38" s="84">
        <f>MAX($A$9:A37)+1</f>
        <v>27</v>
      </c>
      <c r="B38" s="104" t="s">
        <v>75</v>
      </c>
      <c r="C38" s="1062" t="s">
        <v>72</v>
      </c>
      <c r="D38" s="1063"/>
      <c r="E38" s="1064"/>
      <c r="F38" s="106">
        <v>1000000</v>
      </c>
      <c r="G38" s="106"/>
      <c r="I38" s="65">
        <f t="shared" si="1"/>
        <v>0.1</v>
      </c>
    </row>
    <row r="39" spans="1:14" s="107" customFormat="1" ht="15.6" x14ac:dyDescent="0.3">
      <c r="A39" s="84">
        <f>MAX($A$9:A38)+1</f>
        <v>28</v>
      </c>
      <c r="B39" s="104" t="s">
        <v>76</v>
      </c>
      <c r="C39" s="1062" t="s">
        <v>72</v>
      </c>
      <c r="D39" s="1063"/>
      <c r="E39" s="1064"/>
      <c r="F39" s="106">
        <v>0</v>
      </c>
      <c r="G39" s="106"/>
      <c r="I39" s="65">
        <f t="shared" si="1"/>
        <v>0</v>
      </c>
    </row>
    <row r="40" spans="1:14" s="107" customFormat="1" ht="15.6" x14ac:dyDescent="0.3">
      <c r="A40" s="84">
        <f>MAX($A$9:A39)+1</f>
        <v>29</v>
      </c>
      <c r="B40" s="104" t="s">
        <v>77</v>
      </c>
      <c r="C40" s="105"/>
      <c r="D40" s="1027">
        <f>D13</f>
        <v>124546.27154933933</v>
      </c>
      <c r="E40" s="108">
        <f>-105</f>
        <v>-105</v>
      </c>
      <c r="F40" s="1031">
        <f>E40*D40</f>
        <v>-13077358.512680629</v>
      </c>
      <c r="G40" s="106"/>
      <c r="H40" s="1032">
        <f>F40/10000000</f>
        <v>-1.307735851268063</v>
      </c>
      <c r="I40" s="65">
        <f t="shared" si="1"/>
        <v>-1.307735851268063</v>
      </c>
    </row>
    <row r="41" spans="1:14" x14ac:dyDescent="0.3">
      <c r="A41" s="1065" t="s">
        <v>78</v>
      </c>
      <c r="B41" s="1065"/>
      <c r="C41" s="1065"/>
      <c r="D41" s="1065"/>
      <c r="E41" s="1065"/>
      <c r="F41" s="109">
        <f>SUM(F9:F40)</f>
        <v>580073050.77586222</v>
      </c>
      <c r="G41" s="64"/>
      <c r="H41" s="70"/>
      <c r="I41" s="65">
        <f t="shared" si="1"/>
        <v>58.007305077586224</v>
      </c>
      <c r="N41" s="53">
        <f>5600*3.5</f>
        <v>19600</v>
      </c>
    </row>
    <row r="42" spans="1:14" x14ac:dyDescent="0.3">
      <c r="A42" s="74"/>
      <c r="B42" s="110" t="s">
        <v>79</v>
      </c>
      <c r="C42" s="111"/>
      <c r="D42" s="111"/>
      <c r="E42" s="111"/>
      <c r="F42" s="63">
        <f>0.5/100*F41</f>
        <v>2900365.253879311</v>
      </c>
      <c r="G42" s="64"/>
      <c r="H42" s="70"/>
      <c r="I42" s="65">
        <f t="shared" si="1"/>
        <v>0.29003652538793112</v>
      </c>
    </row>
    <row r="43" spans="1:14" x14ac:dyDescent="0.3">
      <c r="A43" s="74"/>
      <c r="B43" s="112"/>
      <c r="C43" s="111"/>
      <c r="D43" s="111"/>
      <c r="E43" s="111"/>
      <c r="F43" s="63">
        <f>(F41+F42)*5%*0</f>
        <v>0</v>
      </c>
      <c r="G43" s="64"/>
      <c r="H43" s="70"/>
      <c r="I43" s="65">
        <f t="shared" si="1"/>
        <v>0</v>
      </c>
    </row>
    <row r="44" spans="1:14" x14ac:dyDescent="0.3">
      <c r="A44" s="1066" t="s">
        <v>80</v>
      </c>
      <c r="B44" s="1066"/>
      <c r="C44" s="1066"/>
      <c r="D44" s="1066"/>
      <c r="E44" s="1066"/>
      <c r="F44" s="113">
        <f>F41+F42</f>
        <v>582973416.02974153</v>
      </c>
      <c r="G44" s="60"/>
      <c r="H44" s="70"/>
      <c r="I44" s="65">
        <f t="shared" si="1"/>
        <v>58.29734160297415</v>
      </c>
      <c r="L44" s="53">
        <f>115+5+100</f>
        <v>220</v>
      </c>
    </row>
    <row r="45" spans="1:14" x14ac:dyDescent="0.3">
      <c r="A45" s="114"/>
      <c r="B45" s="115"/>
      <c r="C45" s="116"/>
      <c r="D45" s="116"/>
      <c r="E45" s="117" t="s">
        <v>81</v>
      </c>
      <c r="F45" s="118">
        <f>F44/100000</f>
        <v>5829.7341602974157</v>
      </c>
      <c r="G45" s="119"/>
      <c r="H45" s="70"/>
      <c r="I45" s="65">
        <f t="shared" si="1"/>
        <v>5.8297341602974156E-4</v>
      </c>
      <c r="L45" s="53">
        <f>L44*12%</f>
        <v>26.4</v>
      </c>
    </row>
    <row r="46" spans="1:14" x14ac:dyDescent="0.3">
      <c r="A46" s="120"/>
      <c r="B46" s="121"/>
      <c r="C46" s="70"/>
      <c r="D46" s="70"/>
      <c r="E46" s="70"/>
      <c r="F46" s="70"/>
      <c r="G46" s="122"/>
      <c r="H46" s="70"/>
      <c r="I46" s="65">
        <f t="shared" si="1"/>
        <v>0</v>
      </c>
    </row>
    <row r="50" spans="1:3" x14ac:dyDescent="0.3">
      <c r="C50" s="124"/>
    </row>
    <row r="51" spans="1:3" x14ac:dyDescent="0.3">
      <c r="A51" s="125"/>
      <c r="C51" s="124"/>
    </row>
    <row r="52" spans="1:3" x14ac:dyDescent="0.3">
      <c r="A52" s="125"/>
      <c r="C52" s="124"/>
    </row>
  </sheetData>
  <sheetProtection selectLockedCells="1" selectUnlockedCells="1"/>
  <customSheetViews>
    <customSheetView guid="{5161B42F-120B-436B-80F4-9BB578173AD5}" scale="60" showPageBreaks="1" fitToPage="1" printArea="1" view="pageBreakPreview" topLeftCell="A28">
      <selection activeCell="F54" sqref="F53:F54"/>
      <rowBreaks count="2" manualBreakCount="2">
        <brk id="46" max="6" man="1"/>
        <brk id="47" max="6" man="1"/>
      </rowBreaks>
      <pageMargins left="0.7" right="0.7" top="0.75" bottom="0.75" header="0.3" footer="0.3"/>
      <printOptions horizontalCentered="1" verticalCentered="1"/>
      <pageSetup paperSize="9" scale="82" firstPageNumber="0" fitToHeight="0" orientation="portrait" blackAndWhite="1" r:id="rId1"/>
      <headerFooter alignWithMargins="0"/>
    </customSheetView>
  </customSheetViews>
  <mergeCells count="20">
    <mergeCell ref="K12:N12"/>
    <mergeCell ref="K13:N13"/>
    <mergeCell ref="J22:M22"/>
    <mergeCell ref="C36:E36"/>
    <mergeCell ref="A1:G1"/>
    <mergeCell ref="A2:B2"/>
    <mergeCell ref="F2:G2"/>
    <mergeCell ref="A3:G3"/>
    <mergeCell ref="A4:G4"/>
    <mergeCell ref="A5:G5"/>
    <mergeCell ref="A6:F6"/>
    <mergeCell ref="C32:E32"/>
    <mergeCell ref="C33:E33"/>
    <mergeCell ref="C34:E34"/>
    <mergeCell ref="C35:E35"/>
    <mergeCell ref="C37:E37"/>
    <mergeCell ref="C38:E38"/>
    <mergeCell ref="C39:E39"/>
    <mergeCell ref="A41:E41"/>
    <mergeCell ref="A44:E44"/>
  </mergeCells>
  <printOptions horizontalCentered="1" verticalCentered="1"/>
  <pageMargins left="0.7" right="0.7" top="0.75" bottom="0.75" header="0.3" footer="0.3"/>
  <pageSetup paperSize="9" scale="82" firstPageNumber="0" fitToHeight="0" orientation="portrait" blackAndWhite="1" r:id="rId2"/>
  <headerFooter alignWithMargins="0"/>
  <rowBreaks count="2" manualBreakCount="2">
    <brk id="46" max="6" man="1"/>
    <brk id="47"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60"/>
  <sheetViews>
    <sheetView view="pageBreakPreview" zoomScale="60" zoomScaleNormal="100" workbookViewId="0">
      <selection activeCell="F53" sqref="F53"/>
    </sheetView>
  </sheetViews>
  <sheetFormatPr defaultRowHeight="13.2" x14ac:dyDescent="0.25"/>
  <cols>
    <col min="1" max="1" width="8.6640625" style="449" customWidth="1"/>
    <col min="2" max="2" width="5.33203125" style="449" customWidth="1"/>
    <col min="3" max="3" width="9" style="449" customWidth="1"/>
    <col min="4" max="4" width="7.5546875" style="449" customWidth="1"/>
    <col min="5" max="5" width="9" style="449" customWidth="1"/>
    <col min="6" max="6" width="8.5546875" style="449" customWidth="1"/>
    <col min="7" max="7" width="10" style="449" customWidth="1"/>
    <col min="8" max="256" width="8.88671875" style="449"/>
    <col min="257" max="263" width="13.109375" style="449" customWidth="1"/>
    <col min="264" max="512" width="8.88671875" style="449"/>
    <col min="513" max="519" width="13.109375" style="449" customWidth="1"/>
    <col min="520" max="768" width="8.88671875" style="449"/>
    <col min="769" max="775" width="13.109375" style="449" customWidth="1"/>
    <col min="776" max="1024" width="8.88671875" style="449"/>
    <col min="1025" max="1031" width="13.109375" style="449" customWidth="1"/>
    <col min="1032" max="1280" width="8.88671875" style="449"/>
    <col min="1281" max="1287" width="13.109375" style="449" customWidth="1"/>
    <col min="1288" max="1536" width="8.88671875" style="449"/>
    <col min="1537" max="1543" width="13.109375" style="449" customWidth="1"/>
    <col min="1544" max="1792" width="8.88671875" style="449"/>
    <col min="1793" max="1799" width="13.109375" style="449" customWidth="1"/>
    <col min="1800" max="2048" width="8.88671875" style="449"/>
    <col min="2049" max="2055" width="13.109375" style="449" customWidth="1"/>
    <col min="2056" max="2304" width="8.88671875" style="449"/>
    <col min="2305" max="2311" width="13.109375" style="449" customWidth="1"/>
    <col min="2312" max="2560" width="8.88671875" style="449"/>
    <col min="2561" max="2567" width="13.109375" style="449" customWidth="1"/>
    <col min="2568" max="2816" width="8.88671875" style="449"/>
    <col min="2817" max="2823" width="13.109375" style="449" customWidth="1"/>
    <col min="2824" max="3072" width="8.88671875" style="449"/>
    <col min="3073" max="3079" width="13.109375" style="449" customWidth="1"/>
    <col min="3080" max="3328" width="8.88671875" style="449"/>
    <col min="3329" max="3335" width="13.109375" style="449" customWidth="1"/>
    <col min="3336" max="3584" width="8.88671875" style="449"/>
    <col min="3585" max="3591" width="13.109375" style="449" customWidth="1"/>
    <col min="3592" max="3840" width="8.88671875" style="449"/>
    <col min="3841" max="3847" width="13.109375" style="449" customWidth="1"/>
    <col min="3848" max="4096" width="8.88671875" style="449"/>
    <col min="4097" max="4103" width="13.109375" style="449" customWidth="1"/>
    <col min="4104" max="4352" width="8.88671875" style="449"/>
    <col min="4353" max="4359" width="13.109375" style="449" customWidth="1"/>
    <col min="4360" max="4608" width="8.88671875" style="449"/>
    <col min="4609" max="4615" width="13.109375" style="449" customWidth="1"/>
    <col min="4616" max="4864" width="8.88671875" style="449"/>
    <col min="4865" max="4871" width="13.109375" style="449" customWidth="1"/>
    <col min="4872" max="5120" width="8.88671875" style="449"/>
    <col min="5121" max="5127" width="13.109375" style="449" customWidth="1"/>
    <col min="5128" max="5376" width="8.88671875" style="449"/>
    <col min="5377" max="5383" width="13.109375" style="449" customWidth="1"/>
    <col min="5384" max="5632" width="8.88671875" style="449"/>
    <col min="5633" max="5639" width="13.109375" style="449" customWidth="1"/>
    <col min="5640" max="5888" width="8.88671875" style="449"/>
    <col min="5889" max="5895" width="13.109375" style="449" customWidth="1"/>
    <col min="5896" max="6144" width="8.88671875" style="449"/>
    <col min="6145" max="6151" width="13.109375" style="449" customWidth="1"/>
    <col min="6152" max="6400" width="8.88671875" style="449"/>
    <col min="6401" max="6407" width="13.109375" style="449" customWidth="1"/>
    <col min="6408" max="6656" width="8.88671875" style="449"/>
    <col min="6657" max="6663" width="13.109375" style="449" customWidth="1"/>
    <col min="6664" max="6912" width="8.88671875" style="449"/>
    <col min="6913" max="6919" width="13.109375" style="449" customWidth="1"/>
    <col min="6920" max="7168" width="8.88671875" style="449"/>
    <col min="7169" max="7175" width="13.109375" style="449" customWidth="1"/>
    <col min="7176" max="7424" width="8.88671875" style="449"/>
    <col min="7425" max="7431" width="13.109375" style="449" customWidth="1"/>
    <col min="7432" max="7680" width="8.88671875" style="449"/>
    <col min="7681" max="7687" width="13.109375" style="449" customWidth="1"/>
    <col min="7688" max="7936" width="8.88671875" style="449"/>
    <col min="7937" max="7943" width="13.109375" style="449" customWidth="1"/>
    <col min="7944" max="8192" width="8.88671875" style="449"/>
    <col min="8193" max="8199" width="13.109375" style="449" customWidth="1"/>
    <col min="8200" max="8448" width="8.88671875" style="449"/>
    <col min="8449" max="8455" width="13.109375" style="449" customWidth="1"/>
    <col min="8456" max="8704" width="8.88671875" style="449"/>
    <col min="8705" max="8711" width="13.109375" style="449" customWidth="1"/>
    <col min="8712" max="8960" width="8.88671875" style="449"/>
    <col min="8961" max="8967" width="13.109375" style="449" customWidth="1"/>
    <col min="8968" max="9216" width="8.88671875" style="449"/>
    <col min="9217" max="9223" width="13.109375" style="449" customWidth="1"/>
    <col min="9224" max="9472" width="8.88671875" style="449"/>
    <col min="9473" max="9479" width="13.109375" style="449" customWidth="1"/>
    <col min="9480" max="9728" width="8.88671875" style="449"/>
    <col min="9729" max="9735" width="13.109375" style="449" customWidth="1"/>
    <col min="9736" max="9984" width="8.88671875" style="449"/>
    <col min="9985" max="9991" width="13.109375" style="449" customWidth="1"/>
    <col min="9992" max="10240" width="8.88671875" style="449"/>
    <col min="10241" max="10247" width="13.109375" style="449" customWidth="1"/>
    <col min="10248" max="10496" width="8.88671875" style="449"/>
    <col min="10497" max="10503" width="13.109375" style="449" customWidth="1"/>
    <col min="10504" max="10752" width="8.88671875" style="449"/>
    <col min="10753" max="10759" width="13.109375" style="449" customWidth="1"/>
    <col min="10760" max="11008" width="8.88671875" style="449"/>
    <col min="11009" max="11015" width="13.109375" style="449" customWidth="1"/>
    <col min="11016" max="11264" width="8.88671875" style="449"/>
    <col min="11265" max="11271" width="13.109375" style="449" customWidth="1"/>
    <col min="11272" max="11520" width="8.88671875" style="449"/>
    <col min="11521" max="11527" width="13.109375" style="449" customWidth="1"/>
    <col min="11528" max="11776" width="8.88671875" style="449"/>
    <col min="11777" max="11783" width="13.109375" style="449" customWidth="1"/>
    <col min="11784" max="12032" width="8.88671875" style="449"/>
    <col min="12033" max="12039" width="13.109375" style="449" customWidth="1"/>
    <col min="12040" max="12288" width="8.88671875" style="449"/>
    <col min="12289" max="12295" width="13.109375" style="449" customWidth="1"/>
    <col min="12296" max="12544" width="8.88671875" style="449"/>
    <col min="12545" max="12551" width="13.109375" style="449" customWidth="1"/>
    <col min="12552" max="12800" width="8.88671875" style="449"/>
    <col min="12801" max="12807" width="13.109375" style="449" customWidth="1"/>
    <col min="12808" max="13056" width="8.88671875" style="449"/>
    <col min="13057" max="13063" width="13.109375" style="449" customWidth="1"/>
    <col min="13064" max="13312" width="8.88671875" style="449"/>
    <col min="13313" max="13319" width="13.109375" style="449" customWidth="1"/>
    <col min="13320" max="13568" width="8.88671875" style="449"/>
    <col min="13569" max="13575" width="13.109375" style="449" customWidth="1"/>
    <col min="13576" max="13824" width="8.88671875" style="449"/>
    <col min="13825" max="13831" width="13.109375" style="449" customWidth="1"/>
    <col min="13832" max="14080" width="8.88671875" style="449"/>
    <col min="14081" max="14087" width="13.109375" style="449" customWidth="1"/>
    <col min="14088" max="14336" width="8.88671875" style="449"/>
    <col min="14337" max="14343" width="13.109375" style="449" customWidth="1"/>
    <col min="14344" max="14592" width="8.88671875" style="449"/>
    <col min="14593" max="14599" width="13.109375" style="449" customWidth="1"/>
    <col min="14600" max="14848" width="8.88671875" style="449"/>
    <col min="14849" max="14855" width="13.109375" style="449" customWidth="1"/>
    <col min="14856" max="15104" width="8.88671875" style="449"/>
    <col min="15105" max="15111" width="13.109375" style="449" customWidth="1"/>
    <col min="15112" max="15360" width="8.88671875" style="449"/>
    <col min="15361" max="15367" width="13.109375" style="449" customWidth="1"/>
    <col min="15368" max="15616" width="8.88671875" style="449"/>
    <col min="15617" max="15623" width="13.109375" style="449" customWidth="1"/>
    <col min="15624" max="15872" width="8.88671875" style="449"/>
    <col min="15873" max="15879" width="13.109375" style="449" customWidth="1"/>
    <col min="15880" max="16128" width="8.88671875" style="449"/>
    <col min="16129" max="16135" width="13.109375" style="449" customWidth="1"/>
    <col min="16136" max="16384" width="8.88671875" style="449"/>
  </cols>
  <sheetData>
    <row r="1" spans="1:27" ht="15.6" x14ac:dyDescent="0.25">
      <c r="A1" s="1339" t="str">
        <f>'(Extended filter)'!A1:L1</f>
        <v>ROSHNABAD BARRAGE</v>
      </c>
      <c r="B1" s="1248"/>
      <c r="C1" s="1248"/>
      <c r="D1" s="1248"/>
      <c r="E1" s="1248"/>
      <c r="F1" s="1248"/>
      <c r="G1" s="1248"/>
    </row>
    <row r="2" spans="1:27" ht="14.4" x14ac:dyDescent="0.25">
      <c r="A2" s="697" t="str">
        <f>'(Extended filter)'!A2</f>
        <v>TEHSIL :-SIDHI</v>
      </c>
      <c r="B2" s="698"/>
      <c r="C2" s="698"/>
      <c r="D2" s="699"/>
      <c r="E2" s="1311" t="str">
        <f>'(Extended filter)'!I2</f>
        <v>DISTRICT :SINGRAULI</v>
      </c>
      <c r="F2" s="1311"/>
      <c r="G2" s="1311"/>
    </row>
    <row r="3" spans="1:27" ht="15.6" x14ac:dyDescent="0.3">
      <c r="A3" s="1312" t="s">
        <v>589</v>
      </c>
      <c r="B3" s="1312"/>
      <c r="C3" s="1312"/>
      <c r="D3" s="1312"/>
      <c r="E3" s="1312"/>
      <c r="F3" s="1312"/>
      <c r="G3" s="1312"/>
      <c r="I3" s="1401"/>
      <c r="J3" s="1401"/>
      <c r="K3" s="944"/>
      <c r="L3" s="1401"/>
      <c r="M3" s="1401"/>
      <c r="N3" s="944"/>
      <c r="O3" s="1401"/>
      <c r="P3" s="1401"/>
      <c r="Q3" s="944"/>
      <c r="R3" s="569"/>
      <c r="S3" s="569"/>
      <c r="T3" s="569"/>
    </row>
    <row r="4" spans="1:27" ht="13.8" x14ac:dyDescent="0.3">
      <c r="A4" s="569" t="s">
        <v>590</v>
      </c>
      <c r="B4" s="569"/>
      <c r="C4" s="569"/>
      <c r="D4" s="945">
        <v>0.3</v>
      </c>
      <c r="E4" s="569"/>
      <c r="F4" s="569"/>
      <c r="G4" s="569"/>
      <c r="I4" s="569"/>
      <c r="J4" s="569"/>
      <c r="K4" s="569"/>
      <c r="L4" s="569"/>
      <c r="M4" s="569"/>
      <c r="N4" s="569"/>
      <c r="O4" s="569"/>
      <c r="P4" s="569"/>
      <c r="Q4" s="569"/>
      <c r="R4" s="569"/>
      <c r="S4" s="569"/>
      <c r="T4" s="569"/>
    </row>
    <row r="5" spans="1:27" ht="69" x14ac:dyDescent="0.3">
      <c r="A5" s="818" t="s">
        <v>466</v>
      </c>
      <c r="B5" s="818" t="s">
        <v>467</v>
      </c>
      <c r="C5" s="830" t="s">
        <v>581</v>
      </c>
      <c r="D5" s="818" t="s">
        <v>591</v>
      </c>
      <c r="E5" s="818" t="s">
        <v>532</v>
      </c>
      <c r="F5" s="818" t="s">
        <v>533</v>
      </c>
      <c r="G5" s="818" t="s">
        <v>592</v>
      </c>
      <c r="I5" s="569"/>
      <c r="J5" s="569"/>
      <c r="K5" s="569"/>
      <c r="L5" s="569"/>
      <c r="M5" s="569"/>
      <c r="N5" s="569"/>
      <c r="O5" s="569"/>
      <c r="P5" s="569"/>
      <c r="Q5" s="569"/>
      <c r="R5" s="569"/>
      <c r="S5" s="569"/>
      <c r="T5" s="569"/>
    </row>
    <row r="6" spans="1:27" ht="13.8" x14ac:dyDescent="0.3">
      <c r="A6" s="821">
        <v>1</v>
      </c>
      <c r="B6" s="821">
        <v>2</v>
      </c>
      <c r="C6" s="821">
        <v>3</v>
      </c>
      <c r="D6" s="821">
        <v>4</v>
      </c>
      <c r="E6" s="821">
        <v>5</v>
      </c>
      <c r="F6" s="821">
        <v>6</v>
      </c>
      <c r="G6" s="821">
        <v>7</v>
      </c>
      <c r="I6" s="569"/>
      <c r="J6" s="569"/>
      <c r="K6" s="569"/>
      <c r="L6" s="569"/>
      <c r="M6" s="569"/>
      <c r="N6" s="569"/>
      <c r="O6" s="569"/>
      <c r="P6" s="569"/>
      <c r="Q6" s="569"/>
      <c r="R6" s="569"/>
      <c r="S6" s="569"/>
      <c r="T6" s="569"/>
    </row>
    <row r="7" spans="1:27" s="615" customFormat="1" ht="15.6" x14ac:dyDescent="0.3">
      <c r="A7" s="925">
        <f>'e-w'!B31</f>
        <v>0</v>
      </c>
      <c r="B7" s="727">
        <v>0</v>
      </c>
      <c r="C7" s="946">
        <f>'(Extended filter)'!F9</f>
        <v>0.75</v>
      </c>
      <c r="D7" s="927">
        <f t="shared" ref="D7:D44" si="0">$D$4</f>
        <v>0.3</v>
      </c>
      <c r="E7" s="734">
        <f t="shared" ref="E7:E8" si="1">D7*C7</f>
        <v>0.22499999999999998</v>
      </c>
      <c r="F7" s="734">
        <v>0</v>
      </c>
      <c r="G7" s="734">
        <f t="shared" ref="G7:G8" si="2">F7*B7</f>
        <v>0</v>
      </c>
      <c r="H7" s="659"/>
      <c r="I7" s="659"/>
      <c r="J7" s="660"/>
      <c r="K7" s="660"/>
      <c r="L7" s="659"/>
      <c r="M7" s="660"/>
      <c r="N7" s="659"/>
      <c r="O7" s="659"/>
      <c r="P7" s="659"/>
      <c r="Q7" s="659"/>
      <c r="R7" s="659"/>
      <c r="S7" s="659"/>
      <c r="T7" s="659"/>
      <c r="U7" s="659"/>
      <c r="V7" s="660"/>
      <c r="W7" s="660"/>
      <c r="X7" s="660"/>
      <c r="Y7" s="660"/>
      <c r="Z7" s="661"/>
      <c r="AA7" s="661"/>
    </row>
    <row r="8" spans="1:27" s="615" customFormat="1" ht="15.6" x14ac:dyDescent="0.3">
      <c r="A8" s="925">
        <f>'e-w'!B32</f>
        <v>20</v>
      </c>
      <c r="B8" s="727">
        <f t="shared" ref="B8" si="3">IF(A8-A7&gt;0,A8-A7,0)</f>
        <v>20</v>
      </c>
      <c r="C8" s="946">
        <f>'(Extended filter)'!F10</f>
        <v>47.75</v>
      </c>
      <c r="D8" s="927">
        <f t="shared" si="0"/>
        <v>0.3</v>
      </c>
      <c r="E8" s="734">
        <f t="shared" si="1"/>
        <v>14.324999999999999</v>
      </c>
      <c r="F8" s="734">
        <f t="shared" ref="F8" si="4">(E8+E7)/2</f>
        <v>7.2749999999999995</v>
      </c>
      <c r="G8" s="734">
        <f t="shared" si="2"/>
        <v>145.5</v>
      </c>
      <c r="H8" s="659"/>
      <c r="I8" s="659"/>
      <c r="J8" s="660"/>
      <c r="K8" s="660"/>
      <c r="L8" s="659"/>
      <c r="M8" s="660"/>
      <c r="N8" s="659"/>
      <c r="O8" s="659"/>
      <c r="P8" s="659"/>
      <c r="Q8" s="659"/>
      <c r="R8" s="659"/>
      <c r="S8" s="659"/>
      <c r="T8" s="659"/>
      <c r="U8" s="659"/>
      <c r="V8" s="660"/>
      <c r="W8" s="660"/>
      <c r="X8" s="660"/>
      <c r="Y8" s="660"/>
      <c r="Z8" s="661"/>
      <c r="AA8" s="661"/>
    </row>
    <row r="9" spans="1:27" s="615" customFormat="1" ht="15.6" x14ac:dyDescent="0.3">
      <c r="A9" s="925">
        <f>'e-w'!B33</f>
        <v>40</v>
      </c>
      <c r="B9" s="727">
        <f t="shared" ref="B9:B44" si="5">IF(A9-A8&gt;0,A9-A8,0)</f>
        <v>20</v>
      </c>
      <c r="C9" s="946">
        <f>'(Extended filter)'!F11</f>
        <v>47.75</v>
      </c>
      <c r="D9" s="927">
        <f t="shared" si="0"/>
        <v>0.3</v>
      </c>
      <c r="E9" s="734">
        <f t="shared" ref="E9:E44" si="6">D9*C9</f>
        <v>14.324999999999999</v>
      </c>
      <c r="F9" s="734">
        <f t="shared" ref="F9:F44" si="7">(E9+E8)/2</f>
        <v>14.324999999999999</v>
      </c>
      <c r="G9" s="734">
        <f t="shared" ref="G9:G44" si="8">F9*B9</f>
        <v>286.5</v>
      </c>
      <c r="H9" s="659"/>
      <c r="I9" s="659"/>
      <c r="J9" s="660"/>
      <c r="K9" s="660"/>
      <c r="L9" s="659"/>
      <c r="M9" s="660"/>
      <c r="N9" s="659"/>
      <c r="O9" s="659"/>
      <c r="P9" s="659"/>
      <c r="Q9" s="659"/>
      <c r="R9" s="659"/>
      <c r="S9" s="659"/>
      <c r="T9" s="659"/>
      <c r="U9" s="659"/>
      <c r="V9" s="660"/>
      <c r="W9" s="660"/>
      <c r="X9" s="660"/>
      <c r="Y9" s="660"/>
      <c r="Z9" s="661"/>
      <c r="AA9" s="661"/>
    </row>
    <row r="10" spans="1:27" s="615" customFormat="1" ht="15.6" x14ac:dyDescent="0.3">
      <c r="A10" s="925">
        <f>'e-w'!B34</f>
        <v>60</v>
      </c>
      <c r="B10" s="727">
        <f t="shared" si="5"/>
        <v>20</v>
      </c>
      <c r="C10" s="946">
        <f>'(Extended filter)'!F12</f>
        <v>47.75</v>
      </c>
      <c r="D10" s="927">
        <f t="shared" si="0"/>
        <v>0.3</v>
      </c>
      <c r="E10" s="734">
        <f t="shared" si="6"/>
        <v>14.324999999999999</v>
      </c>
      <c r="F10" s="734">
        <f t="shared" si="7"/>
        <v>14.324999999999999</v>
      </c>
      <c r="G10" s="734">
        <f t="shared" si="8"/>
        <v>286.5</v>
      </c>
      <c r="H10" s="659"/>
      <c r="I10" s="659"/>
      <c r="J10" s="660"/>
      <c r="K10" s="660"/>
      <c r="L10" s="659"/>
      <c r="M10" s="660"/>
      <c r="N10" s="659"/>
      <c r="O10" s="659"/>
      <c r="P10" s="659"/>
      <c r="Q10" s="659"/>
      <c r="R10" s="659"/>
      <c r="S10" s="659"/>
      <c r="T10" s="659"/>
      <c r="U10" s="659"/>
      <c r="V10" s="660"/>
      <c r="W10" s="660"/>
      <c r="X10" s="660"/>
      <c r="Y10" s="660"/>
      <c r="Z10" s="661"/>
      <c r="AA10" s="661"/>
    </row>
    <row r="11" spans="1:27" s="615" customFormat="1" ht="15.6" x14ac:dyDescent="0.3">
      <c r="A11" s="925">
        <f>'e-w'!B35</f>
        <v>80</v>
      </c>
      <c r="B11" s="727">
        <f t="shared" si="5"/>
        <v>20</v>
      </c>
      <c r="C11" s="946">
        <f>'(Extended filter)'!F13</f>
        <v>47.75</v>
      </c>
      <c r="D11" s="927">
        <f t="shared" si="0"/>
        <v>0.3</v>
      </c>
      <c r="E11" s="734">
        <f t="shared" si="6"/>
        <v>14.324999999999999</v>
      </c>
      <c r="F11" s="734">
        <f t="shared" si="7"/>
        <v>14.324999999999999</v>
      </c>
      <c r="G11" s="734">
        <f t="shared" si="8"/>
        <v>286.5</v>
      </c>
      <c r="H11" s="659"/>
      <c r="I11" s="659"/>
      <c r="J11" s="660"/>
      <c r="K11" s="660"/>
      <c r="L11" s="659"/>
      <c r="M11" s="660"/>
      <c r="N11" s="659"/>
      <c r="O11" s="659"/>
      <c r="P11" s="659"/>
      <c r="Q11" s="659"/>
      <c r="R11" s="659"/>
      <c r="S11" s="659"/>
      <c r="T11" s="659"/>
      <c r="U11" s="659"/>
      <c r="V11" s="660"/>
      <c r="W11" s="660"/>
      <c r="X11" s="660"/>
      <c r="Y11" s="660"/>
      <c r="Z11" s="661"/>
      <c r="AA11" s="661"/>
    </row>
    <row r="12" spans="1:27" s="615" customFormat="1" ht="15.6" x14ac:dyDescent="0.3">
      <c r="A12" s="925">
        <f>'e-w'!B36</f>
        <v>100</v>
      </c>
      <c r="B12" s="727">
        <f t="shared" si="5"/>
        <v>20</v>
      </c>
      <c r="C12" s="946">
        <f>'(Extended filter)'!F14</f>
        <v>47.75</v>
      </c>
      <c r="D12" s="927">
        <f t="shared" si="0"/>
        <v>0.3</v>
      </c>
      <c r="E12" s="734">
        <f t="shared" si="6"/>
        <v>14.324999999999999</v>
      </c>
      <c r="F12" s="734">
        <f t="shared" si="7"/>
        <v>14.324999999999999</v>
      </c>
      <c r="G12" s="734">
        <f t="shared" si="8"/>
        <v>286.5</v>
      </c>
      <c r="H12" s="659"/>
      <c r="I12" s="659"/>
      <c r="J12" s="660"/>
      <c r="K12" s="660"/>
      <c r="L12" s="659"/>
      <c r="M12" s="660"/>
      <c r="N12" s="659"/>
      <c r="O12" s="659"/>
      <c r="P12" s="659"/>
      <c r="Q12" s="659"/>
      <c r="R12" s="659"/>
      <c r="S12" s="659"/>
      <c r="T12" s="659"/>
      <c r="U12" s="659"/>
      <c r="V12" s="660"/>
      <c r="W12" s="660"/>
      <c r="X12" s="660"/>
      <c r="Y12" s="660"/>
      <c r="Z12" s="661"/>
      <c r="AA12" s="661"/>
    </row>
    <row r="13" spans="1:27" s="615" customFormat="1" ht="15.6" x14ac:dyDescent="0.3">
      <c r="A13" s="925">
        <f>'e-w'!B37</f>
        <v>120</v>
      </c>
      <c r="B13" s="727">
        <f t="shared" si="5"/>
        <v>20</v>
      </c>
      <c r="C13" s="946">
        <f>'(Extended filter)'!F15</f>
        <v>47.75</v>
      </c>
      <c r="D13" s="927">
        <f t="shared" si="0"/>
        <v>0.3</v>
      </c>
      <c r="E13" s="734">
        <f t="shared" si="6"/>
        <v>14.324999999999999</v>
      </c>
      <c r="F13" s="734">
        <f t="shared" si="7"/>
        <v>14.324999999999999</v>
      </c>
      <c r="G13" s="734">
        <f t="shared" si="8"/>
        <v>286.5</v>
      </c>
      <c r="H13" s="659"/>
      <c r="I13" s="659"/>
      <c r="J13" s="660"/>
      <c r="K13" s="660"/>
      <c r="L13" s="659"/>
      <c r="M13" s="660"/>
      <c r="N13" s="659"/>
      <c r="O13" s="659"/>
      <c r="P13" s="659"/>
      <c r="Q13" s="659"/>
      <c r="R13" s="659"/>
      <c r="S13" s="659"/>
      <c r="T13" s="659"/>
      <c r="U13" s="659"/>
      <c r="V13" s="660"/>
      <c r="W13" s="660"/>
      <c r="X13" s="660"/>
      <c r="Y13" s="660"/>
      <c r="Z13" s="661"/>
      <c r="AA13" s="661"/>
    </row>
    <row r="14" spans="1:27" s="615" customFormat="1" ht="15.6" x14ac:dyDescent="0.3">
      <c r="A14" s="925">
        <f>'e-w'!B38</f>
        <v>140</v>
      </c>
      <c r="B14" s="727">
        <f t="shared" si="5"/>
        <v>20</v>
      </c>
      <c r="C14" s="946">
        <f>'(Extended filter)'!F16</f>
        <v>47.75</v>
      </c>
      <c r="D14" s="927">
        <f t="shared" si="0"/>
        <v>0.3</v>
      </c>
      <c r="E14" s="734">
        <f t="shared" si="6"/>
        <v>14.324999999999999</v>
      </c>
      <c r="F14" s="734">
        <f t="shared" si="7"/>
        <v>14.324999999999999</v>
      </c>
      <c r="G14" s="734">
        <f t="shared" si="8"/>
        <v>286.5</v>
      </c>
      <c r="H14" s="659"/>
      <c r="I14" s="659"/>
      <c r="J14" s="660"/>
      <c r="K14" s="660"/>
      <c r="L14" s="659"/>
      <c r="M14" s="660"/>
      <c r="N14" s="659"/>
      <c r="O14" s="659"/>
      <c r="P14" s="659"/>
      <c r="Q14" s="659"/>
      <c r="R14" s="659"/>
      <c r="S14" s="659"/>
      <c r="T14" s="659"/>
      <c r="U14" s="659"/>
      <c r="V14" s="660"/>
      <c r="W14" s="660"/>
      <c r="X14" s="660"/>
      <c r="Y14" s="660"/>
      <c r="Z14" s="661"/>
      <c r="AA14" s="661"/>
    </row>
    <row r="15" spans="1:27" s="615" customFormat="1" ht="15.6" x14ac:dyDescent="0.3">
      <c r="A15" s="925">
        <f>'e-w'!B39</f>
        <v>160</v>
      </c>
      <c r="B15" s="727">
        <f t="shared" si="5"/>
        <v>20</v>
      </c>
      <c r="C15" s="946">
        <f>'(Extended filter)'!F17</f>
        <v>47.75</v>
      </c>
      <c r="D15" s="927">
        <f t="shared" si="0"/>
        <v>0.3</v>
      </c>
      <c r="E15" s="734">
        <f t="shared" si="6"/>
        <v>14.324999999999999</v>
      </c>
      <c r="F15" s="734">
        <f t="shared" si="7"/>
        <v>14.324999999999999</v>
      </c>
      <c r="G15" s="734">
        <f t="shared" si="8"/>
        <v>286.5</v>
      </c>
      <c r="H15" s="659"/>
      <c r="I15" s="659"/>
      <c r="J15" s="660"/>
      <c r="K15" s="660"/>
      <c r="L15" s="659"/>
      <c r="M15" s="660"/>
      <c r="N15" s="659"/>
      <c r="O15" s="659"/>
      <c r="P15" s="659"/>
      <c r="Q15" s="659"/>
      <c r="R15" s="659"/>
      <c r="S15" s="659"/>
      <c r="T15" s="659"/>
      <c r="U15" s="659"/>
      <c r="V15" s="660"/>
      <c r="W15" s="660"/>
      <c r="X15" s="660"/>
      <c r="Y15" s="660"/>
      <c r="Z15" s="661"/>
      <c r="AA15" s="661"/>
    </row>
    <row r="16" spans="1:27" s="615" customFormat="1" ht="15.6" x14ac:dyDescent="0.3">
      <c r="A16" s="925">
        <f>'e-w'!B40</f>
        <v>180</v>
      </c>
      <c r="B16" s="727">
        <f t="shared" si="5"/>
        <v>20</v>
      </c>
      <c r="C16" s="946">
        <f>'(Extended filter)'!F18</f>
        <v>47.75</v>
      </c>
      <c r="D16" s="927">
        <f t="shared" si="0"/>
        <v>0.3</v>
      </c>
      <c r="E16" s="734">
        <f t="shared" si="6"/>
        <v>14.324999999999999</v>
      </c>
      <c r="F16" s="734">
        <f t="shared" si="7"/>
        <v>14.324999999999999</v>
      </c>
      <c r="G16" s="734">
        <f t="shared" si="8"/>
        <v>286.5</v>
      </c>
      <c r="H16" s="659"/>
      <c r="I16" s="659"/>
      <c r="J16" s="660"/>
      <c r="K16" s="660"/>
      <c r="L16" s="659"/>
      <c r="M16" s="660"/>
      <c r="N16" s="659"/>
      <c r="O16" s="659"/>
      <c r="P16" s="659"/>
      <c r="Q16" s="659"/>
      <c r="R16" s="659"/>
      <c r="S16" s="659"/>
      <c r="T16" s="659"/>
      <c r="U16" s="659"/>
      <c r="V16" s="660"/>
      <c r="W16" s="660"/>
      <c r="X16" s="660"/>
      <c r="Y16" s="660"/>
      <c r="Z16" s="661"/>
      <c r="AA16" s="661"/>
    </row>
    <row r="17" spans="1:27" s="615" customFormat="1" ht="15.6" x14ac:dyDescent="0.3">
      <c r="A17" s="925">
        <f>'e-w'!B41</f>
        <v>200</v>
      </c>
      <c r="B17" s="727">
        <f t="shared" si="5"/>
        <v>20</v>
      </c>
      <c r="C17" s="946">
        <f>'(Extended filter)'!F19</f>
        <v>47.75</v>
      </c>
      <c r="D17" s="927">
        <f t="shared" si="0"/>
        <v>0.3</v>
      </c>
      <c r="E17" s="734">
        <f t="shared" si="6"/>
        <v>14.324999999999999</v>
      </c>
      <c r="F17" s="734">
        <f t="shared" si="7"/>
        <v>14.324999999999999</v>
      </c>
      <c r="G17" s="734">
        <f t="shared" si="8"/>
        <v>286.5</v>
      </c>
      <c r="H17" s="659"/>
      <c r="I17" s="659"/>
      <c r="J17" s="660"/>
      <c r="K17" s="660"/>
      <c r="L17" s="659"/>
      <c r="M17" s="660"/>
      <c r="N17" s="659"/>
      <c r="O17" s="659"/>
      <c r="P17" s="659"/>
      <c r="Q17" s="659"/>
      <c r="R17" s="659"/>
      <c r="S17" s="659"/>
      <c r="T17" s="659"/>
      <c r="U17" s="659"/>
      <c r="V17" s="660"/>
      <c r="W17" s="660"/>
      <c r="X17" s="660"/>
      <c r="Y17" s="660"/>
      <c r="Z17" s="661"/>
      <c r="AA17" s="661"/>
    </row>
    <row r="18" spans="1:27" s="615" customFormat="1" ht="15.6" x14ac:dyDescent="0.3">
      <c r="A18" s="925">
        <f>'e-w'!B42</f>
        <v>220</v>
      </c>
      <c r="B18" s="727">
        <f t="shared" si="5"/>
        <v>20</v>
      </c>
      <c r="C18" s="946">
        <f>'(Extended filter)'!F20</f>
        <v>47.75</v>
      </c>
      <c r="D18" s="927">
        <f t="shared" si="0"/>
        <v>0.3</v>
      </c>
      <c r="E18" s="734">
        <f t="shared" si="6"/>
        <v>14.324999999999999</v>
      </c>
      <c r="F18" s="734">
        <f t="shared" si="7"/>
        <v>14.324999999999999</v>
      </c>
      <c r="G18" s="734">
        <f t="shared" si="8"/>
        <v>286.5</v>
      </c>
      <c r="H18" s="659"/>
      <c r="I18" s="659"/>
      <c r="J18" s="660"/>
      <c r="K18" s="660"/>
      <c r="L18" s="659"/>
      <c r="M18" s="660"/>
      <c r="N18" s="659"/>
      <c r="O18" s="659"/>
      <c r="P18" s="659"/>
      <c r="Q18" s="659"/>
      <c r="R18" s="659"/>
      <c r="S18" s="659"/>
      <c r="T18" s="659"/>
      <c r="U18" s="659"/>
      <c r="V18" s="660"/>
      <c r="W18" s="660"/>
      <c r="X18" s="660"/>
      <c r="Y18" s="660"/>
      <c r="Z18" s="661"/>
      <c r="AA18" s="661"/>
    </row>
    <row r="19" spans="1:27" s="615" customFormat="1" ht="15.6" x14ac:dyDescent="0.3">
      <c r="A19" s="925">
        <f>'e-w'!B43</f>
        <v>240</v>
      </c>
      <c r="B19" s="727">
        <f t="shared" si="5"/>
        <v>20</v>
      </c>
      <c r="C19" s="946">
        <f>'(Extended filter)'!F21</f>
        <v>47.75</v>
      </c>
      <c r="D19" s="927">
        <f t="shared" si="0"/>
        <v>0.3</v>
      </c>
      <c r="E19" s="734">
        <f t="shared" si="6"/>
        <v>14.324999999999999</v>
      </c>
      <c r="F19" s="734">
        <f t="shared" si="7"/>
        <v>14.324999999999999</v>
      </c>
      <c r="G19" s="734">
        <f t="shared" si="8"/>
        <v>286.5</v>
      </c>
      <c r="H19" s="659"/>
      <c r="I19" s="659"/>
      <c r="J19" s="660"/>
      <c r="K19" s="660"/>
      <c r="L19" s="659"/>
      <c r="M19" s="660"/>
      <c r="N19" s="659"/>
      <c r="O19" s="659"/>
      <c r="P19" s="659"/>
      <c r="Q19" s="659"/>
      <c r="R19" s="659"/>
      <c r="S19" s="659"/>
      <c r="T19" s="659"/>
      <c r="U19" s="659"/>
      <c r="V19" s="660"/>
      <c r="W19" s="660"/>
      <c r="X19" s="660"/>
      <c r="Y19" s="660"/>
      <c r="Z19" s="661"/>
      <c r="AA19" s="661"/>
    </row>
    <row r="20" spans="1:27" s="615" customFormat="1" ht="15.6" x14ac:dyDescent="0.3">
      <c r="A20" s="925">
        <f>'e-w'!B44</f>
        <v>260</v>
      </c>
      <c r="B20" s="727">
        <f t="shared" si="5"/>
        <v>20</v>
      </c>
      <c r="C20" s="946">
        <f>'(Extended filter)'!F22</f>
        <v>47.75</v>
      </c>
      <c r="D20" s="927">
        <f t="shared" si="0"/>
        <v>0.3</v>
      </c>
      <c r="E20" s="734">
        <f t="shared" si="6"/>
        <v>14.324999999999999</v>
      </c>
      <c r="F20" s="734">
        <f t="shared" si="7"/>
        <v>14.324999999999999</v>
      </c>
      <c r="G20" s="734">
        <f t="shared" si="8"/>
        <v>286.5</v>
      </c>
      <c r="H20" s="659"/>
      <c r="I20" s="659"/>
      <c r="J20" s="660"/>
      <c r="K20" s="660"/>
      <c r="L20" s="659"/>
      <c r="M20" s="660"/>
      <c r="N20" s="659"/>
      <c r="O20" s="659"/>
      <c r="P20" s="659"/>
      <c r="Q20" s="659"/>
      <c r="R20" s="659"/>
      <c r="S20" s="659"/>
      <c r="T20" s="659"/>
      <c r="U20" s="659"/>
      <c r="V20" s="660"/>
      <c r="W20" s="660"/>
      <c r="X20" s="660"/>
      <c r="Y20" s="660"/>
      <c r="Z20" s="661"/>
      <c r="AA20" s="661"/>
    </row>
    <row r="21" spans="1:27" ht="13.8" x14ac:dyDescent="0.3">
      <c r="A21" s="925">
        <f>'e-w'!B45</f>
        <v>280</v>
      </c>
      <c r="B21" s="727">
        <f t="shared" si="5"/>
        <v>20</v>
      </c>
      <c r="C21" s="946">
        <f>'(Extended filter)'!F23</f>
        <v>47.75</v>
      </c>
      <c r="D21" s="927">
        <f t="shared" si="0"/>
        <v>0.3</v>
      </c>
      <c r="E21" s="734">
        <f t="shared" si="6"/>
        <v>14.324999999999999</v>
      </c>
      <c r="F21" s="734">
        <f t="shared" si="7"/>
        <v>14.324999999999999</v>
      </c>
      <c r="G21" s="734">
        <f t="shared" si="8"/>
        <v>286.5</v>
      </c>
    </row>
    <row r="22" spans="1:27" ht="13.8" x14ac:dyDescent="0.3">
      <c r="A22" s="925">
        <f>'e-w'!B46</f>
        <v>300</v>
      </c>
      <c r="B22" s="727">
        <f t="shared" si="5"/>
        <v>20</v>
      </c>
      <c r="C22" s="946">
        <f>'(Extended filter)'!F24</f>
        <v>47.75</v>
      </c>
      <c r="D22" s="927">
        <f t="shared" si="0"/>
        <v>0.3</v>
      </c>
      <c r="E22" s="734">
        <f t="shared" si="6"/>
        <v>14.324999999999999</v>
      </c>
      <c r="F22" s="734">
        <f t="shared" si="7"/>
        <v>14.324999999999999</v>
      </c>
      <c r="G22" s="734">
        <f t="shared" si="8"/>
        <v>286.5</v>
      </c>
    </row>
    <row r="23" spans="1:27" ht="13.8" x14ac:dyDescent="0.3">
      <c r="A23" s="925">
        <f>'e-w'!B47</f>
        <v>320</v>
      </c>
      <c r="B23" s="727">
        <f t="shared" si="5"/>
        <v>20</v>
      </c>
      <c r="C23" s="946">
        <f>'(Extended filter)'!F25</f>
        <v>47.75</v>
      </c>
      <c r="D23" s="927">
        <f t="shared" si="0"/>
        <v>0.3</v>
      </c>
      <c r="E23" s="734">
        <f t="shared" si="6"/>
        <v>14.324999999999999</v>
      </c>
      <c r="F23" s="734">
        <f t="shared" si="7"/>
        <v>14.324999999999999</v>
      </c>
      <c r="G23" s="734">
        <f t="shared" si="8"/>
        <v>286.5</v>
      </c>
    </row>
    <row r="24" spans="1:27" ht="13.8" x14ac:dyDescent="0.3">
      <c r="A24" s="925">
        <f>'e-w'!B48</f>
        <v>340</v>
      </c>
      <c r="B24" s="727">
        <f t="shared" si="5"/>
        <v>20</v>
      </c>
      <c r="C24" s="946">
        <f>'(Extended filter)'!F26</f>
        <v>47.75</v>
      </c>
      <c r="D24" s="927">
        <f t="shared" si="0"/>
        <v>0.3</v>
      </c>
      <c r="E24" s="734">
        <f t="shared" si="6"/>
        <v>14.324999999999999</v>
      </c>
      <c r="F24" s="734">
        <f t="shared" si="7"/>
        <v>14.324999999999999</v>
      </c>
      <c r="G24" s="734">
        <f t="shared" si="8"/>
        <v>286.5</v>
      </c>
    </row>
    <row r="25" spans="1:27" ht="13.8" x14ac:dyDescent="0.3">
      <c r="A25" s="925">
        <f>'e-w'!B49</f>
        <v>360</v>
      </c>
      <c r="B25" s="727">
        <f t="shared" si="5"/>
        <v>20</v>
      </c>
      <c r="C25" s="946">
        <f>'(Extended filter)'!F27</f>
        <v>47.75</v>
      </c>
      <c r="D25" s="927">
        <f t="shared" si="0"/>
        <v>0.3</v>
      </c>
      <c r="E25" s="734">
        <f t="shared" si="6"/>
        <v>14.324999999999999</v>
      </c>
      <c r="F25" s="734">
        <f t="shared" si="7"/>
        <v>14.324999999999999</v>
      </c>
      <c r="G25" s="734">
        <f t="shared" si="8"/>
        <v>286.5</v>
      </c>
    </row>
    <row r="26" spans="1:27" ht="13.8" x14ac:dyDescent="0.3">
      <c r="A26" s="925">
        <f>'e-w'!B50</f>
        <v>380</v>
      </c>
      <c r="B26" s="727">
        <f t="shared" si="5"/>
        <v>20</v>
      </c>
      <c r="C26" s="946">
        <f>'(Extended filter)'!F28</f>
        <v>47.75</v>
      </c>
      <c r="D26" s="927">
        <f t="shared" si="0"/>
        <v>0.3</v>
      </c>
      <c r="E26" s="734">
        <f t="shared" si="6"/>
        <v>14.324999999999999</v>
      </c>
      <c r="F26" s="734">
        <f t="shared" si="7"/>
        <v>14.324999999999999</v>
      </c>
      <c r="G26" s="734">
        <f t="shared" si="8"/>
        <v>286.5</v>
      </c>
    </row>
    <row r="27" spans="1:27" ht="13.8" x14ac:dyDescent="0.3">
      <c r="A27" s="925">
        <f>'e-w'!B51</f>
        <v>400</v>
      </c>
      <c r="B27" s="727">
        <f t="shared" si="5"/>
        <v>20</v>
      </c>
      <c r="C27" s="946">
        <f>'(Extended filter)'!F29</f>
        <v>47.75</v>
      </c>
      <c r="D27" s="927">
        <f t="shared" si="0"/>
        <v>0.3</v>
      </c>
      <c r="E27" s="734">
        <f t="shared" si="6"/>
        <v>14.324999999999999</v>
      </c>
      <c r="F27" s="734">
        <f t="shared" si="7"/>
        <v>14.324999999999999</v>
      </c>
      <c r="G27" s="734">
        <f t="shared" si="8"/>
        <v>286.5</v>
      </c>
    </row>
    <row r="28" spans="1:27" ht="13.8" x14ac:dyDescent="0.3">
      <c r="A28" s="925">
        <f>'e-w'!B52</f>
        <v>420</v>
      </c>
      <c r="B28" s="727">
        <f t="shared" si="5"/>
        <v>20</v>
      </c>
      <c r="C28" s="946">
        <f>'(Extended filter)'!F30</f>
        <v>47.75</v>
      </c>
      <c r="D28" s="927">
        <f t="shared" si="0"/>
        <v>0.3</v>
      </c>
      <c r="E28" s="734">
        <f t="shared" si="6"/>
        <v>14.324999999999999</v>
      </c>
      <c r="F28" s="734">
        <f t="shared" si="7"/>
        <v>14.324999999999999</v>
      </c>
      <c r="G28" s="734">
        <f t="shared" si="8"/>
        <v>286.5</v>
      </c>
    </row>
    <row r="29" spans="1:27" ht="13.8" x14ac:dyDescent="0.3">
      <c r="A29" s="925">
        <f>'e-w'!B53</f>
        <v>440</v>
      </c>
      <c r="B29" s="727">
        <f t="shared" si="5"/>
        <v>20</v>
      </c>
      <c r="C29" s="946">
        <f>'(Extended filter)'!F31</f>
        <v>47.75</v>
      </c>
      <c r="D29" s="927">
        <f t="shared" si="0"/>
        <v>0.3</v>
      </c>
      <c r="E29" s="734">
        <f t="shared" si="6"/>
        <v>14.324999999999999</v>
      </c>
      <c r="F29" s="734">
        <f t="shared" si="7"/>
        <v>14.324999999999999</v>
      </c>
      <c r="G29" s="734">
        <f t="shared" si="8"/>
        <v>286.5</v>
      </c>
    </row>
    <row r="30" spans="1:27" ht="13.8" x14ac:dyDescent="0.3">
      <c r="A30" s="925">
        <f>'e-w'!B54</f>
        <v>460</v>
      </c>
      <c r="B30" s="727">
        <f t="shared" si="5"/>
        <v>20</v>
      </c>
      <c r="C30" s="946">
        <f>'(Extended filter)'!F32</f>
        <v>47.75</v>
      </c>
      <c r="D30" s="927">
        <f t="shared" si="0"/>
        <v>0.3</v>
      </c>
      <c r="E30" s="734">
        <f t="shared" si="6"/>
        <v>14.324999999999999</v>
      </c>
      <c r="F30" s="734">
        <f t="shared" si="7"/>
        <v>14.324999999999999</v>
      </c>
      <c r="G30" s="734">
        <f t="shared" si="8"/>
        <v>286.5</v>
      </c>
    </row>
    <row r="31" spans="1:27" ht="13.8" x14ac:dyDescent="0.3">
      <c r="A31" s="925">
        <f>'e-w'!B55</f>
        <v>480</v>
      </c>
      <c r="B31" s="727">
        <f t="shared" si="5"/>
        <v>20</v>
      </c>
      <c r="C31" s="946">
        <f>'(Extended filter)'!F33</f>
        <v>47.75</v>
      </c>
      <c r="D31" s="927">
        <f t="shared" si="0"/>
        <v>0.3</v>
      </c>
      <c r="E31" s="734">
        <f t="shared" si="6"/>
        <v>14.324999999999999</v>
      </c>
      <c r="F31" s="734">
        <f t="shared" si="7"/>
        <v>14.324999999999999</v>
      </c>
      <c r="G31" s="734">
        <f t="shared" si="8"/>
        <v>286.5</v>
      </c>
    </row>
    <row r="32" spans="1:27" ht="13.8" x14ac:dyDescent="0.3">
      <c r="A32" s="925">
        <f>'e-w'!B56</f>
        <v>500</v>
      </c>
      <c r="B32" s="727">
        <f t="shared" si="5"/>
        <v>20</v>
      </c>
      <c r="C32" s="946">
        <f>'(Extended filter)'!F34</f>
        <v>47.75</v>
      </c>
      <c r="D32" s="927">
        <f t="shared" si="0"/>
        <v>0.3</v>
      </c>
      <c r="E32" s="734">
        <f t="shared" si="6"/>
        <v>14.324999999999999</v>
      </c>
      <c r="F32" s="734">
        <f t="shared" si="7"/>
        <v>14.324999999999999</v>
      </c>
      <c r="G32" s="734">
        <f t="shared" si="8"/>
        <v>286.5</v>
      </c>
    </row>
    <row r="33" spans="1:14" ht="13.8" x14ac:dyDescent="0.3">
      <c r="A33" s="925">
        <f>'e-w'!B57</f>
        <v>520</v>
      </c>
      <c r="B33" s="727">
        <f t="shared" si="5"/>
        <v>20</v>
      </c>
      <c r="C33" s="946">
        <f>'(Extended filter)'!F35</f>
        <v>47.75</v>
      </c>
      <c r="D33" s="927">
        <f t="shared" si="0"/>
        <v>0.3</v>
      </c>
      <c r="E33" s="734">
        <f t="shared" si="6"/>
        <v>14.324999999999999</v>
      </c>
      <c r="F33" s="734">
        <f t="shared" si="7"/>
        <v>14.324999999999999</v>
      </c>
      <c r="G33" s="734">
        <f t="shared" si="8"/>
        <v>286.5</v>
      </c>
    </row>
    <row r="34" spans="1:14" ht="13.8" x14ac:dyDescent="0.3">
      <c r="A34" s="925">
        <f>'e-w'!B58</f>
        <v>540</v>
      </c>
      <c r="B34" s="727">
        <f t="shared" si="5"/>
        <v>20</v>
      </c>
      <c r="C34" s="946">
        <f>'(Extended filter)'!F36</f>
        <v>47.75</v>
      </c>
      <c r="D34" s="927">
        <f t="shared" si="0"/>
        <v>0.3</v>
      </c>
      <c r="E34" s="734">
        <f t="shared" si="6"/>
        <v>14.324999999999999</v>
      </c>
      <c r="F34" s="734">
        <f t="shared" si="7"/>
        <v>14.324999999999999</v>
      </c>
      <c r="G34" s="734">
        <f t="shared" si="8"/>
        <v>286.5</v>
      </c>
    </row>
    <row r="35" spans="1:14" ht="13.8" x14ac:dyDescent="0.3">
      <c r="A35" s="925">
        <f>'e-w'!B59</f>
        <v>560</v>
      </c>
      <c r="B35" s="727">
        <f t="shared" si="5"/>
        <v>20</v>
      </c>
      <c r="C35" s="946">
        <f>'(Extended filter)'!F37</f>
        <v>47.75</v>
      </c>
      <c r="D35" s="927">
        <f t="shared" si="0"/>
        <v>0.3</v>
      </c>
      <c r="E35" s="734">
        <f t="shared" si="6"/>
        <v>14.324999999999999</v>
      </c>
      <c r="F35" s="734">
        <f t="shared" si="7"/>
        <v>14.324999999999999</v>
      </c>
      <c r="G35" s="734">
        <f t="shared" si="8"/>
        <v>286.5</v>
      </c>
    </row>
    <row r="36" spans="1:14" ht="13.8" x14ac:dyDescent="0.3">
      <c r="A36" s="925">
        <f>'e-w'!B60</f>
        <v>580</v>
      </c>
      <c r="B36" s="727">
        <f t="shared" si="5"/>
        <v>20</v>
      </c>
      <c r="C36" s="946">
        <f>'(Extended filter)'!F38</f>
        <v>47.75</v>
      </c>
      <c r="D36" s="927">
        <f t="shared" si="0"/>
        <v>0.3</v>
      </c>
      <c r="E36" s="734">
        <f t="shared" si="6"/>
        <v>14.324999999999999</v>
      </c>
      <c r="F36" s="734">
        <f t="shared" si="7"/>
        <v>14.324999999999999</v>
      </c>
      <c r="G36" s="734">
        <f t="shared" si="8"/>
        <v>286.5</v>
      </c>
    </row>
    <row r="37" spans="1:14" ht="13.8" x14ac:dyDescent="0.3">
      <c r="A37" s="925">
        <f>'e-w'!B61</f>
        <v>600</v>
      </c>
      <c r="B37" s="727">
        <f t="shared" si="5"/>
        <v>20</v>
      </c>
      <c r="C37" s="946">
        <f>'(Extended filter)'!F39</f>
        <v>47.75</v>
      </c>
      <c r="D37" s="927">
        <f t="shared" si="0"/>
        <v>0.3</v>
      </c>
      <c r="E37" s="734">
        <f t="shared" si="6"/>
        <v>14.324999999999999</v>
      </c>
      <c r="F37" s="734">
        <f t="shared" si="7"/>
        <v>14.324999999999999</v>
      </c>
      <c r="G37" s="734">
        <f t="shared" si="8"/>
        <v>286.5</v>
      </c>
    </row>
    <row r="38" spans="1:14" ht="13.8" x14ac:dyDescent="0.3">
      <c r="A38" s="925">
        <f>'e-w'!B62</f>
        <v>620</v>
      </c>
      <c r="B38" s="727">
        <f t="shared" si="5"/>
        <v>20</v>
      </c>
      <c r="C38" s="946">
        <f>'(Extended filter)'!F40</f>
        <v>47.75</v>
      </c>
      <c r="D38" s="927">
        <f t="shared" si="0"/>
        <v>0.3</v>
      </c>
      <c r="E38" s="734">
        <f t="shared" si="6"/>
        <v>14.324999999999999</v>
      </c>
      <c r="F38" s="734">
        <f t="shared" si="7"/>
        <v>14.324999999999999</v>
      </c>
      <c r="G38" s="734">
        <f t="shared" si="8"/>
        <v>286.5</v>
      </c>
    </row>
    <row r="39" spans="1:14" ht="13.8" x14ac:dyDescent="0.3">
      <c r="A39" s="925">
        <f>'e-w'!B63</f>
        <v>640</v>
      </c>
      <c r="B39" s="727">
        <f t="shared" si="5"/>
        <v>20</v>
      </c>
      <c r="C39" s="946">
        <f>'(Extended filter)'!F41</f>
        <v>47.75</v>
      </c>
      <c r="D39" s="927">
        <f t="shared" si="0"/>
        <v>0.3</v>
      </c>
      <c r="E39" s="734">
        <f t="shared" si="6"/>
        <v>14.324999999999999</v>
      </c>
      <c r="F39" s="734">
        <f t="shared" si="7"/>
        <v>14.324999999999999</v>
      </c>
      <c r="G39" s="734">
        <f t="shared" si="8"/>
        <v>286.5</v>
      </c>
    </row>
    <row r="40" spans="1:14" ht="13.8" x14ac:dyDescent="0.3">
      <c r="A40" s="925">
        <f>'e-w'!B64</f>
        <v>660</v>
      </c>
      <c r="B40" s="727">
        <f t="shared" si="5"/>
        <v>20</v>
      </c>
      <c r="C40" s="946">
        <f>'(Extended filter)'!F42</f>
        <v>47.75</v>
      </c>
      <c r="D40" s="927">
        <f t="shared" si="0"/>
        <v>0.3</v>
      </c>
      <c r="E40" s="734">
        <f t="shared" si="6"/>
        <v>14.324999999999999</v>
      </c>
      <c r="F40" s="734">
        <f t="shared" si="7"/>
        <v>14.324999999999999</v>
      </c>
      <c r="G40" s="734">
        <f t="shared" si="8"/>
        <v>286.5</v>
      </c>
    </row>
    <row r="41" spans="1:14" ht="13.8" x14ac:dyDescent="0.3">
      <c r="A41" s="925">
        <f>'e-w'!B65</f>
        <v>680</v>
      </c>
      <c r="B41" s="727">
        <f t="shared" si="5"/>
        <v>20</v>
      </c>
      <c r="C41" s="946">
        <f>'(Extended filter)'!F43</f>
        <v>47.75</v>
      </c>
      <c r="D41" s="927">
        <f t="shared" si="0"/>
        <v>0.3</v>
      </c>
      <c r="E41" s="734">
        <f t="shared" si="6"/>
        <v>14.324999999999999</v>
      </c>
      <c r="F41" s="734">
        <f t="shared" si="7"/>
        <v>14.324999999999999</v>
      </c>
      <c r="G41" s="734">
        <f t="shared" si="8"/>
        <v>286.5</v>
      </c>
    </row>
    <row r="42" spans="1:14" ht="13.8" x14ac:dyDescent="0.3">
      <c r="A42" s="925">
        <f>'e-w'!B66</f>
        <v>700</v>
      </c>
      <c r="B42" s="727">
        <f t="shared" si="5"/>
        <v>20</v>
      </c>
      <c r="C42" s="946">
        <f>'(Extended filter)'!F44</f>
        <v>47.75</v>
      </c>
      <c r="D42" s="927">
        <f t="shared" si="0"/>
        <v>0.3</v>
      </c>
      <c r="E42" s="734">
        <f t="shared" si="6"/>
        <v>14.324999999999999</v>
      </c>
      <c r="F42" s="734">
        <f t="shared" si="7"/>
        <v>14.324999999999999</v>
      </c>
      <c r="G42" s="734">
        <f t="shared" si="8"/>
        <v>286.5</v>
      </c>
    </row>
    <row r="43" spans="1:14" ht="13.8" x14ac:dyDescent="0.3">
      <c r="A43" s="925">
        <f>'e-w'!B67</f>
        <v>720</v>
      </c>
      <c r="B43" s="727">
        <f t="shared" si="5"/>
        <v>20</v>
      </c>
      <c r="C43" s="946">
        <f>'(Extended filter)'!F45</f>
        <v>47.75</v>
      </c>
      <c r="D43" s="927">
        <f t="shared" si="0"/>
        <v>0.3</v>
      </c>
      <c r="E43" s="734">
        <f t="shared" si="6"/>
        <v>14.324999999999999</v>
      </c>
      <c r="F43" s="734">
        <f t="shared" si="7"/>
        <v>14.324999999999999</v>
      </c>
      <c r="G43" s="734">
        <f t="shared" si="8"/>
        <v>286.5</v>
      </c>
    </row>
    <row r="44" spans="1:14" ht="13.8" x14ac:dyDescent="0.3">
      <c r="A44" s="925">
        <f>'e-w'!B68</f>
        <v>740</v>
      </c>
      <c r="B44" s="727">
        <f t="shared" si="5"/>
        <v>20</v>
      </c>
      <c r="C44" s="946">
        <f>'(Extended filter)'!F46</f>
        <v>47.75</v>
      </c>
      <c r="D44" s="927">
        <f t="shared" si="0"/>
        <v>0.3</v>
      </c>
      <c r="E44" s="734">
        <f t="shared" si="6"/>
        <v>14.324999999999999</v>
      </c>
      <c r="F44" s="734">
        <f t="shared" si="7"/>
        <v>14.324999999999999</v>
      </c>
      <c r="G44" s="734">
        <f t="shared" si="8"/>
        <v>286.5</v>
      </c>
    </row>
    <row r="45" spans="1:14" ht="13.8" x14ac:dyDescent="0.3">
      <c r="A45" s="1403" t="s">
        <v>593</v>
      </c>
      <c r="B45" s="1403"/>
      <c r="C45" s="1403"/>
      <c r="D45" s="1403"/>
      <c r="E45" s="1403"/>
      <c r="F45" s="947" t="s">
        <v>114</v>
      </c>
      <c r="G45" s="948">
        <f>SUM(G7:G44)</f>
        <v>10459.5</v>
      </c>
    </row>
    <row r="46" spans="1:14" ht="13.8" x14ac:dyDescent="0.3">
      <c r="A46" s="743"/>
      <c r="B46" s="736"/>
      <c r="C46" s="745"/>
      <c r="D46" s="745"/>
      <c r="E46" s="569"/>
      <c r="F46" s="569"/>
      <c r="G46" s="569"/>
    </row>
    <row r="47" spans="1:14" ht="13.8" x14ac:dyDescent="0.3">
      <c r="A47" s="949"/>
      <c r="B47" s="949"/>
      <c r="C47" s="949"/>
      <c r="D47" s="949"/>
      <c r="E47" s="949"/>
      <c r="F47" s="949"/>
      <c r="G47" s="949"/>
    </row>
    <row r="48" spans="1:14" ht="13.8" x14ac:dyDescent="0.3">
      <c r="A48" s="852"/>
      <c r="B48" s="749" t="s">
        <v>594</v>
      </c>
      <c r="C48" s="749"/>
      <c r="D48" s="749"/>
      <c r="E48" s="829" t="s">
        <v>114</v>
      </c>
      <c r="F48" s="1366">
        <f>G45</f>
        <v>10459.5</v>
      </c>
      <c r="G48" s="1366"/>
      <c r="J48" s="749" t="s">
        <v>593</v>
      </c>
      <c r="K48" s="932"/>
      <c r="L48" s="932"/>
      <c r="M48" s="932"/>
      <c r="N48" s="932"/>
    </row>
    <row r="49" spans="1:14" ht="13.8" x14ac:dyDescent="0.3">
      <c r="A49" s="852"/>
      <c r="B49" s="915"/>
      <c r="C49" s="915"/>
      <c r="D49" s="915"/>
      <c r="E49" s="829"/>
      <c r="F49" s="858"/>
      <c r="G49" s="858"/>
      <c r="J49" s="749"/>
      <c r="K49" s="749"/>
      <c r="L49" s="749"/>
      <c r="M49" s="749"/>
      <c r="N49" s="749"/>
    </row>
    <row r="50" spans="1:14" ht="13.8" x14ac:dyDescent="0.3">
      <c r="A50" s="950"/>
      <c r="B50" s="951" t="s">
        <v>572</v>
      </c>
      <c r="C50" s="844" t="s">
        <v>521</v>
      </c>
      <c r="D50" s="952">
        <v>1</v>
      </c>
      <c r="E50" s="829" t="s">
        <v>114</v>
      </c>
      <c r="F50" s="1402">
        <f>$F$48*D50</f>
        <v>10459.5</v>
      </c>
      <c r="G50" s="1402"/>
    </row>
    <row r="51" spans="1:14" ht="13.8" x14ac:dyDescent="0.3">
      <c r="A51" s="950"/>
      <c r="B51" s="704" t="s">
        <v>595</v>
      </c>
      <c r="C51" s="844" t="s">
        <v>596</v>
      </c>
      <c r="D51" s="952">
        <v>0</v>
      </c>
      <c r="E51" s="829" t="s">
        <v>114</v>
      </c>
      <c r="F51" s="1402">
        <f>$F$48*D51</f>
        <v>0</v>
      </c>
      <c r="G51" s="1402"/>
    </row>
    <row r="52" spans="1:14" ht="13.8" x14ac:dyDescent="0.3">
      <c r="A52" s="950"/>
      <c r="B52" s="951" t="s">
        <v>597</v>
      </c>
      <c r="C52" s="844" t="s">
        <v>598</v>
      </c>
      <c r="D52" s="952">
        <v>0</v>
      </c>
      <c r="E52" s="829" t="s">
        <v>114</v>
      </c>
      <c r="F52" s="1402">
        <f>$F$48*D52</f>
        <v>0</v>
      </c>
      <c r="G52" s="1402"/>
    </row>
    <row r="55" spans="1:14" x14ac:dyDescent="0.25">
      <c r="B55" s="943" t="e">
        <f>'(Extended filter)'!D54</f>
        <v>#REF!</v>
      </c>
      <c r="C55" s="953"/>
      <c r="D55" s="953"/>
      <c r="E55" s="953"/>
      <c r="F55" s="763">
        <f>'(Extended filter)'!I54</f>
        <v>0</v>
      </c>
    </row>
    <row r="56" spans="1:14" x14ac:dyDescent="0.25">
      <c r="B56" s="943" t="e">
        <f>'(Extended filter)'!D55</f>
        <v>#REF!</v>
      </c>
      <c r="C56" s="953"/>
      <c r="D56" s="953"/>
      <c r="E56" s="953"/>
      <c r="F56" s="763">
        <f>'(Extended filter)'!I55</f>
        <v>0</v>
      </c>
    </row>
    <row r="57" spans="1:14" x14ac:dyDescent="0.25">
      <c r="B57" s="943" t="e">
        <f>'(Extended filter)'!D56</f>
        <v>#REF!</v>
      </c>
      <c r="C57" s="953"/>
      <c r="D57" s="953"/>
      <c r="E57" s="953"/>
      <c r="F57" s="763">
        <f>'(Extended filter)'!I56</f>
        <v>0</v>
      </c>
    </row>
    <row r="59" spans="1:14" x14ac:dyDescent="0.25">
      <c r="E59" s="954"/>
    </row>
    <row r="60" spans="1:14" x14ac:dyDescent="0.25">
      <c r="G60" s="955"/>
    </row>
  </sheetData>
  <customSheetViews>
    <customSheetView guid="{5161B42F-120B-436B-80F4-9BB578173AD5}">
      <selection activeCell="C15" sqref="C15"/>
      <rowBreaks count="1" manualBreakCount="1">
        <brk id="18" max="6" man="1"/>
      </rowBreaks>
      <colBreaks count="1" manualBreakCount="1">
        <brk id="7" max="1048575" man="1"/>
      </colBreaks>
      <pageMargins left="0.70866141732283505" right="0.70866141732283505" top="0.74803149606299202" bottom="0.74803149606299202" header="0.31496062992126" footer="0.31496062992126"/>
      <printOptions horizontalCentered="1"/>
      <pageSetup scale="105" orientation="portrait" r:id="rId1"/>
      <headerFooter>
        <oddFooter>&amp;R&amp;P</oddFooter>
      </headerFooter>
    </customSheetView>
  </customSheetViews>
  <mergeCells count="11">
    <mergeCell ref="L3:M3"/>
    <mergeCell ref="O3:P3"/>
    <mergeCell ref="F52:G52"/>
    <mergeCell ref="A1:G1"/>
    <mergeCell ref="E2:G2"/>
    <mergeCell ref="A3:G3"/>
    <mergeCell ref="I3:J3"/>
    <mergeCell ref="A45:E45"/>
    <mergeCell ref="F48:G48"/>
    <mergeCell ref="F50:G50"/>
    <mergeCell ref="F51:G51"/>
  </mergeCells>
  <printOptions horizontalCentered="1"/>
  <pageMargins left="0.70866141732283505" right="0.70866141732283505" top="0.74803149606299202" bottom="0.74803149606299202" header="0.31496062992126" footer="0.31496062992126"/>
  <pageSetup scale="105" orientation="portrait" r:id="rId2"/>
  <headerFooter>
    <oddFooter>&amp;R&amp;P</oddFooter>
  </headerFooter>
  <rowBreaks count="1" manualBreakCount="1">
    <brk id="35" max="6" man="1"/>
  </rowBreaks>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WWA57"/>
  <sheetViews>
    <sheetView view="pageBreakPreview" zoomScale="60" zoomScaleNormal="70" workbookViewId="0">
      <selection activeCell="O22" sqref="O22"/>
    </sheetView>
  </sheetViews>
  <sheetFormatPr defaultRowHeight="13.2" x14ac:dyDescent="0.25"/>
  <cols>
    <col min="1" max="1" width="5.6640625" style="449" customWidth="1"/>
    <col min="2" max="2" width="4" style="449" customWidth="1"/>
    <col min="3" max="3" width="4.44140625" style="449" customWidth="1"/>
    <col min="4" max="4" width="3.44140625" style="449" customWidth="1"/>
    <col min="5" max="5" width="3.88671875" style="449" customWidth="1"/>
    <col min="6" max="6" width="3.77734375" style="449" customWidth="1"/>
    <col min="7" max="7" width="4.6640625" style="449" customWidth="1"/>
    <col min="8" max="8" width="5.6640625" style="449" customWidth="1"/>
    <col min="9" max="9" width="4.44140625" style="449" customWidth="1"/>
    <col min="10" max="12" width="5.6640625" style="449" customWidth="1"/>
    <col min="13" max="13" width="7.5546875" style="449" customWidth="1"/>
    <col min="14" max="14" width="5.44140625" style="449" customWidth="1"/>
    <col min="15" max="15" width="5.6640625" style="449" customWidth="1"/>
    <col min="16" max="16" width="5" style="449" customWidth="1"/>
    <col min="17" max="17" width="5.6640625" style="449" customWidth="1"/>
    <col min="18" max="18" width="6" style="449" customWidth="1"/>
    <col min="19" max="19" width="7.6640625" style="449" customWidth="1"/>
    <col min="20" max="20" width="5.21875" style="449" customWidth="1"/>
    <col min="21" max="21" width="5.5546875" style="449" customWidth="1"/>
    <col min="22" max="23" width="5.6640625" style="449" customWidth="1"/>
    <col min="24" max="24" width="5.44140625" style="449" customWidth="1"/>
    <col min="25" max="25" width="10.5546875" style="449" customWidth="1"/>
    <col min="26" max="26" width="8.88671875" style="449"/>
    <col min="27" max="27" width="9.33203125" style="449" bestFit="1" customWidth="1"/>
    <col min="28" max="256" width="8.88671875" style="449"/>
    <col min="257" max="268" width="5.6640625" style="449" customWidth="1"/>
    <col min="269" max="269" width="6.33203125" style="449" customWidth="1"/>
    <col min="270" max="275" width="8.88671875" style="449" hidden="1" customWidth="1"/>
    <col min="276" max="280" width="5.6640625" style="449" customWidth="1"/>
    <col min="281" max="281" width="8.109375" style="449" customWidth="1"/>
    <col min="282" max="512" width="8.88671875" style="449"/>
    <col min="513" max="524" width="5.6640625" style="449" customWidth="1"/>
    <col min="525" max="525" width="6.33203125" style="449" customWidth="1"/>
    <col min="526" max="531" width="8.88671875" style="449" hidden="1" customWidth="1"/>
    <col min="532" max="536" width="5.6640625" style="449" customWidth="1"/>
    <col min="537" max="537" width="8.109375" style="449" customWidth="1"/>
    <col min="538" max="768" width="8.88671875" style="449"/>
    <col min="769" max="780" width="5.6640625" style="449" customWidth="1"/>
    <col min="781" max="781" width="6.33203125" style="449" customWidth="1"/>
    <col min="782" max="787" width="8.88671875" style="449" hidden="1" customWidth="1"/>
    <col min="788" max="792" width="5.6640625" style="449" customWidth="1"/>
    <col min="793" max="793" width="8.109375" style="449" customWidth="1"/>
    <col min="794" max="1024" width="8.88671875" style="449"/>
    <col min="1025" max="1036" width="5.6640625" style="449" customWidth="1"/>
    <col min="1037" max="1037" width="6.33203125" style="449" customWidth="1"/>
    <col min="1038" max="1043" width="8.88671875" style="449" hidden="1" customWidth="1"/>
    <col min="1044" max="1048" width="5.6640625" style="449" customWidth="1"/>
    <col min="1049" max="1049" width="8.109375" style="449" customWidth="1"/>
    <col min="1050" max="1280" width="8.88671875" style="449"/>
    <col min="1281" max="1292" width="5.6640625" style="449" customWidth="1"/>
    <col min="1293" max="1293" width="6.33203125" style="449" customWidth="1"/>
    <col min="1294" max="1299" width="8.88671875" style="449" hidden="1" customWidth="1"/>
    <col min="1300" max="1304" width="5.6640625" style="449" customWidth="1"/>
    <col min="1305" max="1305" width="8.109375" style="449" customWidth="1"/>
    <col min="1306" max="1536" width="8.88671875" style="449"/>
    <col min="1537" max="1548" width="5.6640625" style="449" customWidth="1"/>
    <col min="1549" max="1549" width="6.33203125" style="449" customWidth="1"/>
    <col min="1550" max="1555" width="8.88671875" style="449" hidden="1" customWidth="1"/>
    <col min="1556" max="1560" width="5.6640625" style="449" customWidth="1"/>
    <col min="1561" max="1561" width="8.109375" style="449" customWidth="1"/>
    <col min="1562" max="1792" width="8.88671875" style="449"/>
    <col min="1793" max="1804" width="5.6640625" style="449" customWidth="1"/>
    <col min="1805" max="1805" width="6.33203125" style="449" customWidth="1"/>
    <col min="1806" max="1811" width="8.88671875" style="449" hidden="1" customWidth="1"/>
    <col min="1812" max="1816" width="5.6640625" style="449" customWidth="1"/>
    <col min="1817" max="1817" width="8.109375" style="449" customWidth="1"/>
    <col min="1818" max="2048" width="8.88671875" style="449"/>
    <col min="2049" max="2060" width="5.6640625" style="449" customWidth="1"/>
    <col min="2061" max="2061" width="6.33203125" style="449" customWidth="1"/>
    <col min="2062" max="2067" width="8.88671875" style="449" hidden="1" customWidth="1"/>
    <col min="2068" max="2072" width="5.6640625" style="449" customWidth="1"/>
    <col min="2073" max="2073" width="8.109375" style="449" customWidth="1"/>
    <col min="2074" max="2304" width="8.88671875" style="449"/>
    <col min="2305" max="2316" width="5.6640625" style="449" customWidth="1"/>
    <col min="2317" max="2317" width="6.33203125" style="449" customWidth="1"/>
    <col min="2318" max="2323" width="8.88671875" style="449" hidden="1" customWidth="1"/>
    <col min="2324" max="2328" width="5.6640625" style="449" customWidth="1"/>
    <col min="2329" max="2329" width="8.109375" style="449" customWidth="1"/>
    <col min="2330" max="2560" width="8.88671875" style="449"/>
    <col min="2561" max="2572" width="5.6640625" style="449" customWidth="1"/>
    <col min="2573" max="2573" width="6.33203125" style="449" customWidth="1"/>
    <col min="2574" max="2579" width="8.88671875" style="449" hidden="1" customWidth="1"/>
    <col min="2580" max="2584" width="5.6640625" style="449" customWidth="1"/>
    <col min="2585" max="2585" width="8.109375" style="449" customWidth="1"/>
    <col min="2586" max="2816" width="8.88671875" style="449"/>
    <col min="2817" max="2828" width="5.6640625" style="449" customWidth="1"/>
    <col min="2829" max="2829" width="6.33203125" style="449" customWidth="1"/>
    <col min="2830" max="2835" width="8.88671875" style="449" hidden="1" customWidth="1"/>
    <col min="2836" max="2840" width="5.6640625" style="449" customWidth="1"/>
    <col min="2841" max="2841" width="8.109375" style="449" customWidth="1"/>
    <col min="2842" max="3072" width="8.88671875" style="449"/>
    <col min="3073" max="3084" width="5.6640625" style="449" customWidth="1"/>
    <col min="3085" max="3085" width="6.33203125" style="449" customWidth="1"/>
    <col min="3086" max="3091" width="8.88671875" style="449" hidden="1" customWidth="1"/>
    <col min="3092" max="3096" width="5.6640625" style="449" customWidth="1"/>
    <col min="3097" max="3097" width="8.109375" style="449" customWidth="1"/>
    <col min="3098" max="3328" width="8.88671875" style="449"/>
    <col min="3329" max="3340" width="5.6640625" style="449" customWidth="1"/>
    <col min="3341" max="3341" width="6.33203125" style="449" customWidth="1"/>
    <col min="3342" max="3347" width="8.88671875" style="449" hidden="1" customWidth="1"/>
    <col min="3348" max="3352" width="5.6640625" style="449" customWidth="1"/>
    <col min="3353" max="3353" width="8.109375" style="449" customWidth="1"/>
    <col min="3354" max="3584" width="8.88671875" style="449"/>
    <col min="3585" max="3596" width="5.6640625" style="449" customWidth="1"/>
    <col min="3597" max="3597" width="6.33203125" style="449" customWidth="1"/>
    <col min="3598" max="3603" width="8.88671875" style="449" hidden="1" customWidth="1"/>
    <col min="3604" max="3608" width="5.6640625" style="449" customWidth="1"/>
    <col min="3609" max="3609" width="8.109375" style="449" customWidth="1"/>
    <col min="3610" max="3840" width="8.88671875" style="449"/>
    <col min="3841" max="3852" width="5.6640625" style="449" customWidth="1"/>
    <col min="3853" max="3853" width="6.33203125" style="449" customWidth="1"/>
    <col min="3854" max="3859" width="8.88671875" style="449" hidden="1" customWidth="1"/>
    <col min="3860" max="3864" width="5.6640625" style="449" customWidth="1"/>
    <col min="3865" max="3865" width="8.109375" style="449" customWidth="1"/>
    <col min="3866" max="4096" width="8.88671875" style="449"/>
    <col min="4097" max="4108" width="5.6640625" style="449" customWidth="1"/>
    <col min="4109" max="4109" width="6.33203125" style="449" customWidth="1"/>
    <col min="4110" max="4115" width="8.88671875" style="449" hidden="1" customWidth="1"/>
    <col min="4116" max="4120" width="5.6640625" style="449" customWidth="1"/>
    <col min="4121" max="4121" width="8.109375" style="449" customWidth="1"/>
    <col min="4122" max="4352" width="8.88671875" style="449"/>
    <col min="4353" max="4364" width="5.6640625" style="449" customWidth="1"/>
    <col min="4365" max="4365" width="6.33203125" style="449" customWidth="1"/>
    <col min="4366" max="4371" width="8.88671875" style="449" hidden="1" customWidth="1"/>
    <col min="4372" max="4376" width="5.6640625" style="449" customWidth="1"/>
    <col min="4377" max="4377" width="8.109375" style="449" customWidth="1"/>
    <col min="4378" max="4608" width="8.88671875" style="449"/>
    <col min="4609" max="4620" width="5.6640625" style="449" customWidth="1"/>
    <col min="4621" max="4621" width="6.33203125" style="449" customWidth="1"/>
    <col min="4622" max="4627" width="8.88671875" style="449" hidden="1" customWidth="1"/>
    <col min="4628" max="4632" width="5.6640625" style="449" customWidth="1"/>
    <col min="4633" max="4633" width="8.109375" style="449" customWidth="1"/>
    <col min="4634" max="4864" width="8.88671875" style="449"/>
    <col min="4865" max="4876" width="5.6640625" style="449" customWidth="1"/>
    <col min="4877" max="4877" width="6.33203125" style="449" customWidth="1"/>
    <col min="4878" max="4883" width="8.88671875" style="449" hidden="1" customWidth="1"/>
    <col min="4884" max="4888" width="5.6640625" style="449" customWidth="1"/>
    <col min="4889" max="4889" width="8.109375" style="449" customWidth="1"/>
    <col min="4890" max="5120" width="8.88671875" style="449"/>
    <col min="5121" max="5132" width="5.6640625" style="449" customWidth="1"/>
    <col min="5133" max="5133" width="6.33203125" style="449" customWidth="1"/>
    <col min="5134" max="5139" width="8.88671875" style="449" hidden="1" customWidth="1"/>
    <col min="5140" max="5144" width="5.6640625" style="449" customWidth="1"/>
    <col min="5145" max="5145" width="8.109375" style="449" customWidth="1"/>
    <col min="5146" max="5376" width="8.88671875" style="449"/>
    <col min="5377" max="5388" width="5.6640625" style="449" customWidth="1"/>
    <col min="5389" max="5389" width="6.33203125" style="449" customWidth="1"/>
    <col min="5390" max="5395" width="8.88671875" style="449" hidden="1" customWidth="1"/>
    <col min="5396" max="5400" width="5.6640625" style="449" customWidth="1"/>
    <col min="5401" max="5401" width="8.109375" style="449" customWidth="1"/>
    <col min="5402" max="5632" width="8.88671875" style="449"/>
    <col min="5633" max="5644" width="5.6640625" style="449" customWidth="1"/>
    <col min="5645" max="5645" width="6.33203125" style="449" customWidth="1"/>
    <col min="5646" max="5651" width="8.88671875" style="449" hidden="1" customWidth="1"/>
    <col min="5652" max="5656" width="5.6640625" style="449" customWidth="1"/>
    <col min="5657" max="5657" width="8.109375" style="449" customWidth="1"/>
    <col min="5658" max="5888" width="8.88671875" style="449"/>
    <col min="5889" max="5900" width="5.6640625" style="449" customWidth="1"/>
    <col min="5901" max="5901" width="6.33203125" style="449" customWidth="1"/>
    <col min="5902" max="5907" width="8.88671875" style="449" hidden="1" customWidth="1"/>
    <col min="5908" max="5912" width="5.6640625" style="449" customWidth="1"/>
    <col min="5913" max="5913" width="8.109375" style="449" customWidth="1"/>
    <col min="5914" max="6144" width="8.88671875" style="449"/>
    <col min="6145" max="6156" width="5.6640625" style="449" customWidth="1"/>
    <col min="6157" max="6157" width="6.33203125" style="449" customWidth="1"/>
    <col min="6158" max="6163" width="8.88671875" style="449" hidden="1" customWidth="1"/>
    <col min="6164" max="6168" width="5.6640625" style="449" customWidth="1"/>
    <col min="6169" max="6169" width="8.109375" style="449" customWidth="1"/>
    <col min="6170" max="6400" width="8.88671875" style="449"/>
    <col min="6401" max="6412" width="5.6640625" style="449" customWidth="1"/>
    <col min="6413" max="6413" width="6.33203125" style="449" customWidth="1"/>
    <col min="6414" max="6419" width="8.88671875" style="449" hidden="1" customWidth="1"/>
    <col min="6420" max="6424" width="5.6640625" style="449" customWidth="1"/>
    <col min="6425" max="6425" width="8.109375" style="449" customWidth="1"/>
    <col min="6426" max="6656" width="8.88671875" style="449"/>
    <col min="6657" max="6668" width="5.6640625" style="449" customWidth="1"/>
    <col min="6669" max="6669" width="6.33203125" style="449" customWidth="1"/>
    <col min="6670" max="6675" width="8.88671875" style="449" hidden="1" customWidth="1"/>
    <col min="6676" max="6680" width="5.6640625" style="449" customWidth="1"/>
    <col min="6681" max="6681" width="8.109375" style="449" customWidth="1"/>
    <col min="6682" max="6912" width="8.88671875" style="449"/>
    <col min="6913" max="6924" width="5.6640625" style="449" customWidth="1"/>
    <col min="6925" max="6925" width="6.33203125" style="449" customWidth="1"/>
    <col min="6926" max="6931" width="8.88671875" style="449" hidden="1" customWidth="1"/>
    <col min="6932" max="6936" width="5.6640625" style="449" customWidth="1"/>
    <col min="6937" max="6937" width="8.109375" style="449" customWidth="1"/>
    <col min="6938" max="7168" width="8.88671875" style="449"/>
    <col min="7169" max="7180" width="5.6640625" style="449" customWidth="1"/>
    <col min="7181" max="7181" width="6.33203125" style="449" customWidth="1"/>
    <col min="7182" max="7187" width="8.88671875" style="449" hidden="1" customWidth="1"/>
    <col min="7188" max="7192" width="5.6640625" style="449" customWidth="1"/>
    <col min="7193" max="7193" width="8.109375" style="449" customWidth="1"/>
    <col min="7194" max="7424" width="8.88671875" style="449"/>
    <col min="7425" max="7436" width="5.6640625" style="449" customWidth="1"/>
    <col min="7437" max="7437" width="6.33203125" style="449" customWidth="1"/>
    <col min="7438" max="7443" width="8.88671875" style="449" hidden="1" customWidth="1"/>
    <col min="7444" max="7448" width="5.6640625" style="449" customWidth="1"/>
    <col min="7449" max="7449" width="8.109375" style="449" customWidth="1"/>
    <col min="7450" max="7680" width="8.88671875" style="449"/>
    <col min="7681" max="7692" width="5.6640625" style="449" customWidth="1"/>
    <col min="7693" max="7693" width="6.33203125" style="449" customWidth="1"/>
    <col min="7694" max="7699" width="8.88671875" style="449" hidden="1" customWidth="1"/>
    <col min="7700" max="7704" width="5.6640625" style="449" customWidth="1"/>
    <col min="7705" max="7705" width="8.109375" style="449" customWidth="1"/>
    <col min="7706" max="7936" width="8.88671875" style="449"/>
    <col min="7937" max="7948" width="5.6640625" style="449" customWidth="1"/>
    <col min="7949" max="7949" width="6.33203125" style="449" customWidth="1"/>
    <col min="7950" max="7955" width="8.88671875" style="449" hidden="1" customWidth="1"/>
    <col min="7956" max="7960" width="5.6640625" style="449" customWidth="1"/>
    <col min="7961" max="7961" width="8.109375" style="449" customWidth="1"/>
    <col min="7962" max="8192" width="8.88671875" style="449"/>
    <col min="8193" max="8204" width="5.6640625" style="449" customWidth="1"/>
    <col min="8205" max="8205" width="6.33203125" style="449" customWidth="1"/>
    <col min="8206" max="8211" width="8.88671875" style="449" hidden="1" customWidth="1"/>
    <col min="8212" max="8216" width="5.6640625" style="449" customWidth="1"/>
    <col min="8217" max="8217" width="8.109375" style="449" customWidth="1"/>
    <col min="8218" max="8448" width="8.88671875" style="449"/>
    <col min="8449" max="8460" width="5.6640625" style="449" customWidth="1"/>
    <col min="8461" max="8461" width="6.33203125" style="449" customWidth="1"/>
    <col min="8462" max="8467" width="8.88671875" style="449" hidden="1" customWidth="1"/>
    <col min="8468" max="8472" width="5.6640625" style="449" customWidth="1"/>
    <col min="8473" max="8473" width="8.109375" style="449" customWidth="1"/>
    <col min="8474" max="8704" width="8.88671875" style="449"/>
    <col min="8705" max="8716" width="5.6640625" style="449" customWidth="1"/>
    <col min="8717" max="8717" width="6.33203125" style="449" customWidth="1"/>
    <col min="8718" max="8723" width="8.88671875" style="449" hidden="1" customWidth="1"/>
    <col min="8724" max="8728" width="5.6640625" style="449" customWidth="1"/>
    <col min="8729" max="8729" width="8.109375" style="449" customWidth="1"/>
    <col min="8730" max="8960" width="8.88671875" style="449"/>
    <col min="8961" max="8972" width="5.6640625" style="449" customWidth="1"/>
    <col min="8973" max="8973" width="6.33203125" style="449" customWidth="1"/>
    <col min="8974" max="8979" width="8.88671875" style="449" hidden="1" customWidth="1"/>
    <col min="8980" max="8984" width="5.6640625" style="449" customWidth="1"/>
    <col min="8985" max="8985" width="8.109375" style="449" customWidth="1"/>
    <col min="8986" max="9216" width="8.88671875" style="449"/>
    <col min="9217" max="9228" width="5.6640625" style="449" customWidth="1"/>
    <col min="9229" max="9229" width="6.33203125" style="449" customWidth="1"/>
    <col min="9230" max="9235" width="8.88671875" style="449" hidden="1" customWidth="1"/>
    <col min="9236" max="9240" width="5.6640625" style="449" customWidth="1"/>
    <col min="9241" max="9241" width="8.109375" style="449" customWidth="1"/>
    <col min="9242" max="9472" width="8.88671875" style="449"/>
    <col min="9473" max="9484" width="5.6640625" style="449" customWidth="1"/>
    <col min="9485" max="9485" width="6.33203125" style="449" customWidth="1"/>
    <col min="9486" max="9491" width="8.88671875" style="449" hidden="1" customWidth="1"/>
    <col min="9492" max="9496" width="5.6640625" style="449" customWidth="1"/>
    <col min="9497" max="9497" width="8.109375" style="449" customWidth="1"/>
    <col min="9498" max="9728" width="8.88671875" style="449"/>
    <col min="9729" max="9740" width="5.6640625" style="449" customWidth="1"/>
    <col min="9741" max="9741" width="6.33203125" style="449" customWidth="1"/>
    <col min="9742" max="9747" width="8.88671875" style="449" hidden="1" customWidth="1"/>
    <col min="9748" max="9752" width="5.6640625" style="449" customWidth="1"/>
    <col min="9753" max="9753" width="8.109375" style="449" customWidth="1"/>
    <col min="9754" max="9984" width="8.88671875" style="449"/>
    <col min="9985" max="9996" width="5.6640625" style="449" customWidth="1"/>
    <col min="9997" max="9997" width="6.33203125" style="449" customWidth="1"/>
    <col min="9998" max="10003" width="8.88671875" style="449" hidden="1" customWidth="1"/>
    <col min="10004" max="10008" width="5.6640625" style="449" customWidth="1"/>
    <col min="10009" max="10009" width="8.109375" style="449" customWidth="1"/>
    <col min="10010" max="10240" width="8.88671875" style="449"/>
    <col min="10241" max="10252" width="5.6640625" style="449" customWidth="1"/>
    <col min="10253" max="10253" width="6.33203125" style="449" customWidth="1"/>
    <col min="10254" max="10259" width="8.88671875" style="449" hidden="1" customWidth="1"/>
    <col min="10260" max="10264" width="5.6640625" style="449" customWidth="1"/>
    <col min="10265" max="10265" width="8.109375" style="449" customWidth="1"/>
    <col min="10266" max="10496" width="8.88671875" style="449"/>
    <col min="10497" max="10508" width="5.6640625" style="449" customWidth="1"/>
    <col min="10509" max="10509" width="6.33203125" style="449" customWidth="1"/>
    <col min="10510" max="10515" width="8.88671875" style="449" hidden="1" customWidth="1"/>
    <col min="10516" max="10520" width="5.6640625" style="449" customWidth="1"/>
    <col min="10521" max="10521" width="8.109375" style="449" customWidth="1"/>
    <col min="10522" max="10752" width="8.88671875" style="449"/>
    <col min="10753" max="10764" width="5.6640625" style="449" customWidth="1"/>
    <col min="10765" max="10765" width="6.33203125" style="449" customWidth="1"/>
    <col min="10766" max="10771" width="8.88671875" style="449" hidden="1" customWidth="1"/>
    <col min="10772" max="10776" width="5.6640625" style="449" customWidth="1"/>
    <col min="10777" max="10777" width="8.109375" style="449" customWidth="1"/>
    <col min="10778" max="11008" width="8.88671875" style="449"/>
    <col min="11009" max="11020" width="5.6640625" style="449" customWidth="1"/>
    <col min="11021" max="11021" width="6.33203125" style="449" customWidth="1"/>
    <col min="11022" max="11027" width="8.88671875" style="449" hidden="1" customWidth="1"/>
    <col min="11028" max="11032" width="5.6640625" style="449" customWidth="1"/>
    <col min="11033" max="11033" width="8.109375" style="449" customWidth="1"/>
    <col min="11034" max="11264" width="8.88671875" style="449"/>
    <col min="11265" max="11276" width="5.6640625" style="449" customWidth="1"/>
    <col min="11277" max="11277" width="6.33203125" style="449" customWidth="1"/>
    <col min="11278" max="11283" width="8.88671875" style="449" hidden="1" customWidth="1"/>
    <col min="11284" max="11288" width="5.6640625" style="449" customWidth="1"/>
    <col min="11289" max="11289" width="8.109375" style="449" customWidth="1"/>
    <col min="11290" max="11520" width="8.88671875" style="449"/>
    <col min="11521" max="11532" width="5.6640625" style="449" customWidth="1"/>
    <col min="11533" max="11533" width="6.33203125" style="449" customWidth="1"/>
    <col min="11534" max="11539" width="8.88671875" style="449" hidden="1" customWidth="1"/>
    <col min="11540" max="11544" width="5.6640625" style="449" customWidth="1"/>
    <col min="11545" max="11545" width="8.109375" style="449" customWidth="1"/>
    <col min="11546" max="11776" width="8.88671875" style="449"/>
    <col min="11777" max="11788" width="5.6640625" style="449" customWidth="1"/>
    <col min="11789" max="11789" width="6.33203125" style="449" customWidth="1"/>
    <col min="11790" max="11795" width="8.88671875" style="449" hidden="1" customWidth="1"/>
    <col min="11796" max="11800" width="5.6640625" style="449" customWidth="1"/>
    <col min="11801" max="11801" width="8.109375" style="449" customWidth="1"/>
    <col min="11802" max="12032" width="8.88671875" style="449"/>
    <col min="12033" max="12044" width="5.6640625" style="449" customWidth="1"/>
    <col min="12045" max="12045" width="6.33203125" style="449" customWidth="1"/>
    <col min="12046" max="12051" width="8.88671875" style="449" hidden="1" customWidth="1"/>
    <col min="12052" max="12056" width="5.6640625" style="449" customWidth="1"/>
    <col min="12057" max="12057" width="8.109375" style="449" customWidth="1"/>
    <col min="12058" max="12288" width="8.88671875" style="449"/>
    <col min="12289" max="12300" width="5.6640625" style="449" customWidth="1"/>
    <col min="12301" max="12301" width="6.33203125" style="449" customWidth="1"/>
    <col min="12302" max="12307" width="8.88671875" style="449" hidden="1" customWidth="1"/>
    <col min="12308" max="12312" width="5.6640625" style="449" customWidth="1"/>
    <col min="12313" max="12313" width="8.109375" style="449" customWidth="1"/>
    <col min="12314" max="12544" width="8.88671875" style="449"/>
    <col min="12545" max="12556" width="5.6640625" style="449" customWidth="1"/>
    <col min="12557" max="12557" width="6.33203125" style="449" customWidth="1"/>
    <col min="12558" max="12563" width="8.88671875" style="449" hidden="1" customWidth="1"/>
    <col min="12564" max="12568" width="5.6640625" style="449" customWidth="1"/>
    <col min="12569" max="12569" width="8.109375" style="449" customWidth="1"/>
    <col min="12570" max="12800" width="8.88671875" style="449"/>
    <col min="12801" max="12812" width="5.6640625" style="449" customWidth="1"/>
    <col min="12813" max="12813" width="6.33203125" style="449" customWidth="1"/>
    <col min="12814" max="12819" width="8.88671875" style="449" hidden="1" customWidth="1"/>
    <col min="12820" max="12824" width="5.6640625" style="449" customWidth="1"/>
    <col min="12825" max="12825" width="8.109375" style="449" customWidth="1"/>
    <col min="12826" max="13056" width="8.88671875" style="449"/>
    <col min="13057" max="13068" width="5.6640625" style="449" customWidth="1"/>
    <col min="13069" max="13069" width="6.33203125" style="449" customWidth="1"/>
    <col min="13070" max="13075" width="8.88671875" style="449" hidden="1" customWidth="1"/>
    <col min="13076" max="13080" width="5.6640625" style="449" customWidth="1"/>
    <col min="13081" max="13081" width="8.109375" style="449" customWidth="1"/>
    <col min="13082" max="13312" width="8.88671875" style="449"/>
    <col min="13313" max="13324" width="5.6640625" style="449" customWidth="1"/>
    <col min="13325" max="13325" width="6.33203125" style="449" customWidth="1"/>
    <col min="13326" max="13331" width="8.88671875" style="449" hidden="1" customWidth="1"/>
    <col min="13332" max="13336" width="5.6640625" style="449" customWidth="1"/>
    <col min="13337" max="13337" width="8.109375" style="449" customWidth="1"/>
    <col min="13338" max="13568" width="8.88671875" style="449"/>
    <col min="13569" max="13580" width="5.6640625" style="449" customWidth="1"/>
    <col min="13581" max="13581" width="6.33203125" style="449" customWidth="1"/>
    <col min="13582" max="13587" width="8.88671875" style="449" hidden="1" customWidth="1"/>
    <col min="13588" max="13592" width="5.6640625" style="449" customWidth="1"/>
    <col min="13593" max="13593" width="8.109375" style="449" customWidth="1"/>
    <col min="13594" max="13824" width="8.88671875" style="449"/>
    <col min="13825" max="13836" width="5.6640625" style="449" customWidth="1"/>
    <col min="13837" max="13837" width="6.33203125" style="449" customWidth="1"/>
    <col min="13838" max="13843" width="8.88671875" style="449" hidden="1" customWidth="1"/>
    <col min="13844" max="13848" width="5.6640625" style="449" customWidth="1"/>
    <col min="13849" max="13849" width="8.109375" style="449" customWidth="1"/>
    <col min="13850" max="14080" width="8.88671875" style="449"/>
    <col min="14081" max="14092" width="5.6640625" style="449" customWidth="1"/>
    <col min="14093" max="14093" width="6.33203125" style="449" customWidth="1"/>
    <col min="14094" max="14099" width="8.88671875" style="449" hidden="1" customWidth="1"/>
    <col min="14100" max="14104" width="5.6640625" style="449" customWidth="1"/>
    <col min="14105" max="14105" width="8.109375" style="449" customWidth="1"/>
    <col min="14106" max="14336" width="8.88671875" style="449"/>
    <col min="14337" max="14348" width="5.6640625" style="449" customWidth="1"/>
    <col min="14349" max="14349" width="6.33203125" style="449" customWidth="1"/>
    <col min="14350" max="14355" width="8.88671875" style="449" hidden="1" customWidth="1"/>
    <col min="14356" max="14360" width="5.6640625" style="449" customWidth="1"/>
    <col min="14361" max="14361" width="8.109375" style="449" customWidth="1"/>
    <col min="14362" max="14592" width="8.88671875" style="449"/>
    <col min="14593" max="14604" width="5.6640625" style="449" customWidth="1"/>
    <col min="14605" max="14605" width="6.33203125" style="449" customWidth="1"/>
    <col min="14606" max="14611" width="8.88671875" style="449" hidden="1" customWidth="1"/>
    <col min="14612" max="14616" width="5.6640625" style="449" customWidth="1"/>
    <col min="14617" max="14617" width="8.109375" style="449" customWidth="1"/>
    <col min="14618" max="14848" width="8.88671875" style="449"/>
    <col min="14849" max="14860" width="5.6640625" style="449" customWidth="1"/>
    <col min="14861" max="14861" width="6.33203125" style="449" customWidth="1"/>
    <col min="14862" max="14867" width="8.88671875" style="449" hidden="1" customWidth="1"/>
    <col min="14868" max="14872" width="5.6640625" style="449" customWidth="1"/>
    <col min="14873" max="14873" width="8.109375" style="449" customWidth="1"/>
    <col min="14874" max="15104" width="8.88671875" style="449"/>
    <col min="15105" max="15116" width="5.6640625" style="449" customWidth="1"/>
    <col min="15117" max="15117" width="6.33203125" style="449" customWidth="1"/>
    <col min="15118" max="15123" width="8.88671875" style="449" hidden="1" customWidth="1"/>
    <col min="15124" max="15128" width="5.6640625" style="449" customWidth="1"/>
    <col min="15129" max="15129" width="8.109375" style="449" customWidth="1"/>
    <col min="15130" max="15360" width="8.88671875" style="449"/>
    <col min="15361" max="15372" width="5.6640625" style="449" customWidth="1"/>
    <col min="15373" max="15373" width="6.33203125" style="449" customWidth="1"/>
    <col min="15374" max="15379" width="8.88671875" style="449" hidden="1" customWidth="1"/>
    <col min="15380" max="15384" width="5.6640625" style="449" customWidth="1"/>
    <col min="15385" max="15385" width="8.109375" style="449" customWidth="1"/>
    <col min="15386" max="15616" width="8.88671875" style="449"/>
    <col min="15617" max="15628" width="5.6640625" style="449" customWidth="1"/>
    <col min="15629" max="15629" width="6.33203125" style="449" customWidth="1"/>
    <col min="15630" max="15635" width="8.88671875" style="449" hidden="1" customWidth="1"/>
    <col min="15636" max="15640" width="5.6640625" style="449" customWidth="1"/>
    <col min="15641" max="15641" width="8.109375" style="449" customWidth="1"/>
    <col min="15642" max="15872" width="8.88671875" style="449"/>
    <col min="15873" max="15884" width="5.6640625" style="449" customWidth="1"/>
    <col min="15885" max="15885" width="6.33203125" style="449" customWidth="1"/>
    <col min="15886" max="15891" width="8.88671875" style="449" hidden="1" customWidth="1"/>
    <col min="15892" max="15896" width="5.6640625" style="449" customWidth="1"/>
    <col min="15897" max="15897" width="8.109375" style="449" customWidth="1"/>
    <col min="15898" max="16128" width="8.88671875" style="449"/>
    <col min="16129" max="16140" width="5.6640625" style="449" customWidth="1"/>
    <col min="16141" max="16141" width="6.33203125" style="449" customWidth="1"/>
    <col min="16142" max="16147" width="8.88671875" style="449" hidden="1" customWidth="1"/>
    <col min="16148" max="16152" width="5.6640625" style="449" customWidth="1"/>
    <col min="16153" max="16153" width="8.109375" style="449" customWidth="1"/>
    <col min="16154" max="16384" width="8.88671875" style="449"/>
  </cols>
  <sheetData>
    <row r="1" spans="1:27" ht="15.6" x14ac:dyDescent="0.25">
      <c r="A1" s="1339" t="str">
        <f>'EX, For filter'!A1:G1</f>
        <v>ROSHNABAD BARRAGE</v>
      </c>
      <c r="B1" s="1248"/>
      <c r="C1" s="1248"/>
      <c r="D1" s="1248"/>
      <c r="E1" s="1248"/>
      <c r="F1" s="1248"/>
      <c r="G1" s="1248"/>
      <c r="H1" s="1248"/>
      <c r="I1" s="1248"/>
      <c r="J1" s="1248"/>
      <c r="K1" s="1248"/>
      <c r="L1" s="1248"/>
      <c r="M1" s="1248"/>
      <c r="N1" s="1248"/>
      <c r="O1" s="1248"/>
      <c r="P1" s="1248"/>
      <c r="Q1" s="1248"/>
      <c r="R1" s="1248"/>
      <c r="S1" s="1248"/>
      <c r="T1" s="1248"/>
      <c r="U1" s="1248"/>
      <c r="V1" s="1248"/>
      <c r="W1" s="1248"/>
      <c r="X1" s="1248"/>
      <c r="Y1" s="1248"/>
    </row>
    <row r="2" spans="1:27" ht="14.4" x14ac:dyDescent="0.3">
      <c r="A2" s="1311" t="str">
        <f>'EX, For filter'!A2</f>
        <v>TEHSIL :-SIDHI</v>
      </c>
      <c r="B2" s="1311"/>
      <c r="C2" s="1311"/>
      <c r="D2" s="1311"/>
      <c r="E2" s="698"/>
      <c r="F2" s="569"/>
      <c r="G2" s="569"/>
      <c r="H2" s="569"/>
      <c r="I2" s="569"/>
      <c r="J2" s="569"/>
      <c r="K2" s="569"/>
      <c r="L2" s="569"/>
      <c r="M2" s="569"/>
      <c r="N2" s="569"/>
      <c r="O2" s="569"/>
      <c r="P2" s="569"/>
      <c r="Q2" s="569"/>
      <c r="R2" s="569"/>
      <c r="S2" s="569"/>
      <c r="T2" s="569"/>
      <c r="U2" s="1311" t="str">
        <f>'EX, For filter'!E2</f>
        <v>DISTRICT :SINGRAULI</v>
      </c>
      <c r="V2" s="1311"/>
      <c r="W2" s="1311"/>
      <c r="X2" s="1311"/>
      <c r="Y2" s="1311"/>
    </row>
    <row r="3" spans="1:27" ht="14.4" x14ac:dyDescent="0.3">
      <c r="A3" s="697"/>
      <c r="B3" s="698" t="s">
        <v>599</v>
      </c>
      <c r="C3" s="698"/>
      <c r="D3" s="699"/>
      <c r="E3" s="698"/>
      <c r="F3" s="956">
        <v>0.6</v>
      </c>
      <c r="G3" s="569"/>
      <c r="H3" s="569" t="s">
        <v>600</v>
      </c>
      <c r="I3" s="569"/>
      <c r="J3" s="569"/>
      <c r="K3" s="569"/>
      <c r="L3" s="956">
        <v>0.6</v>
      </c>
      <c r="M3" s="569"/>
      <c r="N3" s="569"/>
      <c r="O3" s="569"/>
      <c r="P3" s="569"/>
      <c r="Q3" s="569"/>
      <c r="R3" s="569"/>
      <c r="S3" s="569"/>
      <c r="T3" s="569"/>
      <c r="U3" s="569"/>
      <c r="V3" s="569"/>
      <c r="W3" s="697"/>
      <c r="X3" s="698"/>
      <c r="Y3" s="698"/>
      <c r="Z3" s="449" t="s">
        <v>601</v>
      </c>
      <c r="AA3" s="449">
        <v>0.71</v>
      </c>
    </row>
    <row r="4" spans="1:27" ht="15.6" x14ac:dyDescent="0.25">
      <c r="A4" s="1398" t="s">
        <v>602</v>
      </c>
      <c r="B4" s="1398"/>
      <c r="C4" s="1398"/>
      <c r="D4" s="1398"/>
      <c r="E4" s="1398"/>
      <c r="F4" s="1398"/>
      <c r="G4" s="1398"/>
      <c r="H4" s="1398"/>
      <c r="I4" s="1398"/>
      <c r="J4" s="1398"/>
      <c r="K4" s="1398"/>
      <c r="L4" s="1398"/>
      <c r="M4" s="1398"/>
      <c r="N4" s="1398"/>
      <c r="O4" s="1398"/>
      <c r="P4" s="1398"/>
      <c r="Q4" s="1398"/>
      <c r="R4" s="1398"/>
      <c r="S4" s="1398"/>
      <c r="T4" s="1398"/>
      <c r="U4" s="1398"/>
      <c r="V4" s="1398"/>
      <c r="W4" s="1398"/>
      <c r="X4" s="1398"/>
      <c r="Y4" s="1398"/>
    </row>
    <row r="5" spans="1:27" ht="13.8" x14ac:dyDescent="0.25">
      <c r="A5" s="1342" t="s">
        <v>603</v>
      </c>
      <c r="B5" s="1342" t="s">
        <v>467</v>
      </c>
      <c r="C5" s="1386" t="s">
        <v>604</v>
      </c>
      <c r="D5" s="1387"/>
      <c r="E5" s="1386" t="s">
        <v>605</v>
      </c>
      <c r="F5" s="1410"/>
      <c r="G5" s="1342" t="s">
        <v>606</v>
      </c>
      <c r="H5" s="1383" t="s">
        <v>607</v>
      </c>
      <c r="I5" s="1383"/>
      <c r="J5" s="1383"/>
      <c r="K5" s="1383"/>
      <c r="L5" s="1383"/>
      <c r="M5" s="1383"/>
      <c r="N5" s="1383" t="s">
        <v>567</v>
      </c>
      <c r="O5" s="1383"/>
      <c r="P5" s="1383"/>
      <c r="Q5" s="1383"/>
      <c r="R5" s="1383"/>
      <c r="S5" s="1383"/>
      <c r="T5" s="1405" t="s">
        <v>566</v>
      </c>
      <c r="U5" s="1406"/>
      <c r="V5" s="1406"/>
      <c r="W5" s="1406"/>
      <c r="X5" s="1406"/>
      <c r="Y5" s="1407"/>
    </row>
    <row r="6" spans="1:27" ht="69" x14ac:dyDescent="0.25">
      <c r="A6" s="1343"/>
      <c r="B6" s="1343"/>
      <c r="C6" s="1408"/>
      <c r="D6" s="1409"/>
      <c r="E6" s="1411"/>
      <c r="F6" s="1412"/>
      <c r="G6" s="1343"/>
      <c r="H6" s="716" t="s">
        <v>570</v>
      </c>
      <c r="I6" s="957" t="s">
        <v>608</v>
      </c>
      <c r="J6" s="957" t="s">
        <v>609</v>
      </c>
      <c r="K6" s="957" t="s">
        <v>610</v>
      </c>
      <c r="L6" s="957" t="s">
        <v>611</v>
      </c>
      <c r="M6" s="957" t="s">
        <v>612</v>
      </c>
      <c r="N6" s="957" t="s">
        <v>570</v>
      </c>
      <c r="O6" s="957" t="s">
        <v>608</v>
      </c>
      <c r="P6" s="957" t="s">
        <v>609</v>
      </c>
      <c r="Q6" s="957" t="s">
        <v>610</v>
      </c>
      <c r="R6" s="957" t="s">
        <v>611</v>
      </c>
      <c r="S6" s="957" t="s">
        <v>612</v>
      </c>
      <c r="T6" s="716" t="s">
        <v>570</v>
      </c>
      <c r="U6" s="957" t="s">
        <v>608</v>
      </c>
      <c r="V6" s="957" t="s">
        <v>609</v>
      </c>
      <c r="W6" s="957" t="s">
        <v>610</v>
      </c>
      <c r="X6" s="958" t="s">
        <v>611</v>
      </c>
      <c r="Y6" s="716" t="s">
        <v>612</v>
      </c>
    </row>
    <row r="7" spans="1:27" ht="13.8" x14ac:dyDescent="0.25">
      <c r="A7" s="821">
        <v>1</v>
      </c>
      <c r="B7" s="821">
        <v>2</v>
      </c>
      <c r="C7" s="1384">
        <v>3</v>
      </c>
      <c r="D7" s="1384"/>
      <c r="E7" s="1384">
        <v>4</v>
      </c>
      <c r="F7" s="1384"/>
      <c r="G7" s="821">
        <v>5</v>
      </c>
      <c r="H7" s="821">
        <v>6</v>
      </c>
      <c r="I7" s="821">
        <v>7</v>
      </c>
      <c r="J7" s="821">
        <v>8</v>
      </c>
      <c r="K7" s="821">
        <v>9</v>
      </c>
      <c r="L7" s="821">
        <v>10</v>
      </c>
      <c r="M7" s="821">
        <v>11</v>
      </c>
      <c r="N7" s="821">
        <v>12</v>
      </c>
      <c r="O7" s="821">
        <v>13</v>
      </c>
      <c r="P7" s="821">
        <v>14</v>
      </c>
      <c r="Q7" s="821">
        <v>15</v>
      </c>
      <c r="R7" s="821">
        <v>16</v>
      </c>
      <c r="S7" s="821">
        <v>17</v>
      </c>
      <c r="T7" s="959">
        <v>18</v>
      </c>
      <c r="U7" s="959">
        <v>19</v>
      </c>
      <c r="V7" s="959">
        <v>20</v>
      </c>
      <c r="W7" s="959">
        <v>21</v>
      </c>
      <c r="X7" s="959">
        <v>22</v>
      </c>
      <c r="Y7" s="959">
        <v>23</v>
      </c>
    </row>
    <row r="8" spans="1:27" ht="13.8" x14ac:dyDescent="0.25">
      <c r="A8" s="821"/>
      <c r="B8" s="821"/>
      <c r="C8" s="960"/>
      <c r="D8" s="961"/>
      <c r="E8" s="960"/>
      <c r="F8" s="961"/>
      <c r="G8" s="821"/>
      <c r="H8" s="821"/>
      <c r="I8" s="821"/>
      <c r="J8" s="821"/>
      <c r="K8" s="821"/>
      <c r="L8" s="821"/>
      <c r="M8" s="821"/>
      <c r="N8" s="821"/>
      <c r="O8" s="821">
        <v>0.71</v>
      </c>
      <c r="P8" s="821"/>
      <c r="Q8" s="821"/>
      <c r="R8" s="821"/>
      <c r="S8" s="821"/>
      <c r="T8" s="959"/>
      <c r="U8" s="959"/>
      <c r="V8" s="959"/>
      <c r="W8" s="959"/>
      <c r="X8" s="959"/>
      <c r="Y8" s="959"/>
    </row>
    <row r="9" spans="1:27" s="615" customFormat="1" ht="15.6" x14ac:dyDescent="0.3">
      <c r="A9" s="962">
        <f>'e-w'!B31</f>
        <v>0</v>
      </c>
      <c r="B9" s="963">
        <v>0</v>
      </c>
      <c r="C9" s="964">
        <f>'e-w'!$D$16</f>
        <v>2.5</v>
      </c>
      <c r="D9" s="965" t="str">
        <f t="shared" ref="D9:D10" si="0">IF(C9&gt;0,":1"," ")</f>
        <v>:1</v>
      </c>
      <c r="E9" s="966">
        <f t="shared" ref="E9:E10" si="1">IF(C9&gt;0,1,0)</f>
        <v>1</v>
      </c>
      <c r="F9" s="965" t="str">
        <f t="shared" ref="F9:F10" si="2">IF(E9&gt;0,":1"," ")</f>
        <v>:1</v>
      </c>
      <c r="G9" s="967">
        <f t="shared" ref="G9:G10" si="3">IF(C9&gt;0,$F$3,0)</f>
        <v>0.6</v>
      </c>
      <c r="H9" s="824">
        <f>IF(C9&gt;0,'(Extended filter)'!$C$4/2,0)</f>
        <v>0.2</v>
      </c>
      <c r="I9" s="968">
        <f t="shared" ref="I9:I10" si="4">IF(C9&gt;0,$L$3,0)</f>
        <v>0.6</v>
      </c>
      <c r="J9" s="824">
        <f t="shared" ref="J9:J10" si="5">I9+H9*0.13+H9*0.4</f>
        <v>0.70599999999999996</v>
      </c>
      <c r="K9" s="824">
        <f t="shared" ref="K9:K10" si="6">SQRT(G9^2+(G9*C9)^2)</f>
        <v>1.6155494421403511</v>
      </c>
      <c r="L9" s="824">
        <f t="shared" ref="L9:L10" si="7">SQRT($G9^2+($G9*E9)^2)</f>
        <v>0.84852813742385702</v>
      </c>
      <c r="M9" s="824">
        <f t="shared" ref="M9:M10" si="8">(AVERAGE(I9,J9)+K9+L9)*H9*B9</f>
        <v>0</v>
      </c>
      <c r="N9" s="824">
        <f>IF(C9&gt;0,'(Extended filter)'!$C$4/2,0)</f>
        <v>0.2</v>
      </c>
      <c r="O9" s="927">
        <f t="shared" ref="O9:O10" si="9">AA$3</f>
        <v>0.71</v>
      </c>
      <c r="P9" s="824">
        <f t="shared" ref="P9:P10" si="10">O9+N9*0.13+N9*0.4</f>
        <v>0.81600000000000006</v>
      </c>
      <c r="Q9" s="824">
        <f t="shared" ref="Q9:Q46" si="11">SQRT((($G9+$H9)^2)+($G9+$H9)*$C9)^2</f>
        <v>2.64</v>
      </c>
      <c r="R9" s="824">
        <f t="shared" ref="R9:R46" si="12">SQRT((($G9+$H9)^2)+($G9+$H9)*$E9)^2</f>
        <v>1.4400000000000004</v>
      </c>
      <c r="S9" s="824">
        <f t="shared" ref="S9:S10" si="13">(AVERAGE(O9,P9)+Q9+R9)*N9*$B9</f>
        <v>0</v>
      </c>
      <c r="T9" s="734">
        <f>IF(C9&gt;0,'(Extended filter)'!$C$3,0)</f>
        <v>0.3</v>
      </c>
      <c r="U9" s="734">
        <f t="shared" ref="U9:U10" si="14">P9</f>
        <v>0.81600000000000006</v>
      </c>
      <c r="V9" s="734">
        <f t="shared" ref="V9:V10" si="15">U9+T9*0.13+T9*0.4</f>
        <v>0.97500000000000009</v>
      </c>
      <c r="W9" s="734">
        <f>SQRT((($G9+$H9+N$9)^2)+($G9+$H9+N$9)*$C9)^2</f>
        <v>3.5</v>
      </c>
      <c r="X9" s="734">
        <f t="shared" ref="X9:X46" si="16">SQRT((($G9+$H9+$N9)^2)+($G9+$H9+$N9)*$E9)^2</f>
        <v>2.0000000000000004</v>
      </c>
      <c r="Y9" s="734">
        <f t="shared" ref="Y9:Y10" si="17">(AVERAGE(U9,V9)+W9+X9)*T9*$B9</f>
        <v>0</v>
      </c>
      <c r="Z9" s="661"/>
      <c r="AA9" s="661"/>
    </row>
    <row r="10" spans="1:27" s="615" customFormat="1" ht="15.6" x14ac:dyDescent="0.3">
      <c r="A10" s="962">
        <f>'e-w'!B32</f>
        <v>20</v>
      </c>
      <c r="B10" s="963">
        <f t="shared" ref="B10" si="18">IF(A10-A9&gt;0,A10-A9,0)</f>
        <v>20</v>
      </c>
      <c r="C10" s="964">
        <f>'e-w'!$D$16</f>
        <v>2.5</v>
      </c>
      <c r="D10" s="965" t="str">
        <f t="shared" si="0"/>
        <v>:1</v>
      </c>
      <c r="E10" s="966">
        <f t="shared" si="1"/>
        <v>1</v>
      </c>
      <c r="F10" s="965" t="str">
        <f t="shared" si="2"/>
        <v>:1</v>
      </c>
      <c r="G10" s="967">
        <f t="shared" si="3"/>
        <v>0.6</v>
      </c>
      <c r="H10" s="824">
        <f>IF(C10&gt;0,'(Extended filter)'!$C$4/2,0)</f>
        <v>0.2</v>
      </c>
      <c r="I10" s="968">
        <f t="shared" si="4"/>
        <v>0.6</v>
      </c>
      <c r="J10" s="824">
        <f t="shared" si="5"/>
        <v>0.70599999999999996</v>
      </c>
      <c r="K10" s="824">
        <f t="shared" si="6"/>
        <v>1.6155494421403511</v>
      </c>
      <c r="L10" s="824">
        <f t="shared" si="7"/>
        <v>0.84852813742385702</v>
      </c>
      <c r="M10" s="824">
        <f t="shared" si="8"/>
        <v>12.468310318256835</v>
      </c>
      <c r="N10" s="824">
        <f>IF(C10&gt;0,'(Extended filter)'!$C$4/2,0)</f>
        <v>0.2</v>
      </c>
      <c r="O10" s="927">
        <f t="shared" si="9"/>
        <v>0.71</v>
      </c>
      <c r="P10" s="824">
        <f t="shared" si="10"/>
        <v>0.81600000000000006</v>
      </c>
      <c r="Q10" s="824">
        <f t="shared" si="11"/>
        <v>2.64</v>
      </c>
      <c r="R10" s="824">
        <f t="shared" si="12"/>
        <v>1.4400000000000004</v>
      </c>
      <c r="S10" s="824">
        <f t="shared" si="13"/>
        <v>19.372</v>
      </c>
      <c r="T10" s="734">
        <f>IF(C10&gt;0,'(Extended filter)'!$C$3,0)</f>
        <v>0.3</v>
      </c>
      <c r="U10" s="734">
        <f t="shared" si="14"/>
        <v>0.81600000000000006</v>
      </c>
      <c r="V10" s="734">
        <f t="shared" si="15"/>
        <v>0.97500000000000009</v>
      </c>
      <c r="W10" s="734">
        <f t="shared" ref="W10" si="19">SQRT((($G10+$H10+N$9)^2)+($G10+$H10+N$9)*$C10)^2</f>
        <v>3.5</v>
      </c>
      <c r="X10" s="734">
        <f t="shared" si="16"/>
        <v>2.0000000000000004</v>
      </c>
      <c r="Y10" s="734">
        <f t="shared" si="17"/>
        <v>38.372999999999998</v>
      </c>
      <c r="Z10" s="661"/>
      <c r="AA10" s="661"/>
    </row>
    <row r="11" spans="1:27" s="615" customFormat="1" ht="15.6" x14ac:dyDescent="0.3">
      <c r="A11" s="962">
        <f>'e-w'!B33</f>
        <v>40</v>
      </c>
      <c r="B11" s="963">
        <f t="shared" ref="B11:B46" si="20">IF(A11-A10&gt;0,A11-A10,0)</f>
        <v>20</v>
      </c>
      <c r="C11" s="964">
        <f>'e-w'!$D$16</f>
        <v>2.5</v>
      </c>
      <c r="D11" s="965" t="str">
        <f t="shared" ref="D11:D46" si="21">IF(C11&gt;0,":1"," ")</f>
        <v>:1</v>
      </c>
      <c r="E11" s="966">
        <f t="shared" ref="E11:E46" si="22">IF(C11&gt;0,1,0)</f>
        <v>1</v>
      </c>
      <c r="F11" s="965" t="str">
        <f t="shared" ref="F11:F46" si="23">IF(E11&gt;0,":1"," ")</f>
        <v>:1</v>
      </c>
      <c r="G11" s="967">
        <f t="shared" ref="G11:G46" si="24">IF(C11&gt;0,$F$3,0)</f>
        <v>0.6</v>
      </c>
      <c r="H11" s="824">
        <f>IF(C11&gt;0,'(Extended filter)'!$C$4/2,0)</f>
        <v>0.2</v>
      </c>
      <c r="I11" s="968">
        <f t="shared" ref="I11:I46" si="25">IF(C11&gt;0,$L$3,0)</f>
        <v>0.6</v>
      </c>
      <c r="J11" s="824">
        <f t="shared" ref="J11:J46" si="26">I11+H11*0.13+H11*0.4</f>
        <v>0.70599999999999996</v>
      </c>
      <c r="K11" s="824">
        <f t="shared" ref="K11:K46" si="27">SQRT(G11^2+(G11*C11)^2)</f>
        <v>1.6155494421403511</v>
      </c>
      <c r="L11" s="824">
        <f t="shared" ref="L11:L46" si="28">SQRT($G11^2+($G11*E11)^2)</f>
        <v>0.84852813742385702</v>
      </c>
      <c r="M11" s="824">
        <f t="shared" ref="M11:M46" si="29">(AVERAGE(I11,J11)+K11+L11)*H11*B11</f>
        <v>12.468310318256835</v>
      </c>
      <c r="N11" s="824">
        <f>IF(C11&gt;0,'(Extended filter)'!$C$4/2,0)</f>
        <v>0.2</v>
      </c>
      <c r="O11" s="927">
        <f t="shared" ref="O11:O46" si="30">AA$3</f>
        <v>0.71</v>
      </c>
      <c r="P11" s="824">
        <f t="shared" ref="P11:P46" si="31">O11+N11*0.13+N11*0.4</f>
        <v>0.81600000000000006</v>
      </c>
      <c r="Q11" s="824">
        <f t="shared" si="11"/>
        <v>2.64</v>
      </c>
      <c r="R11" s="824">
        <f t="shared" si="12"/>
        <v>1.4400000000000004</v>
      </c>
      <c r="S11" s="824">
        <f t="shared" ref="S11:S46" si="32">(AVERAGE(O11,P11)+Q11+R11)*N11*$B11</f>
        <v>19.372</v>
      </c>
      <c r="T11" s="734">
        <f>IF(C11&gt;0,'(Extended filter)'!$C$3,0)</f>
        <v>0.3</v>
      </c>
      <c r="U11" s="734">
        <f t="shared" ref="U11:U46" si="33">P11</f>
        <v>0.81600000000000006</v>
      </c>
      <c r="V11" s="734">
        <f t="shared" ref="V11:V46" si="34">U11+T11*0.13+T11*0.4</f>
        <v>0.97500000000000009</v>
      </c>
      <c r="W11" s="734">
        <f t="shared" ref="W11:W46" si="35">SQRT((($G11+$H11+N$9)^2)+($G11+$H11+N$9)*$C11)^2</f>
        <v>3.5</v>
      </c>
      <c r="X11" s="734">
        <f t="shared" si="16"/>
        <v>2.0000000000000004</v>
      </c>
      <c r="Y11" s="734">
        <f t="shared" ref="Y11:Y46" si="36">(AVERAGE(U11,V11)+W11+X11)*T11*$B11</f>
        <v>38.372999999999998</v>
      </c>
      <c r="Z11" s="661"/>
      <c r="AA11" s="661"/>
    </row>
    <row r="12" spans="1:27" s="615" customFormat="1" ht="15.6" x14ac:dyDescent="0.3">
      <c r="A12" s="962">
        <f>'e-w'!B34</f>
        <v>60</v>
      </c>
      <c r="B12" s="963">
        <f t="shared" si="20"/>
        <v>20</v>
      </c>
      <c r="C12" s="964">
        <f>'e-w'!$D$16</f>
        <v>2.5</v>
      </c>
      <c r="D12" s="965" t="str">
        <f t="shared" si="21"/>
        <v>:1</v>
      </c>
      <c r="E12" s="966">
        <f t="shared" si="22"/>
        <v>1</v>
      </c>
      <c r="F12" s="965" t="str">
        <f t="shared" si="23"/>
        <v>:1</v>
      </c>
      <c r="G12" s="967">
        <f t="shared" si="24"/>
        <v>0.6</v>
      </c>
      <c r="H12" s="824">
        <f>IF(C12&gt;0,'(Extended filter)'!$C$4/2,0)</f>
        <v>0.2</v>
      </c>
      <c r="I12" s="968">
        <f t="shared" si="25"/>
        <v>0.6</v>
      </c>
      <c r="J12" s="824">
        <f t="shared" si="26"/>
        <v>0.70599999999999996</v>
      </c>
      <c r="K12" s="824">
        <f t="shared" si="27"/>
        <v>1.6155494421403511</v>
      </c>
      <c r="L12" s="824">
        <f t="shared" si="28"/>
        <v>0.84852813742385702</v>
      </c>
      <c r="M12" s="824">
        <f t="shared" si="29"/>
        <v>12.468310318256835</v>
      </c>
      <c r="N12" s="824">
        <f>IF(C12&gt;0,'(Extended filter)'!$C$4/2,0)</f>
        <v>0.2</v>
      </c>
      <c r="O12" s="927">
        <f t="shared" si="30"/>
        <v>0.71</v>
      </c>
      <c r="P12" s="824">
        <f t="shared" si="31"/>
        <v>0.81600000000000006</v>
      </c>
      <c r="Q12" s="824">
        <f t="shared" si="11"/>
        <v>2.64</v>
      </c>
      <c r="R12" s="824">
        <f t="shared" si="12"/>
        <v>1.4400000000000004</v>
      </c>
      <c r="S12" s="824">
        <f t="shared" si="32"/>
        <v>19.372</v>
      </c>
      <c r="T12" s="734">
        <f>IF(C12&gt;0,'(Extended filter)'!$C$3,0)</f>
        <v>0.3</v>
      </c>
      <c r="U12" s="734">
        <f t="shared" si="33"/>
        <v>0.81600000000000006</v>
      </c>
      <c r="V12" s="734">
        <f t="shared" si="34"/>
        <v>0.97500000000000009</v>
      </c>
      <c r="W12" s="734">
        <f t="shared" si="35"/>
        <v>3.5</v>
      </c>
      <c r="X12" s="734">
        <f t="shared" si="16"/>
        <v>2.0000000000000004</v>
      </c>
      <c r="Y12" s="734">
        <f t="shared" si="36"/>
        <v>38.372999999999998</v>
      </c>
      <c r="Z12" s="661"/>
      <c r="AA12" s="661"/>
    </row>
    <row r="13" spans="1:27" s="615" customFormat="1" ht="15.6" x14ac:dyDescent="0.3">
      <c r="A13" s="962">
        <f>'e-w'!B35</f>
        <v>80</v>
      </c>
      <c r="B13" s="963">
        <f t="shared" si="20"/>
        <v>20</v>
      </c>
      <c r="C13" s="964">
        <f>'e-w'!$D$16</f>
        <v>2.5</v>
      </c>
      <c r="D13" s="965" t="str">
        <f t="shared" si="21"/>
        <v>:1</v>
      </c>
      <c r="E13" s="966">
        <f t="shared" si="22"/>
        <v>1</v>
      </c>
      <c r="F13" s="965" t="str">
        <f t="shared" si="23"/>
        <v>:1</v>
      </c>
      <c r="G13" s="967">
        <f t="shared" si="24"/>
        <v>0.6</v>
      </c>
      <c r="H13" s="824">
        <f>IF(C13&gt;0,'(Extended filter)'!$C$4/2,0)</f>
        <v>0.2</v>
      </c>
      <c r="I13" s="968">
        <f t="shared" si="25"/>
        <v>0.6</v>
      </c>
      <c r="J13" s="824">
        <f t="shared" si="26"/>
        <v>0.70599999999999996</v>
      </c>
      <c r="K13" s="824">
        <f t="shared" si="27"/>
        <v>1.6155494421403511</v>
      </c>
      <c r="L13" s="824">
        <f t="shared" si="28"/>
        <v>0.84852813742385702</v>
      </c>
      <c r="M13" s="824">
        <f t="shared" si="29"/>
        <v>12.468310318256835</v>
      </c>
      <c r="N13" s="824">
        <f>IF(C13&gt;0,'(Extended filter)'!$C$4/2,0)</f>
        <v>0.2</v>
      </c>
      <c r="O13" s="927">
        <f t="shared" si="30"/>
        <v>0.71</v>
      </c>
      <c r="P13" s="824">
        <f t="shared" si="31"/>
        <v>0.81600000000000006</v>
      </c>
      <c r="Q13" s="824">
        <f t="shared" si="11"/>
        <v>2.64</v>
      </c>
      <c r="R13" s="824">
        <f t="shared" si="12"/>
        <v>1.4400000000000004</v>
      </c>
      <c r="S13" s="824">
        <f t="shared" si="32"/>
        <v>19.372</v>
      </c>
      <c r="T13" s="734">
        <f>IF(C13&gt;0,'(Extended filter)'!$C$3,0)</f>
        <v>0.3</v>
      </c>
      <c r="U13" s="734">
        <f t="shared" si="33"/>
        <v>0.81600000000000006</v>
      </c>
      <c r="V13" s="734">
        <f t="shared" si="34"/>
        <v>0.97500000000000009</v>
      </c>
      <c r="W13" s="734">
        <f t="shared" si="35"/>
        <v>3.5</v>
      </c>
      <c r="X13" s="734">
        <f t="shared" si="16"/>
        <v>2.0000000000000004</v>
      </c>
      <c r="Y13" s="734">
        <f t="shared" si="36"/>
        <v>38.372999999999998</v>
      </c>
      <c r="Z13" s="661"/>
      <c r="AA13" s="661"/>
    </row>
    <row r="14" spans="1:27" s="615" customFormat="1" ht="15.6" x14ac:dyDescent="0.3">
      <c r="A14" s="962">
        <f>'e-w'!B36</f>
        <v>100</v>
      </c>
      <c r="B14" s="963">
        <f t="shared" si="20"/>
        <v>20</v>
      </c>
      <c r="C14" s="964">
        <f>'e-w'!$D$16</f>
        <v>2.5</v>
      </c>
      <c r="D14" s="965" t="str">
        <f t="shared" si="21"/>
        <v>:1</v>
      </c>
      <c r="E14" s="966">
        <f t="shared" si="22"/>
        <v>1</v>
      </c>
      <c r="F14" s="965" t="str">
        <f t="shared" si="23"/>
        <v>:1</v>
      </c>
      <c r="G14" s="967">
        <f t="shared" si="24"/>
        <v>0.6</v>
      </c>
      <c r="H14" s="824">
        <f>IF(C14&gt;0,'(Extended filter)'!$C$4/2,0)</f>
        <v>0.2</v>
      </c>
      <c r="I14" s="968">
        <f t="shared" si="25"/>
        <v>0.6</v>
      </c>
      <c r="J14" s="824">
        <f t="shared" si="26"/>
        <v>0.70599999999999996</v>
      </c>
      <c r="K14" s="824">
        <f t="shared" si="27"/>
        <v>1.6155494421403511</v>
      </c>
      <c r="L14" s="824">
        <f t="shared" si="28"/>
        <v>0.84852813742385702</v>
      </c>
      <c r="M14" s="824">
        <f t="shared" si="29"/>
        <v>12.468310318256835</v>
      </c>
      <c r="N14" s="824">
        <f>IF(C14&gt;0,'(Extended filter)'!$C$4/2,0)</f>
        <v>0.2</v>
      </c>
      <c r="O14" s="927">
        <f t="shared" si="30"/>
        <v>0.71</v>
      </c>
      <c r="P14" s="824">
        <f t="shared" si="31"/>
        <v>0.81600000000000006</v>
      </c>
      <c r="Q14" s="824">
        <f t="shared" si="11"/>
        <v>2.64</v>
      </c>
      <c r="R14" s="824">
        <f t="shared" si="12"/>
        <v>1.4400000000000004</v>
      </c>
      <c r="S14" s="824">
        <f t="shared" si="32"/>
        <v>19.372</v>
      </c>
      <c r="T14" s="734">
        <f>IF(C14&gt;0,'(Extended filter)'!$C$3,0)</f>
        <v>0.3</v>
      </c>
      <c r="U14" s="734">
        <f t="shared" si="33"/>
        <v>0.81600000000000006</v>
      </c>
      <c r="V14" s="734">
        <f t="shared" si="34"/>
        <v>0.97500000000000009</v>
      </c>
      <c r="W14" s="734">
        <f t="shared" si="35"/>
        <v>3.5</v>
      </c>
      <c r="X14" s="734">
        <f t="shared" si="16"/>
        <v>2.0000000000000004</v>
      </c>
      <c r="Y14" s="734">
        <f t="shared" si="36"/>
        <v>38.372999999999998</v>
      </c>
      <c r="Z14" s="661"/>
      <c r="AA14" s="661"/>
    </row>
    <row r="15" spans="1:27" s="615" customFormat="1" ht="15.6" x14ac:dyDescent="0.3">
      <c r="A15" s="962">
        <f>'e-w'!B37</f>
        <v>120</v>
      </c>
      <c r="B15" s="963">
        <f t="shared" si="20"/>
        <v>20</v>
      </c>
      <c r="C15" s="964">
        <f>'e-w'!$D$16</f>
        <v>2.5</v>
      </c>
      <c r="D15" s="965" t="str">
        <f t="shared" si="21"/>
        <v>:1</v>
      </c>
      <c r="E15" s="966">
        <f t="shared" si="22"/>
        <v>1</v>
      </c>
      <c r="F15" s="965" t="str">
        <f t="shared" si="23"/>
        <v>:1</v>
      </c>
      <c r="G15" s="967">
        <f t="shared" si="24"/>
        <v>0.6</v>
      </c>
      <c r="H15" s="824">
        <f>IF(C15&gt;0,'(Extended filter)'!$C$4/2,0)</f>
        <v>0.2</v>
      </c>
      <c r="I15" s="968">
        <f t="shared" si="25"/>
        <v>0.6</v>
      </c>
      <c r="J15" s="824">
        <f t="shared" si="26"/>
        <v>0.70599999999999996</v>
      </c>
      <c r="K15" s="824">
        <f t="shared" si="27"/>
        <v>1.6155494421403511</v>
      </c>
      <c r="L15" s="824">
        <f t="shared" si="28"/>
        <v>0.84852813742385702</v>
      </c>
      <c r="M15" s="824">
        <f t="shared" si="29"/>
        <v>12.468310318256835</v>
      </c>
      <c r="N15" s="824">
        <f>IF(C15&gt;0,'(Extended filter)'!$C$4/2,0)</f>
        <v>0.2</v>
      </c>
      <c r="O15" s="927">
        <f t="shared" si="30"/>
        <v>0.71</v>
      </c>
      <c r="P15" s="824">
        <f t="shared" si="31"/>
        <v>0.81600000000000006</v>
      </c>
      <c r="Q15" s="824">
        <f t="shared" si="11"/>
        <v>2.64</v>
      </c>
      <c r="R15" s="824">
        <f t="shared" si="12"/>
        <v>1.4400000000000004</v>
      </c>
      <c r="S15" s="824">
        <f t="shared" si="32"/>
        <v>19.372</v>
      </c>
      <c r="T15" s="734">
        <f>IF(C15&gt;0,'(Extended filter)'!$C$3,0)</f>
        <v>0.3</v>
      </c>
      <c r="U15" s="734">
        <f t="shared" si="33"/>
        <v>0.81600000000000006</v>
      </c>
      <c r="V15" s="734">
        <f t="shared" si="34"/>
        <v>0.97500000000000009</v>
      </c>
      <c r="W15" s="734">
        <f t="shared" si="35"/>
        <v>3.5</v>
      </c>
      <c r="X15" s="734">
        <f t="shared" si="16"/>
        <v>2.0000000000000004</v>
      </c>
      <c r="Y15" s="734">
        <f t="shared" si="36"/>
        <v>38.372999999999998</v>
      </c>
      <c r="Z15" s="661"/>
      <c r="AA15" s="661"/>
    </row>
    <row r="16" spans="1:27" s="615" customFormat="1" ht="15.6" x14ac:dyDescent="0.3">
      <c r="A16" s="962">
        <f>'e-w'!B38</f>
        <v>140</v>
      </c>
      <c r="B16" s="963">
        <f t="shared" si="20"/>
        <v>20</v>
      </c>
      <c r="C16" s="964">
        <f>'e-w'!$D$16</f>
        <v>2.5</v>
      </c>
      <c r="D16" s="965" t="str">
        <f t="shared" si="21"/>
        <v>:1</v>
      </c>
      <c r="E16" s="966">
        <f t="shared" si="22"/>
        <v>1</v>
      </c>
      <c r="F16" s="965" t="str">
        <f t="shared" si="23"/>
        <v>:1</v>
      </c>
      <c r="G16" s="967">
        <f t="shared" si="24"/>
        <v>0.6</v>
      </c>
      <c r="H16" s="824">
        <f>IF(C16&gt;0,'(Extended filter)'!$C$4/2,0)</f>
        <v>0.2</v>
      </c>
      <c r="I16" s="968">
        <f t="shared" si="25"/>
        <v>0.6</v>
      </c>
      <c r="J16" s="824">
        <f t="shared" si="26"/>
        <v>0.70599999999999996</v>
      </c>
      <c r="K16" s="824">
        <f t="shared" si="27"/>
        <v>1.6155494421403511</v>
      </c>
      <c r="L16" s="824">
        <f t="shared" si="28"/>
        <v>0.84852813742385702</v>
      </c>
      <c r="M16" s="824">
        <f t="shared" si="29"/>
        <v>12.468310318256835</v>
      </c>
      <c r="N16" s="824">
        <f>IF(C16&gt;0,'(Extended filter)'!$C$4/2,0)</f>
        <v>0.2</v>
      </c>
      <c r="O16" s="927">
        <f t="shared" si="30"/>
        <v>0.71</v>
      </c>
      <c r="P16" s="824">
        <f t="shared" si="31"/>
        <v>0.81600000000000006</v>
      </c>
      <c r="Q16" s="824">
        <f t="shared" si="11"/>
        <v>2.64</v>
      </c>
      <c r="R16" s="824">
        <f t="shared" si="12"/>
        <v>1.4400000000000004</v>
      </c>
      <c r="S16" s="824">
        <f t="shared" si="32"/>
        <v>19.372</v>
      </c>
      <c r="T16" s="734">
        <f>IF(C16&gt;0,'(Extended filter)'!$C$3,0)</f>
        <v>0.3</v>
      </c>
      <c r="U16" s="734">
        <f t="shared" si="33"/>
        <v>0.81600000000000006</v>
      </c>
      <c r="V16" s="734">
        <f t="shared" si="34"/>
        <v>0.97500000000000009</v>
      </c>
      <c r="W16" s="734">
        <f t="shared" si="35"/>
        <v>3.5</v>
      </c>
      <c r="X16" s="734">
        <f t="shared" si="16"/>
        <v>2.0000000000000004</v>
      </c>
      <c r="Y16" s="734">
        <f t="shared" si="36"/>
        <v>38.372999999999998</v>
      </c>
      <c r="Z16" s="661"/>
      <c r="AA16" s="661"/>
    </row>
    <row r="17" spans="1:27" s="615" customFormat="1" ht="15.6" x14ac:dyDescent="0.3">
      <c r="A17" s="962">
        <f>'e-w'!B39</f>
        <v>160</v>
      </c>
      <c r="B17" s="963">
        <f t="shared" si="20"/>
        <v>20</v>
      </c>
      <c r="C17" s="964">
        <f>'e-w'!$D$16</f>
        <v>2.5</v>
      </c>
      <c r="D17" s="965" t="str">
        <f t="shared" si="21"/>
        <v>:1</v>
      </c>
      <c r="E17" s="966">
        <f t="shared" si="22"/>
        <v>1</v>
      </c>
      <c r="F17" s="965" t="str">
        <f t="shared" si="23"/>
        <v>:1</v>
      </c>
      <c r="G17" s="967">
        <f t="shared" si="24"/>
        <v>0.6</v>
      </c>
      <c r="H17" s="824">
        <f>IF(C17&gt;0,'(Extended filter)'!$C$4/2,0)</f>
        <v>0.2</v>
      </c>
      <c r="I17" s="968">
        <f t="shared" si="25"/>
        <v>0.6</v>
      </c>
      <c r="J17" s="824">
        <f t="shared" si="26"/>
        <v>0.70599999999999996</v>
      </c>
      <c r="K17" s="824">
        <f t="shared" si="27"/>
        <v>1.6155494421403511</v>
      </c>
      <c r="L17" s="824">
        <f t="shared" si="28"/>
        <v>0.84852813742385702</v>
      </c>
      <c r="M17" s="824">
        <f t="shared" si="29"/>
        <v>12.468310318256835</v>
      </c>
      <c r="N17" s="824">
        <f>IF(C17&gt;0,'(Extended filter)'!$C$4/2,0)</f>
        <v>0.2</v>
      </c>
      <c r="O17" s="927">
        <f t="shared" si="30"/>
        <v>0.71</v>
      </c>
      <c r="P17" s="824">
        <f t="shared" si="31"/>
        <v>0.81600000000000006</v>
      </c>
      <c r="Q17" s="824">
        <f t="shared" si="11"/>
        <v>2.64</v>
      </c>
      <c r="R17" s="824">
        <f t="shared" si="12"/>
        <v>1.4400000000000004</v>
      </c>
      <c r="S17" s="824">
        <f t="shared" si="32"/>
        <v>19.372</v>
      </c>
      <c r="T17" s="734">
        <f>IF(C17&gt;0,'(Extended filter)'!$C$3,0)</f>
        <v>0.3</v>
      </c>
      <c r="U17" s="734">
        <f t="shared" si="33"/>
        <v>0.81600000000000006</v>
      </c>
      <c r="V17" s="734">
        <f t="shared" si="34"/>
        <v>0.97500000000000009</v>
      </c>
      <c r="W17" s="734">
        <f t="shared" si="35"/>
        <v>3.5</v>
      </c>
      <c r="X17" s="734">
        <f t="shared" si="16"/>
        <v>2.0000000000000004</v>
      </c>
      <c r="Y17" s="734">
        <f t="shared" si="36"/>
        <v>38.372999999999998</v>
      </c>
      <c r="Z17" s="661"/>
      <c r="AA17" s="661"/>
    </row>
    <row r="18" spans="1:27" s="615" customFormat="1" ht="15.6" x14ac:dyDescent="0.3">
      <c r="A18" s="962">
        <f>'e-w'!B40</f>
        <v>180</v>
      </c>
      <c r="B18" s="963">
        <f t="shared" si="20"/>
        <v>20</v>
      </c>
      <c r="C18" s="964">
        <f>'e-w'!$D$16</f>
        <v>2.5</v>
      </c>
      <c r="D18" s="965" t="str">
        <f t="shared" si="21"/>
        <v>:1</v>
      </c>
      <c r="E18" s="966">
        <f t="shared" si="22"/>
        <v>1</v>
      </c>
      <c r="F18" s="965" t="str">
        <f t="shared" si="23"/>
        <v>:1</v>
      </c>
      <c r="G18" s="967">
        <f t="shared" si="24"/>
        <v>0.6</v>
      </c>
      <c r="H18" s="824">
        <f>IF(C18&gt;0,'(Extended filter)'!$C$4/2,0)</f>
        <v>0.2</v>
      </c>
      <c r="I18" s="968">
        <f t="shared" si="25"/>
        <v>0.6</v>
      </c>
      <c r="J18" s="824">
        <f t="shared" si="26"/>
        <v>0.70599999999999996</v>
      </c>
      <c r="K18" s="824">
        <f t="shared" si="27"/>
        <v>1.6155494421403511</v>
      </c>
      <c r="L18" s="824">
        <f t="shared" si="28"/>
        <v>0.84852813742385702</v>
      </c>
      <c r="M18" s="824">
        <f t="shared" si="29"/>
        <v>12.468310318256835</v>
      </c>
      <c r="N18" s="824">
        <f>IF(C18&gt;0,'(Extended filter)'!$C$4/2,0)</f>
        <v>0.2</v>
      </c>
      <c r="O18" s="927">
        <f t="shared" si="30"/>
        <v>0.71</v>
      </c>
      <c r="P18" s="824">
        <f t="shared" si="31"/>
        <v>0.81600000000000006</v>
      </c>
      <c r="Q18" s="824">
        <f t="shared" si="11"/>
        <v>2.64</v>
      </c>
      <c r="R18" s="824">
        <f t="shared" si="12"/>
        <v>1.4400000000000004</v>
      </c>
      <c r="S18" s="824">
        <f t="shared" si="32"/>
        <v>19.372</v>
      </c>
      <c r="T18" s="734">
        <f>IF(C18&gt;0,'(Extended filter)'!$C$3,0)</f>
        <v>0.3</v>
      </c>
      <c r="U18" s="734">
        <f t="shared" si="33"/>
        <v>0.81600000000000006</v>
      </c>
      <c r="V18" s="734">
        <f t="shared" si="34"/>
        <v>0.97500000000000009</v>
      </c>
      <c r="W18" s="734">
        <f t="shared" si="35"/>
        <v>3.5</v>
      </c>
      <c r="X18" s="734">
        <f t="shared" si="16"/>
        <v>2.0000000000000004</v>
      </c>
      <c r="Y18" s="734">
        <f t="shared" si="36"/>
        <v>38.372999999999998</v>
      </c>
      <c r="Z18" s="661"/>
      <c r="AA18" s="661"/>
    </row>
    <row r="19" spans="1:27" s="615" customFormat="1" ht="15.6" x14ac:dyDescent="0.3">
      <c r="A19" s="962">
        <f>'e-w'!B41</f>
        <v>200</v>
      </c>
      <c r="B19" s="963">
        <f t="shared" si="20"/>
        <v>20</v>
      </c>
      <c r="C19" s="964">
        <f>'e-w'!$D$16</f>
        <v>2.5</v>
      </c>
      <c r="D19" s="965" t="str">
        <f t="shared" si="21"/>
        <v>:1</v>
      </c>
      <c r="E19" s="966">
        <f t="shared" si="22"/>
        <v>1</v>
      </c>
      <c r="F19" s="965" t="str">
        <f t="shared" si="23"/>
        <v>:1</v>
      </c>
      <c r="G19" s="967">
        <f t="shared" si="24"/>
        <v>0.6</v>
      </c>
      <c r="H19" s="824">
        <f>IF(C19&gt;0,'(Extended filter)'!$C$4/2,0)</f>
        <v>0.2</v>
      </c>
      <c r="I19" s="968">
        <f t="shared" si="25"/>
        <v>0.6</v>
      </c>
      <c r="J19" s="824">
        <f t="shared" si="26"/>
        <v>0.70599999999999996</v>
      </c>
      <c r="K19" s="824">
        <f t="shared" si="27"/>
        <v>1.6155494421403511</v>
      </c>
      <c r="L19" s="824">
        <f t="shared" si="28"/>
        <v>0.84852813742385702</v>
      </c>
      <c r="M19" s="824">
        <f t="shared" si="29"/>
        <v>12.468310318256835</v>
      </c>
      <c r="N19" s="824">
        <f>IF(C19&gt;0,'(Extended filter)'!$C$4/2,0)</f>
        <v>0.2</v>
      </c>
      <c r="O19" s="927">
        <f t="shared" si="30"/>
        <v>0.71</v>
      </c>
      <c r="P19" s="824">
        <f t="shared" si="31"/>
        <v>0.81600000000000006</v>
      </c>
      <c r="Q19" s="824">
        <f t="shared" si="11"/>
        <v>2.64</v>
      </c>
      <c r="R19" s="824">
        <f t="shared" si="12"/>
        <v>1.4400000000000004</v>
      </c>
      <c r="S19" s="824">
        <f t="shared" si="32"/>
        <v>19.372</v>
      </c>
      <c r="T19" s="734">
        <f>IF(C19&gt;0,'(Extended filter)'!$C$3,0)</f>
        <v>0.3</v>
      </c>
      <c r="U19" s="734">
        <f t="shared" si="33"/>
        <v>0.81600000000000006</v>
      </c>
      <c r="V19" s="734">
        <f t="shared" si="34"/>
        <v>0.97500000000000009</v>
      </c>
      <c r="W19" s="734">
        <f t="shared" si="35"/>
        <v>3.5</v>
      </c>
      <c r="X19" s="734">
        <f t="shared" si="16"/>
        <v>2.0000000000000004</v>
      </c>
      <c r="Y19" s="734">
        <f t="shared" si="36"/>
        <v>38.372999999999998</v>
      </c>
      <c r="Z19" s="661"/>
      <c r="AA19" s="661"/>
    </row>
    <row r="20" spans="1:27" s="615" customFormat="1" ht="15.6" x14ac:dyDescent="0.3">
      <c r="A20" s="962">
        <f>'e-w'!B42</f>
        <v>220</v>
      </c>
      <c r="B20" s="963">
        <f t="shared" si="20"/>
        <v>20</v>
      </c>
      <c r="C20" s="964">
        <f>'e-w'!$D$16</f>
        <v>2.5</v>
      </c>
      <c r="D20" s="965" t="str">
        <f t="shared" si="21"/>
        <v>:1</v>
      </c>
      <c r="E20" s="966">
        <f t="shared" si="22"/>
        <v>1</v>
      </c>
      <c r="F20" s="965" t="str">
        <f t="shared" si="23"/>
        <v>:1</v>
      </c>
      <c r="G20" s="967">
        <f t="shared" si="24"/>
        <v>0.6</v>
      </c>
      <c r="H20" s="824">
        <f>IF(C20&gt;0,'(Extended filter)'!$C$4/2,0)</f>
        <v>0.2</v>
      </c>
      <c r="I20" s="968">
        <f t="shared" si="25"/>
        <v>0.6</v>
      </c>
      <c r="J20" s="824">
        <f t="shared" si="26"/>
        <v>0.70599999999999996</v>
      </c>
      <c r="K20" s="824">
        <f t="shared" si="27"/>
        <v>1.6155494421403511</v>
      </c>
      <c r="L20" s="824">
        <f t="shared" si="28"/>
        <v>0.84852813742385702</v>
      </c>
      <c r="M20" s="824">
        <f t="shared" si="29"/>
        <v>12.468310318256835</v>
      </c>
      <c r="N20" s="824">
        <f>IF(C20&gt;0,'(Extended filter)'!$C$4/2,0)</f>
        <v>0.2</v>
      </c>
      <c r="O20" s="927">
        <f t="shared" si="30"/>
        <v>0.71</v>
      </c>
      <c r="P20" s="824">
        <f t="shared" si="31"/>
        <v>0.81600000000000006</v>
      </c>
      <c r="Q20" s="824">
        <f t="shared" si="11"/>
        <v>2.64</v>
      </c>
      <c r="R20" s="824">
        <f t="shared" si="12"/>
        <v>1.4400000000000004</v>
      </c>
      <c r="S20" s="824">
        <f t="shared" si="32"/>
        <v>19.372</v>
      </c>
      <c r="T20" s="734">
        <f>IF(C20&gt;0,'(Extended filter)'!$C$3,0)</f>
        <v>0.3</v>
      </c>
      <c r="U20" s="734">
        <f t="shared" si="33"/>
        <v>0.81600000000000006</v>
      </c>
      <c r="V20" s="734">
        <f t="shared" si="34"/>
        <v>0.97500000000000009</v>
      </c>
      <c r="W20" s="734">
        <f t="shared" si="35"/>
        <v>3.5</v>
      </c>
      <c r="X20" s="734">
        <f t="shared" si="16"/>
        <v>2.0000000000000004</v>
      </c>
      <c r="Y20" s="734">
        <f t="shared" si="36"/>
        <v>38.372999999999998</v>
      </c>
      <c r="Z20" s="661"/>
      <c r="AA20" s="661"/>
    </row>
    <row r="21" spans="1:27" s="615" customFormat="1" ht="15.6" x14ac:dyDescent="0.3">
      <c r="A21" s="962">
        <f>'e-w'!B43</f>
        <v>240</v>
      </c>
      <c r="B21" s="963">
        <f t="shared" si="20"/>
        <v>20</v>
      </c>
      <c r="C21" s="964">
        <f>'e-w'!$D$16</f>
        <v>2.5</v>
      </c>
      <c r="D21" s="965" t="str">
        <f t="shared" si="21"/>
        <v>:1</v>
      </c>
      <c r="E21" s="966">
        <f t="shared" si="22"/>
        <v>1</v>
      </c>
      <c r="F21" s="965" t="str">
        <f t="shared" si="23"/>
        <v>:1</v>
      </c>
      <c r="G21" s="967">
        <f t="shared" si="24"/>
        <v>0.6</v>
      </c>
      <c r="H21" s="824">
        <f>IF(C21&gt;0,'(Extended filter)'!$C$4/2,0)</f>
        <v>0.2</v>
      </c>
      <c r="I21" s="968">
        <f t="shared" si="25"/>
        <v>0.6</v>
      </c>
      <c r="J21" s="824">
        <f t="shared" si="26"/>
        <v>0.70599999999999996</v>
      </c>
      <c r="K21" s="824">
        <f t="shared" si="27"/>
        <v>1.6155494421403511</v>
      </c>
      <c r="L21" s="824">
        <f t="shared" si="28"/>
        <v>0.84852813742385702</v>
      </c>
      <c r="M21" s="824">
        <f t="shared" si="29"/>
        <v>12.468310318256835</v>
      </c>
      <c r="N21" s="824">
        <f>IF(C21&gt;0,'(Extended filter)'!$C$4/2,0)</f>
        <v>0.2</v>
      </c>
      <c r="O21" s="927">
        <f t="shared" si="30"/>
        <v>0.71</v>
      </c>
      <c r="P21" s="824">
        <f t="shared" si="31"/>
        <v>0.81600000000000006</v>
      </c>
      <c r="Q21" s="824">
        <f t="shared" si="11"/>
        <v>2.64</v>
      </c>
      <c r="R21" s="824">
        <f t="shared" si="12"/>
        <v>1.4400000000000004</v>
      </c>
      <c r="S21" s="824">
        <f t="shared" si="32"/>
        <v>19.372</v>
      </c>
      <c r="T21" s="734">
        <f>IF(C21&gt;0,'(Extended filter)'!$C$3,0)</f>
        <v>0.3</v>
      </c>
      <c r="U21" s="734">
        <f t="shared" si="33"/>
        <v>0.81600000000000006</v>
      </c>
      <c r="V21" s="734">
        <f t="shared" si="34"/>
        <v>0.97500000000000009</v>
      </c>
      <c r="W21" s="734">
        <f t="shared" si="35"/>
        <v>3.5</v>
      </c>
      <c r="X21" s="734">
        <f t="shared" si="16"/>
        <v>2.0000000000000004</v>
      </c>
      <c r="Y21" s="734">
        <f t="shared" si="36"/>
        <v>38.372999999999998</v>
      </c>
      <c r="Z21" s="661"/>
      <c r="AA21" s="661"/>
    </row>
    <row r="22" spans="1:27" s="615" customFormat="1" ht="15.6" x14ac:dyDescent="0.3">
      <c r="A22" s="962">
        <f>'e-w'!B44</f>
        <v>260</v>
      </c>
      <c r="B22" s="963">
        <f t="shared" si="20"/>
        <v>20</v>
      </c>
      <c r="C22" s="964">
        <f>'e-w'!$D$16</f>
        <v>2.5</v>
      </c>
      <c r="D22" s="965" t="str">
        <f t="shared" si="21"/>
        <v>:1</v>
      </c>
      <c r="E22" s="966">
        <f t="shared" si="22"/>
        <v>1</v>
      </c>
      <c r="F22" s="965" t="str">
        <f t="shared" si="23"/>
        <v>:1</v>
      </c>
      <c r="G22" s="967">
        <f t="shared" si="24"/>
        <v>0.6</v>
      </c>
      <c r="H22" s="824">
        <f>IF(C22&gt;0,'(Extended filter)'!$C$4/2,0)</f>
        <v>0.2</v>
      </c>
      <c r="I22" s="968">
        <f t="shared" si="25"/>
        <v>0.6</v>
      </c>
      <c r="J22" s="824">
        <f t="shared" si="26"/>
        <v>0.70599999999999996</v>
      </c>
      <c r="K22" s="824">
        <f t="shared" si="27"/>
        <v>1.6155494421403511</v>
      </c>
      <c r="L22" s="824">
        <f t="shared" si="28"/>
        <v>0.84852813742385702</v>
      </c>
      <c r="M22" s="824">
        <f t="shared" si="29"/>
        <v>12.468310318256835</v>
      </c>
      <c r="N22" s="824">
        <f>IF(C22&gt;0,'(Extended filter)'!$C$4/2,0)</f>
        <v>0.2</v>
      </c>
      <c r="O22" s="927">
        <f t="shared" si="30"/>
        <v>0.71</v>
      </c>
      <c r="P22" s="824">
        <f t="shared" si="31"/>
        <v>0.81600000000000006</v>
      </c>
      <c r="Q22" s="824">
        <f t="shared" si="11"/>
        <v>2.64</v>
      </c>
      <c r="R22" s="824">
        <f t="shared" si="12"/>
        <v>1.4400000000000004</v>
      </c>
      <c r="S22" s="824">
        <f t="shared" si="32"/>
        <v>19.372</v>
      </c>
      <c r="T22" s="734">
        <f>IF(C22&gt;0,'(Extended filter)'!$C$3,0)</f>
        <v>0.3</v>
      </c>
      <c r="U22" s="734">
        <f t="shared" si="33"/>
        <v>0.81600000000000006</v>
      </c>
      <c r="V22" s="734">
        <f t="shared" si="34"/>
        <v>0.97500000000000009</v>
      </c>
      <c r="W22" s="734">
        <f t="shared" si="35"/>
        <v>3.5</v>
      </c>
      <c r="X22" s="734">
        <f t="shared" si="16"/>
        <v>2.0000000000000004</v>
      </c>
      <c r="Y22" s="734">
        <f t="shared" si="36"/>
        <v>38.372999999999998</v>
      </c>
      <c r="Z22" s="661"/>
      <c r="AA22" s="661"/>
    </row>
    <row r="23" spans="1:27" ht="13.8" x14ac:dyDescent="0.3">
      <c r="A23" s="962">
        <f>'e-w'!B45</f>
        <v>280</v>
      </c>
      <c r="B23" s="963">
        <f t="shared" si="20"/>
        <v>20</v>
      </c>
      <c r="C23" s="964">
        <f>'e-w'!$D$16</f>
        <v>2.5</v>
      </c>
      <c r="D23" s="965" t="str">
        <f t="shared" si="21"/>
        <v>:1</v>
      </c>
      <c r="E23" s="966">
        <f t="shared" si="22"/>
        <v>1</v>
      </c>
      <c r="F23" s="965" t="str">
        <f t="shared" si="23"/>
        <v>:1</v>
      </c>
      <c r="G23" s="967">
        <f t="shared" si="24"/>
        <v>0.6</v>
      </c>
      <c r="H23" s="824">
        <f>IF(C23&gt;0,'(Extended filter)'!$C$4/2,0)</f>
        <v>0.2</v>
      </c>
      <c r="I23" s="968">
        <f t="shared" si="25"/>
        <v>0.6</v>
      </c>
      <c r="J23" s="824">
        <f t="shared" si="26"/>
        <v>0.70599999999999996</v>
      </c>
      <c r="K23" s="824">
        <f t="shared" si="27"/>
        <v>1.6155494421403511</v>
      </c>
      <c r="L23" s="824">
        <f t="shared" si="28"/>
        <v>0.84852813742385702</v>
      </c>
      <c r="M23" s="824">
        <f t="shared" si="29"/>
        <v>12.468310318256835</v>
      </c>
      <c r="N23" s="824">
        <f>IF(C23&gt;0,'(Extended filter)'!$C$4/2,0)</f>
        <v>0.2</v>
      </c>
      <c r="O23" s="927">
        <f t="shared" si="30"/>
        <v>0.71</v>
      </c>
      <c r="P23" s="824">
        <f t="shared" si="31"/>
        <v>0.81600000000000006</v>
      </c>
      <c r="Q23" s="824">
        <f t="shared" si="11"/>
        <v>2.64</v>
      </c>
      <c r="R23" s="824">
        <f t="shared" si="12"/>
        <v>1.4400000000000004</v>
      </c>
      <c r="S23" s="824">
        <f t="shared" si="32"/>
        <v>19.372</v>
      </c>
      <c r="T23" s="734">
        <f>IF(C23&gt;0,'(Extended filter)'!$C$3,0)</f>
        <v>0.3</v>
      </c>
      <c r="U23" s="734">
        <f t="shared" si="33"/>
        <v>0.81600000000000006</v>
      </c>
      <c r="V23" s="734">
        <f t="shared" si="34"/>
        <v>0.97500000000000009</v>
      </c>
      <c r="W23" s="734">
        <f t="shared" si="35"/>
        <v>3.5</v>
      </c>
      <c r="X23" s="734">
        <f t="shared" si="16"/>
        <v>2.0000000000000004</v>
      </c>
      <c r="Y23" s="734">
        <f t="shared" si="36"/>
        <v>38.372999999999998</v>
      </c>
    </row>
    <row r="24" spans="1:27" ht="13.8" x14ac:dyDescent="0.3">
      <c r="A24" s="962">
        <f>'e-w'!B46</f>
        <v>300</v>
      </c>
      <c r="B24" s="963">
        <f t="shared" si="20"/>
        <v>20</v>
      </c>
      <c r="C24" s="964">
        <f>'e-w'!$D$16</f>
        <v>2.5</v>
      </c>
      <c r="D24" s="965" t="str">
        <f t="shared" si="21"/>
        <v>:1</v>
      </c>
      <c r="E24" s="966">
        <f t="shared" si="22"/>
        <v>1</v>
      </c>
      <c r="F24" s="965" t="str">
        <f t="shared" si="23"/>
        <v>:1</v>
      </c>
      <c r="G24" s="967">
        <f t="shared" si="24"/>
        <v>0.6</v>
      </c>
      <c r="H24" s="824">
        <f>IF(C24&gt;0,'(Extended filter)'!$C$4/2,0)</f>
        <v>0.2</v>
      </c>
      <c r="I24" s="968">
        <f t="shared" si="25"/>
        <v>0.6</v>
      </c>
      <c r="J24" s="824">
        <f t="shared" si="26"/>
        <v>0.70599999999999996</v>
      </c>
      <c r="K24" s="824">
        <f t="shared" si="27"/>
        <v>1.6155494421403511</v>
      </c>
      <c r="L24" s="824">
        <f t="shared" si="28"/>
        <v>0.84852813742385702</v>
      </c>
      <c r="M24" s="824">
        <f t="shared" si="29"/>
        <v>12.468310318256835</v>
      </c>
      <c r="N24" s="824">
        <f>IF(C24&gt;0,'(Extended filter)'!$C$4/2,0)</f>
        <v>0.2</v>
      </c>
      <c r="O24" s="927">
        <f t="shared" si="30"/>
        <v>0.71</v>
      </c>
      <c r="P24" s="824">
        <f t="shared" si="31"/>
        <v>0.81600000000000006</v>
      </c>
      <c r="Q24" s="824">
        <f t="shared" si="11"/>
        <v>2.64</v>
      </c>
      <c r="R24" s="824">
        <f t="shared" si="12"/>
        <v>1.4400000000000004</v>
      </c>
      <c r="S24" s="824">
        <f t="shared" si="32"/>
        <v>19.372</v>
      </c>
      <c r="T24" s="734">
        <f>IF(C24&gt;0,'(Extended filter)'!$C$3,0)</f>
        <v>0.3</v>
      </c>
      <c r="U24" s="734">
        <f t="shared" si="33"/>
        <v>0.81600000000000006</v>
      </c>
      <c r="V24" s="734">
        <f t="shared" si="34"/>
        <v>0.97500000000000009</v>
      </c>
      <c r="W24" s="734">
        <f t="shared" si="35"/>
        <v>3.5</v>
      </c>
      <c r="X24" s="734">
        <f t="shared" si="16"/>
        <v>2.0000000000000004</v>
      </c>
      <c r="Y24" s="734">
        <f t="shared" si="36"/>
        <v>38.372999999999998</v>
      </c>
    </row>
    <row r="25" spans="1:27" ht="13.8" x14ac:dyDescent="0.3">
      <c r="A25" s="962">
        <f>'e-w'!B47</f>
        <v>320</v>
      </c>
      <c r="B25" s="963">
        <f t="shared" si="20"/>
        <v>20</v>
      </c>
      <c r="C25" s="964">
        <f>'e-w'!$D$16</f>
        <v>2.5</v>
      </c>
      <c r="D25" s="965" t="str">
        <f t="shared" si="21"/>
        <v>:1</v>
      </c>
      <c r="E25" s="966">
        <f t="shared" si="22"/>
        <v>1</v>
      </c>
      <c r="F25" s="965" t="str">
        <f t="shared" si="23"/>
        <v>:1</v>
      </c>
      <c r="G25" s="967">
        <f t="shared" si="24"/>
        <v>0.6</v>
      </c>
      <c r="H25" s="824">
        <f>IF(C25&gt;0,'(Extended filter)'!$C$4/2,0)</f>
        <v>0.2</v>
      </c>
      <c r="I25" s="968">
        <f t="shared" si="25"/>
        <v>0.6</v>
      </c>
      <c r="J25" s="824">
        <f t="shared" si="26"/>
        <v>0.70599999999999996</v>
      </c>
      <c r="K25" s="824">
        <f t="shared" si="27"/>
        <v>1.6155494421403511</v>
      </c>
      <c r="L25" s="824">
        <f t="shared" si="28"/>
        <v>0.84852813742385702</v>
      </c>
      <c r="M25" s="824">
        <f t="shared" si="29"/>
        <v>12.468310318256835</v>
      </c>
      <c r="N25" s="824">
        <f>IF(C25&gt;0,'(Extended filter)'!$C$4/2,0)</f>
        <v>0.2</v>
      </c>
      <c r="O25" s="927">
        <f t="shared" si="30"/>
        <v>0.71</v>
      </c>
      <c r="P25" s="824">
        <f t="shared" si="31"/>
        <v>0.81600000000000006</v>
      </c>
      <c r="Q25" s="824">
        <f t="shared" si="11"/>
        <v>2.64</v>
      </c>
      <c r="R25" s="824">
        <f t="shared" si="12"/>
        <v>1.4400000000000004</v>
      </c>
      <c r="S25" s="824">
        <f t="shared" si="32"/>
        <v>19.372</v>
      </c>
      <c r="T25" s="734">
        <f>IF(C25&gt;0,'(Extended filter)'!$C$3,0)</f>
        <v>0.3</v>
      </c>
      <c r="U25" s="734">
        <f t="shared" si="33"/>
        <v>0.81600000000000006</v>
      </c>
      <c r="V25" s="734">
        <f t="shared" si="34"/>
        <v>0.97500000000000009</v>
      </c>
      <c r="W25" s="734">
        <f t="shared" si="35"/>
        <v>3.5</v>
      </c>
      <c r="X25" s="734">
        <f t="shared" si="16"/>
        <v>2.0000000000000004</v>
      </c>
      <c r="Y25" s="734">
        <f t="shared" si="36"/>
        <v>38.372999999999998</v>
      </c>
    </row>
    <row r="26" spans="1:27" ht="13.8" x14ac:dyDescent="0.3">
      <c r="A26" s="962">
        <f>'e-w'!B48</f>
        <v>340</v>
      </c>
      <c r="B26" s="963">
        <f t="shared" si="20"/>
        <v>20</v>
      </c>
      <c r="C26" s="964">
        <f>'e-w'!$D$16</f>
        <v>2.5</v>
      </c>
      <c r="D26" s="965" t="str">
        <f t="shared" si="21"/>
        <v>:1</v>
      </c>
      <c r="E26" s="966">
        <f t="shared" si="22"/>
        <v>1</v>
      </c>
      <c r="F26" s="965" t="str">
        <f t="shared" si="23"/>
        <v>:1</v>
      </c>
      <c r="G26" s="967">
        <f t="shared" si="24"/>
        <v>0.6</v>
      </c>
      <c r="H26" s="824">
        <f>IF(C26&gt;0,'(Extended filter)'!$C$4/2,0)</f>
        <v>0.2</v>
      </c>
      <c r="I26" s="968">
        <f t="shared" si="25"/>
        <v>0.6</v>
      </c>
      <c r="J26" s="824">
        <f t="shared" si="26"/>
        <v>0.70599999999999996</v>
      </c>
      <c r="K26" s="824">
        <f t="shared" si="27"/>
        <v>1.6155494421403511</v>
      </c>
      <c r="L26" s="824">
        <f t="shared" si="28"/>
        <v>0.84852813742385702</v>
      </c>
      <c r="M26" s="824">
        <f t="shared" si="29"/>
        <v>12.468310318256835</v>
      </c>
      <c r="N26" s="824">
        <f>IF(C26&gt;0,'(Extended filter)'!$C$4/2,0)</f>
        <v>0.2</v>
      </c>
      <c r="O26" s="927">
        <f t="shared" si="30"/>
        <v>0.71</v>
      </c>
      <c r="P26" s="824">
        <f t="shared" si="31"/>
        <v>0.81600000000000006</v>
      </c>
      <c r="Q26" s="824">
        <f t="shared" si="11"/>
        <v>2.64</v>
      </c>
      <c r="R26" s="824">
        <f t="shared" si="12"/>
        <v>1.4400000000000004</v>
      </c>
      <c r="S26" s="824">
        <f t="shared" si="32"/>
        <v>19.372</v>
      </c>
      <c r="T26" s="734">
        <f>IF(C26&gt;0,'(Extended filter)'!$C$3,0)</f>
        <v>0.3</v>
      </c>
      <c r="U26" s="734">
        <f t="shared" si="33"/>
        <v>0.81600000000000006</v>
      </c>
      <c r="V26" s="734">
        <f t="shared" si="34"/>
        <v>0.97500000000000009</v>
      </c>
      <c r="W26" s="734">
        <f t="shared" si="35"/>
        <v>3.5</v>
      </c>
      <c r="X26" s="734">
        <f t="shared" si="16"/>
        <v>2.0000000000000004</v>
      </c>
      <c r="Y26" s="734">
        <f t="shared" si="36"/>
        <v>38.372999999999998</v>
      </c>
    </row>
    <row r="27" spans="1:27" ht="13.8" x14ac:dyDescent="0.3">
      <c r="A27" s="962">
        <f>'e-w'!B49</f>
        <v>360</v>
      </c>
      <c r="B27" s="963">
        <f t="shared" si="20"/>
        <v>20</v>
      </c>
      <c r="C27" s="964">
        <f>'e-w'!$D$16</f>
        <v>2.5</v>
      </c>
      <c r="D27" s="965" t="str">
        <f t="shared" si="21"/>
        <v>:1</v>
      </c>
      <c r="E27" s="966">
        <f t="shared" si="22"/>
        <v>1</v>
      </c>
      <c r="F27" s="965" t="str">
        <f t="shared" si="23"/>
        <v>:1</v>
      </c>
      <c r="G27" s="967">
        <f t="shared" si="24"/>
        <v>0.6</v>
      </c>
      <c r="H27" s="824">
        <f>IF(C27&gt;0,'(Extended filter)'!$C$4/2,0)</f>
        <v>0.2</v>
      </c>
      <c r="I27" s="968">
        <f t="shared" si="25"/>
        <v>0.6</v>
      </c>
      <c r="J27" s="824">
        <f t="shared" si="26"/>
        <v>0.70599999999999996</v>
      </c>
      <c r="K27" s="824">
        <f t="shared" si="27"/>
        <v>1.6155494421403511</v>
      </c>
      <c r="L27" s="824">
        <f t="shared" si="28"/>
        <v>0.84852813742385702</v>
      </c>
      <c r="M27" s="824">
        <f t="shared" si="29"/>
        <v>12.468310318256835</v>
      </c>
      <c r="N27" s="824">
        <f>IF(C27&gt;0,'(Extended filter)'!$C$4/2,0)</f>
        <v>0.2</v>
      </c>
      <c r="O27" s="927">
        <f t="shared" si="30"/>
        <v>0.71</v>
      </c>
      <c r="P27" s="824">
        <f t="shared" si="31"/>
        <v>0.81600000000000006</v>
      </c>
      <c r="Q27" s="824">
        <f t="shared" si="11"/>
        <v>2.64</v>
      </c>
      <c r="R27" s="824">
        <f t="shared" si="12"/>
        <v>1.4400000000000004</v>
      </c>
      <c r="S27" s="824">
        <f t="shared" si="32"/>
        <v>19.372</v>
      </c>
      <c r="T27" s="734">
        <f>IF(C27&gt;0,'(Extended filter)'!$C$3,0)</f>
        <v>0.3</v>
      </c>
      <c r="U27" s="734">
        <f t="shared" si="33"/>
        <v>0.81600000000000006</v>
      </c>
      <c r="V27" s="734">
        <f t="shared" si="34"/>
        <v>0.97500000000000009</v>
      </c>
      <c r="W27" s="734">
        <f t="shared" si="35"/>
        <v>3.5</v>
      </c>
      <c r="X27" s="734">
        <f t="shared" si="16"/>
        <v>2.0000000000000004</v>
      </c>
      <c r="Y27" s="734">
        <f t="shared" si="36"/>
        <v>38.372999999999998</v>
      </c>
    </row>
    <row r="28" spans="1:27" ht="13.8" x14ac:dyDescent="0.3">
      <c r="A28" s="962">
        <f>'e-w'!B50</f>
        <v>380</v>
      </c>
      <c r="B28" s="963">
        <f t="shared" si="20"/>
        <v>20</v>
      </c>
      <c r="C28" s="964">
        <f>'e-w'!$D$16</f>
        <v>2.5</v>
      </c>
      <c r="D28" s="965" t="str">
        <f t="shared" si="21"/>
        <v>:1</v>
      </c>
      <c r="E28" s="966">
        <f t="shared" si="22"/>
        <v>1</v>
      </c>
      <c r="F28" s="965" t="str">
        <f t="shared" si="23"/>
        <v>:1</v>
      </c>
      <c r="G28" s="967">
        <f t="shared" si="24"/>
        <v>0.6</v>
      </c>
      <c r="H28" s="824">
        <f>IF(C28&gt;0,'(Extended filter)'!$C$4/2,0)</f>
        <v>0.2</v>
      </c>
      <c r="I28" s="968">
        <f t="shared" si="25"/>
        <v>0.6</v>
      </c>
      <c r="J28" s="824">
        <f t="shared" si="26"/>
        <v>0.70599999999999996</v>
      </c>
      <c r="K28" s="824">
        <f t="shared" si="27"/>
        <v>1.6155494421403511</v>
      </c>
      <c r="L28" s="824">
        <f t="shared" si="28"/>
        <v>0.84852813742385702</v>
      </c>
      <c r="M28" s="824">
        <f t="shared" si="29"/>
        <v>12.468310318256835</v>
      </c>
      <c r="N28" s="824">
        <f>IF(C28&gt;0,'(Extended filter)'!$C$4/2,0)</f>
        <v>0.2</v>
      </c>
      <c r="O28" s="927">
        <f t="shared" si="30"/>
        <v>0.71</v>
      </c>
      <c r="P28" s="824">
        <f t="shared" si="31"/>
        <v>0.81600000000000006</v>
      </c>
      <c r="Q28" s="824">
        <f t="shared" si="11"/>
        <v>2.64</v>
      </c>
      <c r="R28" s="824">
        <f t="shared" si="12"/>
        <v>1.4400000000000004</v>
      </c>
      <c r="S28" s="824">
        <f t="shared" si="32"/>
        <v>19.372</v>
      </c>
      <c r="T28" s="734">
        <f>IF(C28&gt;0,'(Extended filter)'!$C$3,0)</f>
        <v>0.3</v>
      </c>
      <c r="U28" s="734">
        <f t="shared" si="33"/>
        <v>0.81600000000000006</v>
      </c>
      <c r="V28" s="734">
        <f t="shared" si="34"/>
        <v>0.97500000000000009</v>
      </c>
      <c r="W28" s="734">
        <f t="shared" si="35"/>
        <v>3.5</v>
      </c>
      <c r="X28" s="734">
        <f t="shared" si="16"/>
        <v>2.0000000000000004</v>
      </c>
      <c r="Y28" s="734">
        <f t="shared" si="36"/>
        <v>38.372999999999998</v>
      </c>
    </row>
    <row r="29" spans="1:27" ht="13.8" x14ac:dyDescent="0.3">
      <c r="A29" s="962">
        <f>'e-w'!B51</f>
        <v>400</v>
      </c>
      <c r="B29" s="963">
        <f t="shared" si="20"/>
        <v>20</v>
      </c>
      <c r="C29" s="964">
        <f>'e-w'!$D$16</f>
        <v>2.5</v>
      </c>
      <c r="D29" s="965" t="str">
        <f t="shared" si="21"/>
        <v>:1</v>
      </c>
      <c r="E29" s="966">
        <f t="shared" si="22"/>
        <v>1</v>
      </c>
      <c r="F29" s="965" t="str">
        <f t="shared" si="23"/>
        <v>:1</v>
      </c>
      <c r="G29" s="967">
        <f t="shared" si="24"/>
        <v>0.6</v>
      </c>
      <c r="H29" s="824">
        <f>IF(C29&gt;0,'(Extended filter)'!$C$4/2,0)</f>
        <v>0.2</v>
      </c>
      <c r="I29" s="968">
        <f t="shared" si="25"/>
        <v>0.6</v>
      </c>
      <c r="J29" s="824">
        <f t="shared" si="26"/>
        <v>0.70599999999999996</v>
      </c>
      <c r="K29" s="824">
        <f t="shared" si="27"/>
        <v>1.6155494421403511</v>
      </c>
      <c r="L29" s="824">
        <f t="shared" si="28"/>
        <v>0.84852813742385702</v>
      </c>
      <c r="M29" s="824">
        <f t="shared" si="29"/>
        <v>12.468310318256835</v>
      </c>
      <c r="N29" s="824">
        <f>IF(C29&gt;0,'(Extended filter)'!$C$4/2,0)</f>
        <v>0.2</v>
      </c>
      <c r="O29" s="927">
        <f t="shared" si="30"/>
        <v>0.71</v>
      </c>
      <c r="P29" s="824">
        <f t="shared" si="31"/>
        <v>0.81600000000000006</v>
      </c>
      <c r="Q29" s="824">
        <f t="shared" si="11"/>
        <v>2.64</v>
      </c>
      <c r="R29" s="824">
        <f t="shared" si="12"/>
        <v>1.4400000000000004</v>
      </c>
      <c r="S29" s="824">
        <f t="shared" si="32"/>
        <v>19.372</v>
      </c>
      <c r="T29" s="734">
        <f>IF(C29&gt;0,'(Extended filter)'!$C$3,0)</f>
        <v>0.3</v>
      </c>
      <c r="U29" s="734">
        <f t="shared" si="33"/>
        <v>0.81600000000000006</v>
      </c>
      <c r="V29" s="734">
        <f t="shared" si="34"/>
        <v>0.97500000000000009</v>
      </c>
      <c r="W29" s="734">
        <f t="shared" si="35"/>
        <v>3.5</v>
      </c>
      <c r="X29" s="734">
        <f t="shared" si="16"/>
        <v>2.0000000000000004</v>
      </c>
      <c r="Y29" s="734">
        <f t="shared" si="36"/>
        <v>38.372999999999998</v>
      </c>
    </row>
    <row r="30" spans="1:27" ht="13.8" x14ac:dyDescent="0.3">
      <c r="A30" s="962">
        <f>'e-w'!B52</f>
        <v>420</v>
      </c>
      <c r="B30" s="963">
        <f t="shared" si="20"/>
        <v>20</v>
      </c>
      <c r="C30" s="964">
        <f>'e-w'!$D$16</f>
        <v>2.5</v>
      </c>
      <c r="D30" s="965" t="str">
        <f t="shared" si="21"/>
        <v>:1</v>
      </c>
      <c r="E30" s="966">
        <f t="shared" si="22"/>
        <v>1</v>
      </c>
      <c r="F30" s="965" t="str">
        <f t="shared" si="23"/>
        <v>:1</v>
      </c>
      <c r="G30" s="967">
        <f t="shared" si="24"/>
        <v>0.6</v>
      </c>
      <c r="H30" s="824">
        <f>IF(C30&gt;0,'(Extended filter)'!$C$4/2,0)</f>
        <v>0.2</v>
      </c>
      <c r="I30" s="968">
        <f t="shared" si="25"/>
        <v>0.6</v>
      </c>
      <c r="J30" s="824">
        <f t="shared" si="26"/>
        <v>0.70599999999999996</v>
      </c>
      <c r="K30" s="824">
        <f t="shared" si="27"/>
        <v>1.6155494421403511</v>
      </c>
      <c r="L30" s="824">
        <f t="shared" si="28"/>
        <v>0.84852813742385702</v>
      </c>
      <c r="M30" s="824">
        <f t="shared" si="29"/>
        <v>12.468310318256835</v>
      </c>
      <c r="N30" s="824">
        <f>IF(C30&gt;0,'(Extended filter)'!$C$4/2,0)</f>
        <v>0.2</v>
      </c>
      <c r="O30" s="927">
        <f t="shared" si="30"/>
        <v>0.71</v>
      </c>
      <c r="P30" s="824">
        <f t="shared" si="31"/>
        <v>0.81600000000000006</v>
      </c>
      <c r="Q30" s="824">
        <f t="shared" si="11"/>
        <v>2.64</v>
      </c>
      <c r="R30" s="824">
        <f t="shared" si="12"/>
        <v>1.4400000000000004</v>
      </c>
      <c r="S30" s="824">
        <f t="shared" si="32"/>
        <v>19.372</v>
      </c>
      <c r="T30" s="734">
        <f>IF(C30&gt;0,'(Extended filter)'!$C$3,0)</f>
        <v>0.3</v>
      </c>
      <c r="U30" s="734">
        <f t="shared" si="33"/>
        <v>0.81600000000000006</v>
      </c>
      <c r="V30" s="734">
        <f t="shared" si="34"/>
        <v>0.97500000000000009</v>
      </c>
      <c r="W30" s="734">
        <f t="shared" si="35"/>
        <v>3.5</v>
      </c>
      <c r="X30" s="734">
        <f t="shared" si="16"/>
        <v>2.0000000000000004</v>
      </c>
      <c r="Y30" s="734">
        <f t="shared" si="36"/>
        <v>38.372999999999998</v>
      </c>
    </row>
    <row r="31" spans="1:27" ht="13.8" x14ac:dyDescent="0.3">
      <c r="A31" s="962">
        <f>'e-w'!B53</f>
        <v>440</v>
      </c>
      <c r="B31" s="963">
        <f t="shared" si="20"/>
        <v>20</v>
      </c>
      <c r="C31" s="964">
        <f>'e-w'!$D$16</f>
        <v>2.5</v>
      </c>
      <c r="D31" s="965" t="str">
        <f t="shared" si="21"/>
        <v>:1</v>
      </c>
      <c r="E31" s="966">
        <f t="shared" si="22"/>
        <v>1</v>
      </c>
      <c r="F31" s="965" t="str">
        <f t="shared" si="23"/>
        <v>:1</v>
      </c>
      <c r="G31" s="967">
        <f t="shared" si="24"/>
        <v>0.6</v>
      </c>
      <c r="H31" s="824">
        <f>IF(C31&gt;0,'(Extended filter)'!$C$4/2,0)</f>
        <v>0.2</v>
      </c>
      <c r="I31" s="968">
        <f t="shared" si="25"/>
        <v>0.6</v>
      </c>
      <c r="J31" s="824">
        <f t="shared" si="26"/>
        <v>0.70599999999999996</v>
      </c>
      <c r="K31" s="824">
        <f t="shared" si="27"/>
        <v>1.6155494421403511</v>
      </c>
      <c r="L31" s="824">
        <f t="shared" si="28"/>
        <v>0.84852813742385702</v>
      </c>
      <c r="M31" s="824">
        <f t="shared" si="29"/>
        <v>12.468310318256835</v>
      </c>
      <c r="N31" s="824">
        <f>IF(C31&gt;0,'(Extended filter)'!$C$4/2,0)</f>
        <v>0.2</v>
      </c>
      <c r="O31" s="927">
        <f t="shared" si="30"/>
        <v>0.71</v>
      </c>
      <c r="P31" s="824">
        <f t="shared" si="31"/>
        <v>0.81600000000000006</v>
      </c>
      <c r="Q31" s="824">
        <f t="shared" si="11"/>
        <v>2.64</v>
      </c>
      <c r="R31" s="824">
        <f t="shared" si="12"/>
        <v>1.4400000000000004</v>
      </c>
      <c r="S31" s="824">
        <f t="shared" si="32"/>
        <v>19.372</v>
      </c>
      <c r="T31" s="734">
        <f>IF(C31&gt;0,'(Extended filter)'!$C$3,0)</f>
        <v>0.3</v>
      </c>
      <c r="U31" s="734">
        <f t="shared" si="33"/>
        <v>0.81600000000000006</v>
      </c>
      <c r="V31" s="734">
        <f t="shared" si="34"/>
        <v>0.97500000000000009</v>
      </c>
      <c r="W31" s="734">
        <f t="shared" si="35"/>
        <v>3.5</v>
      </c>
      <c r="X31" s="734">
        <f t="shared" si="16"/>
        <v>2.0000000000000004</v>
      </c>
      <c r="Y31" s="734">
        <f t="shared" si="36"/>
        <v>38.372999999999998</v>
      </c>
    </row>
    <row r="32" spans="1:27" ht="13.8" x14ac:dyDescent="0.3">
      <c r="A32" s="962">
        <f>'e-w'!B54</f>
        <v>460</v>
      </c>
      <c r="B32" s="963">
        <f t="shared" si="20"/>
        <v>20</v>
      </c>
      <c r="C32" s="964">
        <f>'e-w'!$D$16</f>
        <v>2.5</v>
      </c>
      <c r="D32" s="965" t="str">
        <f t="shared" si="21"/>
        <v>:1</v>
      </c>
      <c r="E32" s="966">
        <f t="shared" si="22"/>
        <v>1</v>
      </c>
      <c r="F32" s="965" t="str">
        <f t="shared" si="23"/>
        <v>:1</v>
      </c>
      <c r="G32" s="967">
        <f t="shared" si="24"/>
        <v>0.6</v>
      </c>
      <c r="H32" s="824">
        <f>IF(C32&gt;0,'(Extended filter)'!$C$4/2,0)</f>
        <v>0.2</v>
      </c>
      <c r="I32" s="968">
        <f t="shared" si="25"/>
        <v>0.6</v>
      </c>
      <c r="J32" s="824">
        <f t="shared" si="26"/>
        <v>0.70599999999999996</v>
      </c>
      <c r="K32" s="824">
        <f t="shared" si="27"/>
        <v>1.6155494421403511</v>
      </c>
      <c r="L32" s="824">
        <f t="shared" si="28"/>
        <v>0.84852813742385702</v>
      </c>
      <c r="M32" s="824">
        <f t="shared" si="29"/>
        <v>12.468310318256835</v>
      </c>
      <c r="N32" s="824">
        <f>IF(C32&gt;0,'(Extended filter)'!$C$4/2,0)</f>
        <v>0.2</v>
      </c>
      <c r="O32" s="927">
        <f t="shared" si="30"/>
        <v>0.71</v>
      </c>
      <c r="P32" s="824">
        <f t="shared" si="31"/>
        <v>0.81600000000000006</v>
      </c>
      <c r="Q32" s="824">
        <f t="shared" si="11"/>
        <v>2.64</v>
      </c>
      <c r="R32" s="824">
        <f t="shared" si="12"/>
        <v>1.4400000000000004</v>
      </c>
      <c r="S32" s="824">
        <f t="shared" si="32"/>
        <v>19.372</v>
      </c>
      <c r="T32" s="734">
        <f>IF(C32&gt;0,'(Extended filter)'!$C$3,0)</f>
        <v>0.3</v>
      </c>
      <c r="U32" s="734">
        <f t="shared" si="33"/>
        <v>0.81600000000000006</v>
      </c>
      <c r="V32" s="734">
        <f t="shared" si="34"/>
        <v>0.97500000000000009</v>
      </c>
      <c r="W32" s="734">
        <f t="shared" si="35"/>
        <v>3.5</v>
      </c>
      <c r="X32" s="734">
        <f t="shared" si="16"/>
        <v>2.0000000000000004</v>
      </c>
      <c r="Y32" s="734">
        <f t="shared" si="36"/>
        <v>38.372999999999998</v>
      </c>
    </row>
    <row r="33" spans="1:25" ht="13.8" x14ac:dyDescent="0.3">
      <c r="A33" s="962">
        <f>'e-w'!B55</f>
        <v>480</v>
      </c>
      <c r="B33" s="963">
        <f t="shared" si="20"/>
        <v>20</v>
      </c>
      <c r="C33" s="964">
        <f>'e-w'!$D$16</f>
        <v>2.5</v>
      </c>
      <c r="D33" s="965" t="str">
        <f t="shared" si="21"/>
        <v>:1</v>
      </c>
      <c r="E33" s="966">
        <f t="shared" si="22"/>
        <v>1</v>
      </c>
      <c r="F33" s="965" t="str">
        <f t="shared" si="23"/>
        <v>:1</v>
      </c>
      <c r="G33" s="967">
        <f t="shared" si="24"/>
        <v>0.6</v>
      </c>
      <c r="H33" s="824">
        <f>IF(C33&gt;0,'(Extended filter)'!$C$4/2,0)</f>
        <v>0.2</v>
      </c>
      <c r="I33" s="968">
        <f t="shared" si="25"/>
        <v>0.6</v>
      </c>
      <c r="J33" s="824">
        <f t="shared" si="26"/>
        <v>0.70599999999999996</v>
      </c>
      <c r="K33" s="824">
        <f t="shared" si="27"/>
        <v>1.6155494421403511</v>
      </c>
      <c r="L33" s="824">
        <f t="shared" si="28"/>
        <v>0.84852813742385702</v>
      </c>
      <c r="M33" s="824">
        <f t="shared" si="29"/>
        <v>12.468310318256835</v>
      </c>
      <c r="N33" s="824">
        <f>IF(C33&gt;0,'(Extended filter)'!$C$4/2,0)</f>
        <v>0.2</v>
      </c>
      <c r="O33" s="927">
        <f t="shared" si="30"/>
        <v>0.71</v>
      </c>
      <c r="P33" s="824">
        <f t="shared" si="31"/>
        <v>0.81600000000000006</v>
      </c>
      <c r="Q33" s="824">
        <f t="shared" si="11"/>
        <v>2.64</v>
      </c>
      <c r="R33" s="824">
        <f t="shared" si="12"/>
        <v>1.4400000000000004</v>
      </c>
      <c r="S33" s="824">
        <f t="shared" si="32"/>
        <v>19.372</v>
      </c>
      <c r="T33" s="734">
        <f>IF(C33&gt;0,'(Extended filter)'!$C$3,0)</f>
        <v>0.3</v>
      </c>
      <c r="U33" s="734">
        <f t="shared" si="33"/>
        <v>0.81600000000000006</v>
      </c>
      <c r="V33" s="734">
        <f t="shared" si="34"/>
        <v>0.97500000000000009</v>
      </c>
      <c r="W33" s="734">
        <f t="shared" si="35"/>
        <v>3.5</v>
      </c>
      <c r="X33" s="734">
        <f t="shared" si="16"/>
        <v>2.0000000000000004</v>
      </c>
      <c r="Y33" s="734">
        <f t="shared" si="36"/>
        <v>38.372999999999998</v>
      </c>
    </row>
    <row r="34" spans="1:25" ht="13.8" x14ac:dyDescent="0.3">
      <c r="A34" s="962">
        <f>'e-w'!B56</f>
        <v>500</v>
      </c>
      <c r="B34" s="963">
        <f t="shared" si="20"/>
        <v>20</v>
      </c>
      <c r="C34" s="964">
        <f>'e-w'!$D$16</f>
        <v>2.5</v>
      </c>
      <c r="D34" s="965" t="str">
        <f t="shared" si="21"/>
        <v>:1</v>
      </c>
      <c r="E34" s="966">
        <f t="shared" si="22"/>
        <v>1</v>
      </c>
      <c r="F34" s="965" t="str">
        <f t="shared" si="23"/>
        <v>:1</v>
      </c>
      <c r="G34" s="967">
        <f t="shared" si="24"/>
        <v>0.6</v>
      </c>
      <c r="H34" s="824">
        <f>IF(C34&gt;0,'(Extended filter)'!$C$4/2,0)</f>
        <v>0.2</v>
      </c>
      <c r="I34" s="968">
        <f t="shared" si="25"/>
        <v>0.6</v>
      </c>
      <c r="J34" s="824">
        <f t="shared" si="26"/>
        <v>0.70599999999999996</v>
      </c>
      <c r="K34" s="824">
        <f t="shared" si="27"/>
        <v>1.6155494421403511</v>
      </c>
      <c r="L34" s="824">
        <f t="shared" si="28"/>
        <v>0.84852813742385702</v>
      </c>
      <c r="M34" s="824">
        <f t="shared" si="29"/>
        <v>12.468310318256835</v>
      </c>
      <c r="N34" s="824">
        <f>IF(C34&gt;0,'(Extended filter)'!$C$4/2,0)</f>
        <v>0.2</v>
      </c>
      <c r="O34" s="927">
        <f t="shared" si="30"/>
        <v>0.71</v>
      </c>
      <c r="P34" s="824">
        <f t="shared" si="31"/>
        <v>0.81600000000000006</v>
      </c>
      <c r="Q34" s="824">
        <f t="shared" si="11"/>
        <v>2.64</v>
      </c>
      <c r="R34" s="824">
        <f t="shared" si="12"/>
        <v>1.4400000000000004</v>
      </c>
      <c r="S34" s="824">
        <f t="shared" si="32"/>
        <v>19.372</v>
      </c>
      <c r="T34" s="734">
        <f>IF(C34&gt;0,'(Extended filter)'!$C$3,0)</f>
        <v>0.3</v>
      </c>
      <c r="U34" s="734">
        <f t="shared" si="33"/>
        <v>0.81600000000000006</v>
      </c>
      <c r="V34" s="734">
        <f t="shared" si="34"/>
        <v>0.97500000000000009</v>
      </c>
      <c r="W34" s="734">
        <f t="shared" si="35"/>
        <v>3.5</v>
      </c>
      <c r="X34" s="734">
        <f t="shared" si="16"/>
        <v>2.0000000000000004</v>
      </c>
      <c r="Y34" s="734">
        <f t="shared" si="36"/>
        <v>38.372999999999998</v>
      </c>
    </row>
    <row r="35" spans="1:25" ht="13.8" x14ac:dyDescent="0.3">
      <c r="A35" s="962">
        <f>'e-w'!B57</f>
        <v>520</v>
      </c>
      <c r="B35" s="963">
        <f t="shared" si="20"/>
        <v>20</v>
      </c>
      <c r="C35" s="964">
        <f>'e-w'!$D$16</f>
        <v>2.5</v>
      </c>
      <c r="D35" s="965" t="str">
        <f t="shared" si="21"/>
        <v>:1</v>
      </c>
      <c r="E35" s="966">
        <f t="shared" si="22"/>
        <v>1</v>
      </c>
      <c r="F35" s="965" t="str">
        <f t="shared" si="23"/>
        <v>:1</v>
      </c>
      <c r="G35" s="967">
        <f t="shared" si="24"/>
        <v>0.6</v>
      </c>
      <c r="H35" s="824">
        <f>IF(C35&gt;0,'(Extended filter)'!$C$4/2,0)</f>
        <v>0.2</v>
      </c>
      <c r="I35" s="968">
        <f t="shared" si="25"/>
        <v>0.6</v>
      </c>
      <c r="J35" s="824">
        <f t="shared" si="26"/>
        <v>0.70599999999999996</v>
      </c>
      <c r="K35" s="824">
        <f t="shared" si="27"/>
        <v>1.6155494421403511</v>
      </c>
      <c r="L35" s="824">
        <f t="shared" si="28"/>
        <v>0.84852813742385702</v>
      </c>
      <c r="M35" s="824">
        <f t="shared" si="29"/>
        <v>12.468310318256835</v>
      </c>
      <c r="N35" s="824">
        <f>IF(C35&gt;0,'(Extended filter)'!$C$4/2,0)</f>
        <v>0.2</v>
      </c>
      <c r="O35" s="927">
        <f t="shared" si="30"/>
        <v>0.71</v>
      </c>
      <c r="P35" s="824">
        <f t="shared" si="31"/>
        <v>0.81600000000000006</v>
      </c>
      <c r="Q35" s="824">
        <f t="shared" si="11"/>
        <v>2.64</v>
      </c>
      <c r="R35" s="824">
        <f t="shared" si="12"/>
        <v>1.4400000000000004</v>
      </c>
      <c r="S35" s="824">
        <f t="shared" si="32"/>
        <v>19.372</v>
      </c>
      <c r="T35" s="734">
        <f>IF(C35&gt;0,'(Extended filter)'!$C$3,0)</f>
        <v>0.3</v>
      </c>
      <c r="U35" s="734">
        <f t="shared" si="33"/>
        <v>0.81600000000000006</v>
      </c>
      <c r="V35" s="734">
        <f t="shared" si="34"/>
        <v>0.97500000000000009</v>
      </c>
      <c r="W35" s="734">
        <f t="shared" si="35"/>
        <v>3.5</v>
      </c>
      <c r="X35" s="734">
        <f t="shared" si="16"/>
        <v>2.0000000000000004</v>
      </c>
      <c r="Y35" s="734">
        <f t="shared" si="36"/>
        <v>38.372999999999998</v>
      </c>
    </row>
    <row r="36" spans="1:25" ht="13.8" x14ac:dyDescent="0.3">
      <c r="A36" s="962">
        <f>'e-w'!B58</f>
        <v>540</v>
      </c>
      <c r="B36" s="963">
        <f t="shared" si="20"/>
        <v>20</v>
      </c>
      <c r="C36" s="964">
        <f>'e-w'!$D$16</f>
        <v>2.5</v>
      </c>
      <c r="D36" s="965" t="str">
        <f t="shared" si="21"/>
        <v>:1</v>
      </c>
      <c r="E36" s="966">
        <f t="shared" si="22"/>
        <v>1</v>
      </c>
      <c r="F36" s="965" t="str">
        <f t="shared" si="23"/>
        <v>:1</v>
      </c>
      <c r="G36" s="967">
        <f t="shared" si="24"/>
        <v>0.6</v>
      </c>
      <c r="H36" s="824">
        <f>IF(C36&gt;0,'(Extended filter)'!$C$4/2,0)</f>
        <v>0.2</v>
      </c>
      <c r="I36" s="968">
        <f t="shared" si="25"/>
        <v>0.6</v>
      </c>
      <c r="J36" s="824">
        <f t="shared" si="26"/>
        <v>0.70599999999999996</v>
      </c>
      <c r="K36" s="824">
        <f t="shared" si="27"/>
        <v>1.6155494421403511</v>
      </c>
      <c r="L36" s="824">
        <f t="shared" si="28"/>
        <v>0.84852813742385702</v>
      </c>
      <c r="M36" s="824">
        <f t="shared" si="29"/>
        <v>12.468310318256835</v>
      </c>
      <c r="N36" s="824">
        <f>IF(C36&gt;0,'(Extended filter)'!$C$4/2,0)</f>
        <v>0.2</v>
      </c>
      <c r="O36" s="927">
        <f t="shared" si="30"/>
        <v>0.71</v>
      </c>
      <c r="P36" s="824">
        <f t="shared" si="31"/>
        <v>0.81600000000000006</v>
      </c>
      <c r="Q36" s="824">
        <f t="shared" si="11"/>
        <v>2.64</v>
      </c>
      <c r="R36" s="824">
        <f t="shared" si="12"/>
        <v>1.4400000000000004</v>
      </c>
      <c r="S36" s="824">
        <f t="shared" si="32"/>
        <v>19.372</v>
      </c>
      <c r="T36" s="734">
        <f>IF(C36&gt;0,'(Extended filter)'!$C$3,0)</f>
        <v>0.3</v>
      </c>
      <c r="U36" s="734">
        <f t="shared" si="33"/>
        <v>0.81600000000000006</v>
      </c>
      <c r="V36" s="734">
        <f t="shared" si="34"/>
        <v>0.97500000000000009</v>
      </c>
      <c r="W36" s="734">
        <f t="shared" si="35"/>
        <v>3.5</v>
      </c>
      <c r="X36" s="734">
        <f t="shared" si="16"/>
        <v>2.0000000000000004</v>
      </c>
      <c r="Y36" s="734">
        <f t="shared" si="36"/>
        <v>38.372999999999998</v>
      </c>
    </row>
    <row r="37" spans="1:25" ht="13.8" x14ac:dyDescent="0.3">
      <c r="A37" s="962">
        <f>'e-w'!B59</f>
        <v>560</v>
      </c>
      <c r="B37" s="963">
        <f t="shared" si="20"/>
        <v>20</v>
      </c>
      <c r="C37" s="964">
        <f>'e-w'!$D$16</f>
        <v>2.5</v>
      </c>
      <c r="D37" s="965" t="str">
        <f t="shared" si="21"/>
        <v>:1</v>
      </c>
      <c r="E37" s="966">
        <f t="shared" si="22"/>
        <v>1</v>
      </c>
      <c r="F37" s="965" t="str">
        <f t="shared" si="23"/>
        <v>:1</v>
      </c>
      <c r="G37" s="967">
        <f t="shared" si="24"/>
        <v>0.6</v>
      </c>
      <c r="H37" s="824">
        <f>IF(C37&gt;0,'(Extended filter)'!$C$4/2,0)</f>
        <v>0.2</v>
      </c>
      <c r="I37" s="968">
        <f t="shared" si="25"/>
        <v>0.6</v>
      </c>
      <c r="J37" s="824">
        <f t="shared" si="26"/>
        <v>0.70599999999999996</v>
      </c>
      <c r="K37" s="824">
        <f t="shared" si="27"/>
        <v>1.6155494421403511</v>
      </c>
      <c r="L37" s="824">
        <f t="shared" si="28"/>
        <v>0.84852813742385702</v>
      </c>
      <c r="M37" s="824">
        <f t="shared" si="29"/>
        <v>12.468310318256835</v>
      </c>
      <c r="N37" s="824">
        <f>IF(C37&gt;0,'(Extended filter)'!$C$4/2,0)</f>
        <v>0.2</v>
      </c>
      <c r="O37" s="927">
        <f t="shared" si="30"/>
        <v>0.71</v>
      </c>
      <c r="P37" s="824">
        <f t="shared" si="31"/>
        <v>0.81600000000000006</v>
      </c>
      <c r="Q37" s="824">
        <f t="shared" si="11"/>
        <v>2.64</v>
      </c>
      <c r="R37" s="824">
        <f t="shared" si="12"/>
        <v>1.4400000000000004</v>
      </c>
      <c r="S37" s="824">
        <f t="shared" si="32"/>
        <v>19.372</v>
      </c>
      <c r="T37" s="734">
        <f>IF(C37&gt;0,'(Extended filter)'!$C$3,0)</f>
        <v>0.3</v>
      </c>
      <c r="U37" s="734">
        <f t="shared" si="33"/>
        <v>0.81600000000000006</v>
      </c>
      <c r="V37" s="734">
        <f t="shared" si="34"/>
        <v>0.97500000000000009</v>
      </c>
      <c r="W37" s="734">
        <f t="shared" si="35"/>
        <v>3.5</v>
      </c>
      <c r="X37" s="734">
        <f t="shared" si="16"/>
        <v>2.0000000000000004</v>
      </c>
      <c r="Y37" s="734">
        <f t="shared" si="36"/>
        <v>38.372999999999998</v>
      </c>
    </row>
    <row r="38" spans="1:25" ht="13.8" x14ac:dyDescent="0.3">
      <c r="A38" s="962">
        <f>'e-w'!B60</f>
        <v>580</v>
      </c>
      <c r="B38" s="963">
        <f t="shared" si="20"/>
        <v>20</v>
      </c>
      <c r="C38" s="964">
        <f>'e-w'!$D$16</f>
        <v>2.5</v>
      </c>
      <c r="D38" s="965" t="str">
        <f t="shared" si="21"/>
        <v>:1</v>
      </c>
      <c r="E38" s="966">
        <f t="shared" si="22"/>
        <v>1</v>
      </c>
      <c r="F38" s="965" t="str">
        <f t="shared" si="23"/>
        <v>:1</v>
      </c>
      <c r="G38" s="967">
        <f t="shared" si="24"/>
        <v>0.6</v>
      </c>
      <c r="H38" s="824">
        <f>IF(C38&gt;0,'(Extended filter)'!$C$4/2,0)</f>
        <v>0.2</v>
      </c>
      <c r="I38" s="968">
        <f t="shared" si="25"/>
        <v>0.6</v>
      </c>
      <c r="J38" s="824">
        <f t="shared" si="26"/>
        <v>0.70599999999999996</v>
      </c>
      <c r="K38" s="824">
        <f t="shared" si="27"/>
        <v>1.6155494421403511</v>
      </c>
      <c r="L38" s="824">
        <f t="shared" si="28"/>
        <v>0.84852813742385702</v>
      </c>
      <c r="M38" s="824">
        <f t="shared" si="29"/>
        <v>12.468310318256835</v>
      </c>
      <c r="N38" s="824">
        <f>IF(C38&gt;0,'(Extended filter)'!$C$4/2,0)</f>
        <v>0.2</v>
      </c>
      <c r="O38" s="927">
        <f t="shared" si="30"/>
        <v>0.71</v>
      </c>
      <c r="P38" s="824">
        <f t="shared" si="31"/>
        <v>0.81600000000000006</v>
      </c>
      <c r="Q38" s="824">
        <f t="shared" si="11"/>
        <v>2.64</v>
      </c>
      <c r="R38" s="824">
        <f t="shared" si="12"/>
        <v>1.4400000000000004</v>
      </c>
      <c r="S38" s="824">
        <f t="shared" si="32"/>
        <v>19.372</v>
      </c>
      <c r="T38" s="734">
        <f>IF(C38&gt;0,'(Extended filter)'!$C$3,0)</f>
        <v>0.3</v>
      </c>
      <c r="U38" s="734">
        <f t="shared" si="33"/>
        <v>0.81600000000000006</v>
      </c>
      <c r="V38" s="734">
        <f t="shared" si="34"/>
        <v>0.97500000000000009</v>
      </c>
      <c r="W38" s="734">
        <f t="shared" si="35"/>
        <v>3.5</v>
      </c>
      <c r="X38" s="734">
        <f t="shared" si="16"/>
        <v>2.0000000000000004</v>
      </c>
      <c r="Y38" s="734">
        <f t="shared" si="36"/>
        <v>38.372999999999998</v>
      </c>
    </row>
    <row r="39" spans="1:25" ht="13.8" x14ac:dyDescent="0.3">
      <c r="A39" s="962">
        <f>'e-w'!B61</f>
        <v>600</v>
      </c>
      <c r="B39" s="963">
        <f t="shared" si="20"/>
        <v>20</v>
      </c>
      <c r="C39" s="964">
        <f>'e-w'!$D$16</f>
        <v>2.5</v>
      </c>
      <c r="D39" s="965" t="str">
        <f t="shared" si="21"/>
        <v>:1</v>
      </c>
      <c r="E39" s="966">
        <f t="shared" si="22"/>
        <v>1</v>
      </c>
      <c r="F39" s="965" t="str">
        <f t="shared" si="23"/>
        <v>:1</v>
      </c>
      <c r="G39" s="967">
        <f t="shared" si="24"/>
        <v>0.6</v>
      </c>
      <c r="H39" s="824">
        <f>IF(C39&gt;0,'(Extended filter)'!$C$4/2,0)</f>
        <v>0.2</v>
      </c>
      <c r="I39" s="968">
        <f t="shared" si="25"/>
        <v>0.6</v>
      </c>
      <c r="J39" s="824">
        <f t="shared" si="26"/>
        <v>0.70599999999999996</v>
      </c>
      <c r="K39" s="824">
        <f t="shared" si="27"/>
        <v>1.6155494421403511</v>
      </c>
      <c r="L39" s="824">
        <f t="shared" si="28"/>
        <v>0.84852813742385702</v>
      </c>
      <c r="M39" s="824">
        <f t="shared" si="29"/>
        <v>12.468310318256835</v>
      </c>
      <c r="N39" s="824">
        <f>IF(C39&gt;0,'(Extended filter)'!$C$4/2,0)</f>
        <v>0.2</v>
      </c>
      <c r="O39" s="927">
        <f t="shared" si="30"/>
        <v>0.71</v>
      </c>
      <c r="P39" s="824">
        <f t="shared" si="31"/>
        <v>0.81600000000000006</v>
      </c>
      <c r="Q39" s="824">
        <f t="shared" si="11"/>
        <v>2.64</v>
      </c>
      <c r="R39" s="824">
        <f t="shared" si="12"/>
        <v>1.4400000000000004</v>
      </c>
      <c r="S39" s="824">
        <f t="shared" si="32"/>
        <v>19.372</v>
      </c>
      <c r="T39" s="734">
        <f>IF(C39&gt;0,'(Extended filter)'!$C$3,0)</f>
        <v>0.3</v>
      </c>
      <c r="U39" s="734">
        <f t="shared" si="33"/>
        <v>0.81600000000000006</v>
      </c>
      <c r="V39" s="734">
        <f t="shared" si="34"/>
        <v>0.97500000000000009</v>
      </c>
      <c r="W39" s="734">
        <f t="shared" si="35"/>
        <v>3.5</v>
      </c>
      <c r="X39" s="734">
        <f t="shared" si="16"/>
        <v>2.0000000000000004</v>
      </c>
      <c r="Y39" s="734">
        <f t="shared" si="36"/>
        <v>38.372999999999998</v>
      </c>
    </row>
    <row r="40" spans="1:25" ht="13.8" x14ac:dyDescent="0.3">
      <c r="A40" s="962">
        <f>'e-w'!B62</f>
        <v>620</v>
      </c>
      <c r="B40" s="963">
        <f t="shared" si="20"/>
        <v>20</v>
      </c>
      <c r="C40" s="964">
        <f>'e-w'!$D$16</f>
        <v>2.5</v>
      </c>
      <c r="D40" s="965" t="str">
        <f t="shared" si="21"/>
        <v>:1</v>
      </c>
      <c r="E40" s="966">
        <f t="shared" si="22"/>
        <v>1</v>
      </c>
      <c r="F40" s="965" t="str">
        <f t="shared" si="23"/>
        <v>:1</v>
      </c>
      <c r="G40" s="967">
        <f t="shared" si="24"/>
        <v>0.6</v>
      </c>
      <c r="H40" s="824">
        <f>IF(C40&gt;0,'(Extended filter)'!$C$4/2,0)</f>
        <v>0.2</v>
      </c>
      <c r="I40" s="968">
        <f t="shared" si="25"/>
        <v>0.6</v>
      </c>
      <c r="J40" s="824">
        <f t="shared" si="26"/>
        <v>0.70599999999999996</v>
      </c>
      <c r="K40" s="824">
        <f t="shared" si="27"/>
        <v>1.6155494421403511</v>
      </c>
      <c r="L40" s="824">
        <f t="shared" si="28"/>
        <v>0.84852813742385702</v>
      </c>
      <c r="M40" s="824">
        <f t="shared" si="29"/>
        <v>12.468310318256835</v>
      </c>
      <c r="N40" s="824">
        <f>IF(C40&gt;0,'(Extended filter)'!$C$4/2,0)</f>
        <v>0.2</v>
      </c>
      <c r="O40" s="927">
        <f t="shared" si="30"/>
        <v>0.71</v>
      </c>
      <c r="P40" s="824">
        <f t="shared" si="31"/>
        <v>0.81600000000000006</v>
      </c>
      <c r="Q40" s="824">
        <f t="shared" si="11"/>
        <v>2.64</v>
      </c>
      <c r="R40" s="824">
        <f t="shared" si="12"/>
        <v>1.4400000000000004</v>
      </c>
      <c r="S40" s="824">
        <f t="shared" si="32"/>
        <v>19.372</v>
      </c>
      <c r="T40" s="734">
        <f>IF(C40&gt;0,'(Extended filter)'!$C$3,0)</f>
        <v>0.3</v>
      </c>
      <c r="U40" s="734">
        <f t="shared" si="33"/>
        <v>0.81600000000000006</v>
      </c>
      <c r="V40" s="734">
        <f t="shared" si="34"/>
        <v>0.97500000000000009</v>
      </c>
      <c r="W40" s="734">
        <f t="shared" si="35"/>
        <v>3.5</v>
      </c>
      <c r="X40" s="734">
        <f t="shared" si="16"/>
        <v>2.0000000000000004</v>
      </c>
      <c r="Y40" s="734">
        <f t="shared" si="36"/>
        <v>38.372999999999998</v>
      </c>
    </row>
    <row r="41" spans="1:25" ht="13.8" x14ac:dyDescent="0.3">
      <c r="A41" s="962">
        <f>'e-w'!B63</f>
        <v>640</v>
      </c>
      <c r="B41" s="963">
        <f t="shared" si="20"/>
        <v>20</v>
      </c>
      <c r="C41" s="964">
        <f>'e-w'!$D$16</f>
        <v>2.5</v>
      </c>
      <c r="D41" s="965" t="str">
        <f t="shared" si="21"/>
        <v>:1</v>
      </c>
      <c r="E41" s="966">
        <f t="shared" si="22"/>
        <v>1</v>
      </c>
      <c r="F41" s="965" t="str">
        <f t="shared" si="23"/>
        <v>:1</v>
      </c>
      <c r="G41" s="967">
        <f t="shared" si="24"/>
        <v>0.6</v>
      </c>
      <c r="H41" s="824">
        <f>IF(C41&gt;0,'(Extended filter)'!$C$4/2,0)</f>
        <v>0.2</v>
      </c>
      <c r="I41" s="968">
        <f t="shared" si="25"/>
        <v>0.6</v>
      </c>
      <c r="J41" s="824">
        <f t="shared" si="26"/>
        <v>0.70599999999999996</v>
      </c>
      <c r="K41" s="824">
        <f t="shared" si="27"/>
        <v>1.6155494421403511</v>
      </c>
      <c r="L41" s="824">
        <f t="shared" si="28"/>
        <v>0.84852813742385702</v>
      </c>
      <c r="M41" s="824">
        <f t="shared" si="29"/>
        <v>12.468310318256835</v>
      </c>
      <c r="N41" s="824">
        <f>IF(C41&gt;0,'(Extended filter)'!$C$4/2,0)</f>
        <v>0.2</v>
      </c>
      <c r="O41" s="927">
        <f t="shared" si="30"/>
        <v>0.71</v>
      </c>
      <c r="P41" s="824">
        <f t="shared" si="31"/>
        <v>0.81600000000000006</v>
      </c>
      <c r="Q41" s="824">
        <f t="shared" si="11"/>
        <v>2.64</v>
      </c>
      <c r="R41" s="824">
        <f t="shared" si="12"/>
        <v>1.4400000000000004</v>
      </c>
      <c r="S41" s="824">
        <f t="shared" si="32"/>
        <v>19.372</v>
      </c>
      <c r="T41" s="734">
        <f>IF(C41&gt;0,'(Extended filter)'!$C$3,0)</f>
        <v>0.3</v>
      </c>
      <c r="U41" s="734">
        <f t="shared" si="33"/>
        <v>0.81600000000000006</v>
      </c>
      <c r="V41" s="734">
        <f t="shared" si="34"/>
        <v>0.97500000000000009</v>
      </c>
      <c r="W41" s="734">
        <f t="shared" si="35"/>
        <v>3.5</v>
      </c>
      <c r="X41" s="734">
        <f t="shared" si="16"/>
        <v>2.0000000000000004</v>
      </c>
      <c r="Y41" s="734">
        <f t="shared" si="36"/>
        <v>38.372999999999998</v>
      </c>
    </row>
    <row r="42" spans="1:25" ht="13.8" x14ac:dyDescent="0.3">
      <c r="A42" s="962">
        <f>'e-w'!B64</f>
        <v>660</v>
      </c>
      <c r="B42" s="963">
        <f t="shared" si="20"/>
        <v>20</v>
      </c>
      <c r="C42" s="964">
        <f>'e-w'!$D$16</f>
        <v>2.5</v>
      </c>
      <c r="D42" s="965" t="str">
        <f t="shared" si="21"/>
        <v>:1</v>
      </c>
      <c r="E42" s="966">
        <f t="shared" si="22"/>
        <v>1</v>
      </c>
      <c r="F42" s="965" t="str">
        <f t="shared" si="23"/>
        <v>:1</v>
      </c>
      <c r="G42" s="967">
        <f t="shared" si="24"/>
        <v>0.6</v>
      </c>
      <c r="H42" s="824">
        <f>IF(C42&gt;0,'(Extended filter)'!$C$4/2,0)</f>
        <v>0.2</v>
      </c>
      <c r="I42" s="968">
        <f t="shared" si="25"/>
        <v>0.6</v>
      </c>
      <c r="J42" s="824">
        <f t="shared" si="26"/>
        <v>0.70599999999999996</v>
      </c>
      <c r="K42" s="824">
        <f t="shared" si="27"/>
        <v>1.6155494421403511</v>
      </c>
      <c r="L42" s="824">
        <f t="shared" si="28"/>
        <v>0.84852813742385702</v>
      </c>
      <c r="M42" s="824">
        <f t="shared" si="29"/>
        <v>12.468310318256835</v>
      </c>
      <c r="N42" s="824">
        <f>IF(C42&gt;0,'(Extended filter)'!$C$4/2,0)</f>
        <v>0.2</v>
      </c>
      <c r="O42" s="927">
        <f t="shared" si="30"/>
        <v>0.71</v>
      </c>
      <c r="P42" s="824">
        <f t="shared" si="31"/>
        <v>0.81600000000000006</v>
      </c>
      <c r="Q42" s="824">
        <f t="shared" si="11"/>
        <v>2.64</v>
      </c>
      <c r="R42" s="824">
        <f t="shared" si="12"/>
        <v>1.4400000000000004</v>
      </c>
      <c r="S42" s="824">
        <f t="shared" si="32"/>
        <v>19.372</v>
      </c>
      <c r="T42" s="734">
        <f>IF(C42&gt;0,'(Extended filter)'!$C$3,0)</f>
        <v>0.3</v>
      </c>
      <c r="U42" s="734">
        <f t="shared" si="33"/>
        <v>0.81600000000000006</v>
      </c>
      <c r="V42" s="734">
        <f t="shared" si="34"/>
        <v>0.97500000000000009</v>
      </c>
      <c r="W42" s="734">
        <f t="shared" si="35"/>
        <v>3.5</v>
      </c>
      <c r="X42" s="734">
        <f t="shared" si="16"/>
        <v>2.0000000000000004</v>
      </c>
      <c r="Y42" s="734">
        <f t="shared" si="36"/>
        <v>38.372999999999998</v>
      </c>
    </row>
    <row r="43" spans="1:25" ht="13.8" x14ac:dyDescent="0.3">
      <c r="A43" s="962">
        <f>'e-w'!B65</f>
        <v>680</v>
      </c>
      <c r="B43" s="963">
        <f t="shared" si="20"/>
        <v>20</v>
      </c>
      <c r="C43" s="964">
        <f>'e-w'!$D$16</f>
        <v>2.5</v>
      </c>
      <c r="D43" s="965" t="str">
        <f t="shared" si="21"/>
        <v>:1</v>
      </c>
      <c r="E43" s="966">
        <f t="shared" si="22"/>
        <v>1</v>
      </c>
      <c r="F43" s="965" t="str">
        <f t="shared" si="23"/>
        <v>:1</v>
      </c>
      <c r="G43" s="967">
        <f t="shared" si="24"/>
        <v>0.6</v>
      </c>
      <c r="H43" s="824">
        <f>IF(C43&gt;0,'(Extended filter)'!$C$4/2,0)</f>
        <v>0.2</v>
      </c>
      <c r="I43" s="968">
        <f t="shared" si="25"/>
        <v>0.6</v>
      </c>
      <c r="J43" s="824">
        <f t="shared" si="26"/>
        <v>0.70599999999999996</v>
      </c>
      <c r="K43" s="824">
        <f t="shared" si="27"/>
        <v>1.6155494421403511</v>
      </c>
      <c r="L43" s="824">
        <f t="shared" si="28"/>
        <v>0.84852813742385702</v>
      </c>
      <c r="M43" s="824">
        <f t="shared" si="29"/>
        <v>12.468310318256835</v>
      </c>
      <c r="N43" s="824">
        <f>IF(C43&gt;0,'(Extended filter)'!$C$4/2,0)</f>
        <v>0.2</v>
      </c>
      <c r="O43" s="927">
        <f t="shared" si="30"/>
        <v>0.71</v>
      </c>
      <c r="P43" s="824">
        <f t="shared" si="31"/>
        <v>0.81600000000000006</v>
      </c>
      <c r="Q43" s="824">
        <f t="shared" si="11"/>
        <v>2.64</v>
      </c>
      <c r="R43" s="824">
        <f t="shared" si="12"/>
        <v>1.4400000000000004</v>
      </c>
      <c r="S43" s="824">
        <f t="shared" si="32"/>
        <v>19.372</v>
      </c>
      <c r="T43" s="734">
        <f>IF(C43&gt;0,'(Extended filter)'!$C$3,0)</f>
        <v>0.3</v>
      </c>
      <c r="U43" s="734">
        <f t="shared" si="33"/>
        <v>0.81600000000000006</v>
      </c>
      <c r="V43" s="734">
        <f t="shared" si="34"/>
        <v>0.97500000000000009</v>
      </c>
      <c r="W43" s="734">
        <f t="shared" si="35"/>
        <v>3.5</v>
      </c>
      <c r="X43" s="734">
        <f t="shared" si="16"/>
        <v>2.0000000000000004</v>
      </c>
      <c r="Y43" s="734">
        <f t="shared" si="36"/>
        <v>38.372999999999998</v>
      </c>
    </row>
    <row r="44" spans="1:25" ht="13.8" x14ac:dyDescent="0.3">
      <c r="A44" s="962">
        <f>'e-w'!B66</f>
        <v>700</v>
      </c>
      <c r="B44" s="963">
        <f t="shared" si="20"/>
        <v>20</v>
      </c>
      <c r="C44" s="964">
        <f>'e-w'!$D$16</f>
        <v>2.5</v>
      </c>
      <c r="D44" s="965" t="str">
        <f t="shared" si="21"/>
        <v>:1</v>
      </c>
      <c r="E44" s="966">
        <f t="shared" si="22"/>
        <v>1</v>
      </c>
      <c r="F44" s="965" t="str">
        <f t="shared" si="23"/>
        <v>:1</v>
      </c>
      <c r="G44" s="967">
        <f t="shared" si="24"/>
        <v>0.6</v>
      </c>
      <c r="H44" s="824">
        <f>IF(C44&gt;0,'(Extended filter)'!$C$4/2,0)</f>
        <v>0.2</v>
      </c>
      <c r="I44" s="968">
        <f t="shared" si="25"/>
        <v>0.6</v>
      </c>
      <c r="J44" s="824">
        <f t="shared" si="26"/>
        <v>0.70599999999999996</v>
      </c>
      <c r="K44" s="824">
        <f t="shared" si="27"/>
        <v>1.6155494421403511</v>
      </c>
      <c r="L44" s="824">
        <f t="shared" si="28"/>
        <v>0.84852813742385702</v>
      </c>
      <c r="M44" s="824">
        <f t="shared" si="29"/>
        <v>12.468310318256835</v>
      </c>
      <c r="N44" s="824">
        <f>IF(C44&gt;0,'(Extended filter)'!$C$4/2,0)</f>
        <v>0.2</v>
      </c>
      <c r="O44" s="927">
        <f t="shared" si="30"/>
        <v>0.71</v>
      </c>
      <c r="P44" s="824">
        <f t="shared" si="31"/>
        <v>0.81600000000000006</v>
      </c>
      <c r="Q44" s="824">
        <f t="shared" si="11"/>
        <v>2.64</v>
      </c>
      <c r="R44" s="824">
        <f t="shared" si="12"/>
        <v>1.4400000000000004</v>
      </c>
      <c r="S44" s="824">
        <f t="shared" si="32"/>
        <v>19.372</v>
      </c>
      <c r="T44" s="734">
        <f>IF(C44&gt;0,'(Extended filter)'!$C$3,0)</f>
        <v>0.3</v>
      </c>
      <c r="U44" s="734">
        <f t="shared" si="33"/>
        <v>0.81600000000000006</v>
      </c>
      <c r="V44" s="734">
        <f t="shared" si="34"/>
        <v>0.97500000000000009</v>
      </c>
      <c r="W44" s="734">
        <f t="shared" si="35"/>
        <v>3.5</v>
      </c>
      <c r="X44" s="734">
        <f t="shared" si="16"/>
        <v>2.0000000000000004</v>
      </c>
      <c r="Y44" s="734">
        <f t="shared" si="36"/>
        <v>38.372999999999998</v>
      </c>
    </row>
    <row r="45" spans="1:25" ht="13.8" x14ac:dyDescent="0.3">
      <c r="A45" s="962">
        <f>'e-w'!B67</f>
        <v>720</v>
      </c>
      <c r="B45" s="963">
        <f t="shared" si="20"/>
        <v>20</v>
      </c>
      <c r="C45" s="964">
        <f>'e-w'!$D$16</f>
        <v>2.5</v>
      </c>
      <c r="D45" s="965" t="str">
        <f t="shared" si="21"/>
        <v>:1</v>
      </c>
      <c r="E45" s="966">
        <f t="shared" si="22"/>
        <v>1</v>
      </c>
      <c r="F45" s="965" t="str">
        <f t="shared" si="23"/>
        <v>:1</v>
      </c>
      <c r="G45" s="967">
        <f t="shared" si="24"/>
        <v>0.6</v>
      </c>
      <c r="H45" s="824">
        <f>IF(C45&gt;0,'(Extended filter)'!$C$4/2,0)</f>
        <v>0.2</v>
      </c>
      <c r="I45" s="968">
        <f t="shared" si="25"/>
        <v>0.6</v>
      </c>
      <c r="J45" s="824">
        <f t="shared" si="26"/>
        <v>0.70599999999999996</v>
      </c>
      <c r="K45" s="824">
        <f t="shared" si="27"/>
        <v>1.6155494421403511</v>
      </c>
      <c r="L45" s="824">
        <f t="shared" si="28"/>
        <v>0.84852813742385702</v>
      </c>
      <c r="M45" s="824">
        <f t="shared" si="29"/>
        <v>12.468310318256835</v>
      </c>
      <c r="N45" s="824">
        <f>IF(C45&gt;0,'(Extended filter)'!$C$4/2,0)</f>
        <v>0.2</v>
      </c>
      <c r="O45" s="927">
        <f t="shared" si="30"/>
        <v>0.71</v>
      </c>
      <c r="P45" s="824">
        <f t="shared" si="31"/>
        <v>0.81600000000000006</v>
      </c>
      <c r="Q45" s="824">
        <f t="shared" si="11"/>
        <v>2.64</v>
      </c>
      <c r="R45" s="824">
        <f t="shared" si="12"/>
        <v>1.4400000000000004</v>
      </c>
      <c r="S45" s="824">
        <f t="shared" si="32"/>
        <v>19.372</v>
      </c>
      <c r="T45" s="734">
        <f>IF(C45&gt;0,'(Extended filter)'!$C$3,0)</f>
        <v>0.3</v>
      </c>
      <c r="U45" s="734">
        <f t="shared" si="33"/>
        <v>0.81600000000000006</v>
      </c>
      <c r="V45" s="734">
        <f t="shared" si="34"/>
        <v>0.97500000000000009</v>
      </c>
      <c r="W45" s="734">
        <f t="shared" si="35"/>
        <v>3.5</v>
      </c>
      <c r="X45" s="734">
        <f t="shared" si="16"/>
        <v>2.0000000000000004</v>
      </c>
      <c r="Y45" s="734">
        <f t="shared" si="36"/>
        <v>38.372999999999998</v>
      </c>
    </row>
    <row r="46" spans="1:25" ht="13.8" x14ac:dyDescent="0.3">
      <c r="A46" s="962">
        <f>'e-w'!B68</f>
        <v>740</v>
      </c>
      <c r="B46" s="963">
        <f t="shared" si="20"/>
        <v>20</v>
      </c>
      <c r="C46" s="964">
        <f>'e-w'!$D$16</f>
        <v>2.5</v>
      </c>
      <c r="D46" s="965" t="str">
        <f t="shared" si="21"/>
        <v>:1</v>
      </c>
      <c r="E46" s="966">
        <f t="shared" si="22"/>
        <v>1</v>
      </c>
      <c r="F46" s="965" t="str">
        <f t="shared" si="23"/>
        <v>:1</v>
      </c>
      <c r="G46" s="967">
        <f t="shared" si="24"/>
        <v>0.6</v>
      </c>
      <c r="H46" s="824">
        <f>IF(C46&gt;0,'(Extended filter)'!$C$4/2,0)</f>
        <v>0.2</v>
      </c>
      <c r="I46" s="968">
        <f t="shared" si="25"/>
        <v>0.6</v>
      </c>
      <c r="J46" s="824">
        <f t="shared" si="26"/>
        <v>0.70599999999999996</v>
      </c>
      <c r="K46" s="824">
        <f t="shared" si="27"/>
        <v>1.6155494421403511</v>
      </c>
      <c r="L46" s="824">
        <f t="shared" si="28"/>
        <v>0.84852813742385702</v>
      </c>
      <c r="M46" s="824">
        <f t="shared" si="29"/>
        <v>12.468310318256835</v>
      </c>
      <c r="N46" s="824">
        <f>IF(C46&gt;0,'(Extended filter)'!$C$4/2,0)</f>
        <v>0.2</v>
      </c>
      <c r="O46" s="927">
        <f t="shared" si="30"/>
        <v>0.71</v>
      </c>
      <c r="P46" s="824">
        <f t="shared" si="31"/>
        <v>0.81600000000000006</v>
      </c>
      <c r="Q46" s="824">
        <f t="shared" si="11"/>
        <v>2.64</v>
      </c>
      <c r="R46" s="824">
        <f t="shared" si="12"/>
        <v>1.4400000000000004</v>
      </c>
      <c r="S46" s="824">
        <f t="shared" si="32"/>
        <v>19.372</v>
      </c>
      <c r="T46" s="734">
        <f>IF(C46&gt;0,'(Extended filter)'!$C$3,0)</f>
        <v>0.3</v>
      </c>
      <c r="U46" s="734">
        <f t="shared" si="33"/>
        <v>0.81600000000000006</v>
      </c>
      <c r="V46" s="734">
        <f t="shared" si="34"/>
        <v>0.97500000000000009</v>
      </c>
      <c r="W46" s="734">
        <f t="shared" si="35"/>
        <v>3.5</v>
      </c>
      <c r="X46" s="734">
        <f t="shared" si="16"/>
        <v>2.0000000000000004</v>
      </c>
      <c r="Y46" s="734">
        <f t="shared" si="36"/>
        <v>38.372999999999998</v>
      </c>
    </row>
    <row r="47" spans="1:25" ht="13.8" x14ac:dyDescent="0.3">
      <c r="A47" s="743"/>
      <c r="B47" s="969"/>
      <c r="C47" s="701"/>
      <c r="D47" s="701"/>
      <c r="E47" s="701"/>
      <c r="F47" s="701"/>
      <c r="G47" s="701"/>
      <c r="H47" s="701"/>
      <c r="I47" s="701"/>
      <c r="J47" s="947"/>
      <c r="K47" s="970" t="s">
        <v>15</v>
      </c>
      <c r="L47" s="701"/>
      <c r="M47" s="971">
        <f>SUM(M9:M21)</f>
        <v>149.61972381908205</v>
      </c>
      <c r="N47" s="701"/>
      <c r="O47" s="701"/>
      <c r="P47" s="701"/>
      <c r="Q47" s="701"/>
      <c r="R47" s="972"/>
      <c r="S47" s="973">
        <f>SUM(S9:S21)</f>
        <v>232.46400000000006</v>
      </c>
      <c r="T47" s="947"/>
      <c r="U47" s="947"/>
      <c r="V47" s="947"/>
      <c r="W47" s="947"/>
      <c r="X47" s="972"/>
      <c r="Y47" s="974">
        <f>SUM(Y9:Y46)</f>
        <v>1419.8010000000011</v>
      </c>
    </row>
    <row r="48" spans="1:25" ht="13.8" x14ac:dyDescent="0.3">
      <c r="A48" s="743"/>
      <c r="B48" s="736"/>
      <c r="C48" s="745"/>
      <c r="D48" s="745"/>
      <c r="E48" s="745"/>
      <c r="F48" s="745"/>
      <c r="G48" s="745"/>
      <c r="H48" s="745"/>
      <c r="I48" s="745"/>
      <c r="J48" s="745"/>
      <c r="K48" s="744"/>
      <c r="L48" s="569"/>
      <c r="M48" s="569"/>
      <c r="N48" s="569"/>
      <c r="O48" s="569"/>
      <c r="P48" s="569"/>
      <c r="Q48" s="742"/>
      <c r="R48" s="743"/>
      <c r="S48" s="569"/>
      <c r="T48" s="569"/>
      <c r="U48" s="569"/>
      <c r="V48" s="569"/>
      <c r="W48" s="569"/>
      <c r="X48" s="569"/>
      <c r="Y48" s="569"/>
    </row>
    <row r="49" spans="1:25" ht="13.8" x14ac:dyDescent="0.3">
      <c r="A49" s="829" t="s">
        <v>444</v>
      </c>
      <c r="B49" s="569" t="s">
        <v>613</v>
      </c>
      <c r="C49" s="569"/>
      <c r="D49" s="569"/>
      <c r="E49" s="569"/>
      <c r="F49" s="569"/>
      <c r="G49" s="569"/>
      <c r="H49" s="829" t="s">
        <v>114</v>
      </c>
      <c r="I49" s="1404">
        <f>M47</f>
        <v>149.61972381908205</v>
      </c>
      <c r="J49" s="1404"/>
      <c r="K49" s="975" t="s">
        <v>296</v>
      </c>
      <c r="L49" s="569"/>
      <c r="M49" s="569"/>
      <c r="N49" s="569"/>
      <c r="O49" s="569"/>
      <c r="P49" s="569"/>
      <c r="Q49" s="569"/>
      <c r="R49" s="569"/>
      <c r="S49" s="569"/>
      <c r="T49" s="569"/>
      <c r="U49" s="569"/>
      <c r="V49" s="569"/>
      <c r="W49" s="569"/>
      <c r="X49" s="569"/>
      <c r="Y49" s="569"/>
    </row>
    <row r="50" spans="1:25" ht="13.8" x14ac:dyDescent="0.3">
      <c r="A50" s="829" t="s">
        <v>572</v>
      </c>
      <c r="B50" s="569" t="s">
        <v>614</v>
      </c>
      <c r="C50" s="569"/>
      <c r="D50" s="569"/>
      <c r="E50" s="569"/>
      <c r="F50" s="569"/>
      <c r="G50" s="569"/>
      <c r="H50" s="829" t="s">
        <v>114</v>
      </c>
      <c r="I50" s="1404">
        <f>S47</f>
        <v>232.46400000000006</v>
      </c>
      <c r="J50" s="1404"/>
      <c r="K50" s="975" t="s">
        <v>296</v>
      </c>
      <c r="L50" s="569"/>
      <c r="M50" s="569"/>
      <c r="N50" s="569"/>
      <c r="O50" s="569"/>
      <c r="P50" s="569"/>
      <c r="Q50" s="569"/>
      <c r="R50" s="569"/>
      <c r="S50" s="569"/>
      <c r="T50" s="569"/>
      <c r="U50" s="569"/>
      <c r="V50" s="569"/>
      <c r="W50" s="569"/>
      <c r="X50" s="569"/>
      <c r="Y50" s="569"/>
    </row>
    <row r="51" spans="1:25" ht="13.8" x14ac:dyDescent="0.3">
      <c r="A51" s="829" t="s">
        <v>595</v>
      </c>
      <c r="B51" s="569" t="s">
        <v>615</v>
      </c>
      <c r="C51" s="569"/>
      <c r="D51" s="569"/>
      <c r="E51" s="569"/>
      <c r="F51" s="569"/>
      <c r="G51" s="569"/>
      <c r="H51" s="829" t="s">
        <v>114</v>
      </c>
      <c r="I51" s="1404">
        <f>Y47</f>
        <v>1419.8010000000011</v>
      </c>
      <c r="J51" s="1404"/>
      <c r="K51" s="975" t="s">
        <v>296</v>
      </c>
      <c r="L51" s="569"/>
      <c r="M51" s="569"/>
      <c r="N51" s="569"/>
      <c r="O51" s="569"/>
      <c r="P51" s="569"/>
      <c r="Q51" s="569"/>
      <c r="R51" s="569"/>
      <c r="S51" s="569"/>
      <c r="T51" s="569"/>
      <c r="U51" s="569"/>
      <c r="V51" s="569"/>
      <c r="W51" s="569"/>
      <c r="X51" s="569"/>
      <c r="Y51" s="569"/>
    </row>
    <row r="54" spans="1:25" x14ac:dyDescent="0.25">
      <c r="I54" s="752" t="e">
        <f>'EX, For filter'!B55</f>
        <v>#REF!</v>
      </c>
      <c r="Q54" s="752">
        <f>'EX, For filter'!F55</f>
        <v>0</v>
      </c>
    </row>
    <row r="55" spans="1:25" x14ac:dyDescent="0.25">
      <c r="I55" s="752" t="e">
        <f>'EX, For filter'!B56</f>
        <v>#REF!</v>
      </c>
      <c r="Q55" s="752">
        <f>'EX, For filter'!F56</f>
        <v>0</v>
      </c>
    </row>
    <row r="56" spans="1:25" x14ac:dyDescent="0.25">
      <c r="I56" s="752" t="e">
        <f>'EX, For filter'!B57</f>
        <v>#REF!</v>
      </c>
      <c r="Q56" s="752">
        <f>'EX, For filter'!F57</f>
        <v>0</v>
      </c>
    </row>
    <row r="57" spans="1:25" x14ac:dyDescent="0.25">
      <c r="Q57" s="753"/>
    </row>
  </sheetData>
  <customSheetViews>
    <customSheetView guid="{5161B42F-120B-436B-80F4-9BB578173AD5}" scale="70" hiddenColumns="1">
      <selection activeCell="Y24" sqref="Y24"/>
      <pageMargins left="0.70866141732283505" right="0.70866141732283505" top="0.74803149606299202" bottom="0.74803149606299202" header="0.31496062992126" footer="0.31496062992126"/>
      <printOptions horizontalCentered="1"/>
      <pageSetup scale="94" orientation="landscape" r:id="rId1"/>
      <headerFooter>
        <oddFooter>&amp;R&amp;P</oddFooter>
      </headerFooter>
    </customSheetView>
  </customSheetViews>
  <mergeCells count="17">
    <mergeCell ref="A1:Y1"/>
    <mergeCell ref="A2:D2"/>
    <mergeCell ref="U2:Y2"/>
    <mergeCell ref="A4:Y4"/>
    <mergeCell ref="A5:A6"/>
    <mergeCell ref="B5:B6"/>
    <mergeCell ref="C5:D6"/>
    <mergeCell ref="E5:F6"/>
    <mergeCell ref="G5:G6"/>
    <mergeCell ref="H5:M5"/>
    <mergeCell ref="I50:J50"/>
    <mergeCell ref="I51:J51"/>
    <mergeCell ref="N5:S5"/>
    <mergeCell ref="T5:Y5"/>
    <mergeCell ref="C7:D7"/>
    <mergeCell ref="E7:F7"/>
    <mergeCell ref="I49:J49"/>
  </mergeCells>
  <printOptions horizontalCentered="1"/>
  <pageMargins left="0.70866141732283505" right="0.70866141732283505" top="0.74803149606299202" bottom="0.74803149606299202" header="0.31496062992126" footer="0.31496062992126"/>
  <pageSetup scale="83" orientation="landscape" r:id="rId2"/>
  <headerFooter>
    <oddFooter>&amp;R&amp;P</oddFooter>
  </headerFooter>
  <rowBreaks count="1" manualBreakCount="1">
    <brk id="32" max="2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A63"/>
  <sheetViews>
    <sheetView view="pageBreakPreview" zoomScale="60" zoomScaleNormal="100" workbookViewId="0">
      <selection activeCell="H57" sqref="H57"/>
    </sheetView>
  </sheetViews>
  <sheetFormatPr defaultRowHeight="13.2" x14ac:dyDescent="0.25"/>
  <cols>
    <col min="1" max="1" width="8.88671875" style="449"/>
    <col min="2" max="2" width="6.33203125" style="449" customWidth="1"/>
    <col min="3" max="3" width="5.33203125" style="449" customWidth="1"/>
    <col min="4" max="4" width="6.109375" style="449" customWidth="1"/>
    <col min="5" max="6" width="5.109375" style="449" customWidth="1"/>
    <col min="7" max="7" width="8.88671875" style="449"/>
    <col min="8" max="8" width="7.6640625" style="449" customWidth="1"/>
    <col min="9" max="9" width="7" style="449" customWidth="1"/>
    <col min="10" max="11" width="7.5546875" style="449" customWidth="1"/>
    <col min="12" max="12" width="13.33203125" style="449" customWidth="1"/>
    <col min="13" max="258" width="8.88671875" style="449"/>
    <col min="259" max="260" width="6.109375" style="449" customWidth="1"/>
    <col min="261" max="262" width="5.109375" style="449" customWidth="1"/>
    <col min="263" max="267" width="8.88671875" style="449"/>
    <col min="268" max="268" width="12.5546875" style="449" customWidth="1"/>
    <col min="269" max="514" width="8.88671875" style="449"/>
    <col min="515" max="516" width="6.109375" style="449" customWidth="1"/>
    <col min="517" max="518" width="5.109375" style="449" customWidth="1"/>
    <col min="519" max="523" width="8.88671875" style="449"/>
    <col min="524" max="524" width="12.5546875" style="449" customWidth="1"/>
    <col min="525" max="770" width="8.88671875" style="449"/>
    <col min="771" max="772" width="6.109375" style="449" customWidth="1"/>
    <col min="773" max="774" width="5.109375" style="449" customWidth="1"/>
    <col min="775" max="779" width="8.88671875" style="449"/>
    <col min="780" max="780" width="12.5546875" style="449" customWidth="1"/>
    <col min="781" max="1026" width="8.88671875" style="449"/>
    <col min="1027" max="1028" width="6.109375" style="449" customWidth="1"/>
    <col min="1029" max="1030" width="5.109375" style="449" customWidth="1"/>
    <col min="1031" max="1035" width="8.88671875" style="449"/>
    <col min="1036" max="1036" width="12.5546875" style="449" customWidth="1"/>
    <col min="1037" max="1282" width="8.88671875" style="449"/>
    <col min="1283" max="1284" width="6.109375" style="449" customWidth="1"/>
    <col min="1285" max="1286" width="5.109375" style="449" customWidth="1"/>
    <col min="1287" max="1291" width="8.88671875" style="449"/>
    <col min="1292" max="1292" width="12.5546875" style="449" customWidth="1"/>
    <col min="1293" max="1538" width="8.88671875" style="449"/>
    <col min="1539" max="1540" width="6.109375" style="449" customWidth="1"/>
    <col min="1541" max="1542" width="5.109375" style="449" customWidth="1"/>
    <col min="1543" max="1547" width="8.88671875" style="449"/>
    <col min="1548" max="1548" width="12.5546875" style="449" customWidth="1"/>
    <col min="1549" max="1794" width="8.88671875" style="449"/>
    <col min="1795" max="1796" width="6.109375" style="449" customWidth="1"/>
    <col min="1797" max="1798" width="5.109375" style="449" customWidth="1"/>
    <col min="1799" max="1803" width="8.88671875" style="449"/>
    <col min="1804" max="1804" width="12.5546875" style="449" customWidth="1"/>
    <col min="1805" max="2050" width="8.88671875" style="449"/>
    <col min="2051" max="2052" width="6.109375" style="449" customWidth="1"/>
    <col min="2053" max="2054" width="5.109375" style="449" customWidth="1"/>
    <col min="2055" max="2059" width="8.88671875" style="449"/>
    <col min="2060" max="2060" width="12.5546875" style="449" customWidth="1"/>
    <col min="2061" max="2306" width="8.88671875" style="449"/>
    <col min="2307" max="2308" width="6.109375" style="449" customWidth="1"/>
    <col min="2309" max="2310" width="5.109375" style="449" customWidth="1"/>
    <col min="2311" max="2315" width="8.88671875" style="449"/>
    <col min="2316" max="2316" width="12.5546875" style="449" customWidth="1"/>
    <col min="2317" max="2562" width="8.88671875" style="449"/>
    <col min="2563" max="2564" width="6.109375" style="449" customWidth="1"/>
    <col min="2565" max="2566" width="5.109375" style="449" customWidth="1"/>
    <col min="2567" max="2571" width="8.88671875" style="449"/>
    <col min="2572" max="2572" width="12.5546875" style="449" customWidth="1"/>
    <col min="2573" max="2818" width="8.88671875" style="449"/>
    <col min="2819" max="2820" width="6.109375" style="449" customWidth="1"/>
    <col min="2821" max="2822" width="5.109375" style="449" customWidth="1"/>
    <col min="2823" max="2827" width="8.88671875" style="449"/>
    <col min="2828" max="2828" width="12.5546875" style="449" customWidth="1"/>
    <col min="2829" max="3074" width="8.88671875" style="449"/>
    <col min="3075" max="3076" width="6.109375" style="449" customWidth="1"/>
    <col min="3077" max="3078" width="5.109375" style="449" customWidth="1"/>
    <col min="3079" max="3083" width="8.88671875" style="449"/>
    <col min="3084" max="3084" width="12.5546875" style="449" customWidth="1"/>
    <col min="3085" max="3330" width="8.88671875" style="449"/>
    <col min="3331" max="3332" width="6.109375" style="449" customWidth="1"/>
    <col min="3333" max="3334" width="5.109375" style="449" customWidth="1"/>
    <col min="3335" max="3339" width="8.88671875" style="449"/>
    <col min="3340" max="3340" width="12.5546875" style="449" customWidth="1"/>
    <col min="3341" max="3586" width="8.88671875" style="449"/>
    <col min="3587" max="3588" width="6.109375" style="449" customWidth="1"/>
    <col min="3589" max="3590" width="5.109375" style="449" customWidth="1"/>
    <col min="3591" max="3595" width="8.88671875" style="449"/>
    <col min="3596" max="3596" width="12.5546875" style="449" customWidth="1"/>
    <col min="3597" max="3842" width="8.88671875" style="449"/>
    <col min="3843" max="3844" width="6.109375" style="449" customWidth="1"/>
    <col min="3845" max="3846" width="5.109375" style="449" customWidth="1"/>
    <col min="3847" max="3851" width="8.88671875" style="449"/>
    <col min="3852" max="3852" width="12.5546875" style="449" customWidth="1"/>
    <col min="3853" max="4098" width="8.88671875" style="449"/>
    <col min="4099" max="4100" width="6.109375" style="449" customWidth="1"/>
    <col min="4101" max="4102" width="5.109375" style="449" customWidth="1"/>
    <col min="4103" max="4107" width="8.88671875" style="449"/>
    <col min="4108" max="4108" width="12.5546875" style="449" customWidth="1"/>
    <col min="4109" max="4354" width="8.88671875" style="449"/>
    <col min="4355" max="4356" width="6.109375" style="449" customWidth="1"/>
    <col min="4357" max="4358" width="5.109375" style="449" customWidth="1"/>
    <col min="4359" max="4363" width="8.88671875" style="449"/>
    <col min="4364" max="4364" width="12.5546875" style="449" customWidth="1"/>
    <col min="4365" max="4610" width="8.88671875" style="449"/>
    <col min="4611" max="4612" width="6.109375" style="449" customWidth="1"/>
    <col min="4613" max="4614" width="5.109375" style="449" customWidth="1"/>
    <col min="4615" max="4619" width="8.88671875" style="449"/>
    <col min="4620" max="4620" width="12.5546875" style="449" customWidth="1"/>
    <col min="4621" max="4866" width="8.88671875" style="449"/>
    <col min="4867" max="4868" width="6.109375" style="449" customWidth="1"/>
    <col min="4869" max="4870" width="5.109375" style="449" customWidth="1"/>
    <col min="4871" max="4875" width="8.88671875" style="449"/>
    <col min="4876" max="4876" width="12.5546875" style="449" customWidth="1"/>
    <col min="4877" max="5122" width="8.88671875" style="449"/>
    <col min="5123" max="5124" width="6.109375" style="449" customWidth="1"/>
    <col min="5125" max="5126" width="5.109375" style="449" customWidth="1"/>
    <col min="5127" max="5131" width="8.88671875" style="449"/>
    <col min="5132" max="5132" width="12.5546875" style="449" customWidth="1"/>
    <col min="5133" max="5378" width="8.88671875" style="449"/>
    <col min="5379" max="5380" width="6.109375" style="449" customWidth="1"/>
    <col min="5381" max="5382" width="5.109375" style="449" customWidth="1"/>
    <col min="5383" max="5387" width="8.88671875" style="449"/>
    <col min="5388" max="5388" width="12.5546875" style="449" customWidth="1"/>
    <col min="5389" max="5634" width="8.88671875" style="449"/>
    <col min="5635" max="5636" width="6.109375" style="449" customWidth="1"/>
    <col min="5637" max="5638" width="5.109375" style="449" customWidth="1"/>
    <col min="5639" max="5643" width="8.88671875" style="449"/>
    <col min="5644" max="5644" width="12.5546875" style="449" customWidth="1"/>
    <col min="5645" max="5890" width="8.88671875" style="449"/>
    <col min="5891" max="5892" width="6.109375" style="449" customWidth="1"/>
    <col min="5893" max="5894" width="5.109375" style="449" customWidth="1"/>
    <col min="5895" max="5899" width="8.88671875" style="449"/>
    <col min="5900" max="5900" width="12.5546875" style="449" customWidth="1"/>
    <col min="5901" max="6146" width="8.88671875" style="449"/>
    <col min="6147" max="6148" width="6.109375" style="449" customWidth="1"/>
    <col min="6149" max="6150" width="5.109375" style="449" customWidth="1"/>
    <col min="6151" max="6155" width="8.88671875" style="449"/>
    <col min="6156" max="6156" width="12.5546875" style="449" customWidth="1"/>
    <col min="6157" max="6402" width="8.88671875" style="449"/>
    <col min="6403" max="6404" width="6.109375" style="449" customWidth="1"/>
    <col min="6405" max="6406" width="5.109375" style="449" customWidth="1"/>
    <col min="6407" max="6411" width="8.88671875" style="449"/>
    <col min="6412" max="6412" width="12.5546875" style="449" customWidth="1"/>
    <col min="6413" max="6658" width="8.88671875" style="449"/>
    <col min="6659" max="6660" width="6.109375" style="449" customWidth="1"/>
    <col min="6661" max="6662" width="5.109375" style="449" customWidth="1"/>
    <col min="6663" max="6667" width="8.88671875" style="449"/>
    <col min="6668" max="6668" width="12.5546875" style="449" customWidth="1"/>
    <col min="6669" max="6914" width="8.88671875" style="449"/>
    <col min="6915" max="6916" width="6.109375" style="449" customWidth="1"/>
    <col min="6917" max="6918" width="5.109375" style="449" customWidth="1"/>
    <col min="6919" max="6923" width="8.88671875" style="449"/>
    <col min="6924" max="6924" width="12.5546875" style="449" customWidth="1"/>
    <col min="6925" max="7170" width="8.88671875" style="449"/>
    <col min="7171" max="7172" width="6.109375" style="449" customWidth="1"/>
    <col min="7173" max="7174" width="5.109375" style="449" customWidth="1"/>
    <col min="7175" max="7179" width="8.88671875" style="449"/>
    <col min="7180" max="7180" width="12.5546875" style="449" customWidth="1"/>
    <col min="7181" max="7426" width="8.88671875" style="449"/>
    <col min="7427" max="7428" width="6.109375" style="449" customWidth="1"/>
    <col min="7429" max="7430" width="5.109375" style="449" customWidth="1"/>
    <col min="7431" max="7435" width="8.88671875" style="449"/>
    <col min="7436" max="7436" width="12.5546875" style="449" customWidth="1"/>
    <col min="7437" max="7682" width="8.88671875" style="449"/>
    <col min="7683" max="7684" width="6.109375" style="449" customWidth="1"/>
    <col min="7685" max="7686" width="5.109375" style="449" customWidth="1"/>
    <col min="7687" max="7691" width="8.88671875" style="449"/>
    <col min="7692" max="7692" width="12.5546875" style="449" customWidth="1"/>
    <col min="7693" max="7938" width="8.88671875" style="449"/>
    <col min="7939" max="7940" width="6.109375" style="449" customWidth="1"/>
    <col min="7941" max="7942" width="5.109375" style="449" customWidth="1"/>
    <col min="7943" max="7947" width="8.88671875" style="449"/>
    <col min="7948" max="7948" width="12.5546875" style="449" customWidth="1"/>
    <col min="7949" max="8194" width="8.88671875" style="449"/>
    <col min="8195" max="8196" width="6.109375" style="449" customWidth="1"/>
    <col min="8197" max="8198" width="5.109375" style="449" customWidth="1"/>
    <col min="8199" max="8203" width="8.88671875" style="449"/>
    <col min="8204" max="8204" width="12.5546875" style="449" customWidth="1"/>
    <col min="8205" max="8450" width="8.88671875" style="449"/>
    <col min="8451" max="8452" width="6.109375" style="449" customWidth="1"/>
    <col min="8453" max="8454" width="5.109375" style="449" customWidth="1"/>
    <col min="8455" max="8459" width="8.88671875" style="449"/>
    <col min="8460" max="8460" width="12.5546875" style="449" customWidth="1"/>
    <col min="8461" max="8706" width="8.88671875" style="449"/>
    <col min="8707" max="8708" width="6.109375" style="449" customWidth="1"/>
    <col min="8709" max="8710" width="5.109375" style="449" customWidth="1"/>
    <col min="8711" max="8715" width="8.88671875" style="449"/>
    <col min="8716" max="8716" width="12.5546875" style="449" customWidth="1"/>
    <col min="8717" max="8962" width="8.88671875" style="449"/>
    <col min="8963" max="8964" width="6.109375" style="449" customWidth="1"/>
    <col min="8965" max="8966" width="5.109375" style="449" customWidth="1"/>
    <col min="8967" max="8971" width="8.88671875" style="449"/>
    <col min="8972" max="8972" width="12.5546875" style="449" customWidth="1"/>
    <col min="8973" max="9218" width="8.88671875" style="449"/>
    <col min="9219" max="9220" width="6.109375" style="449" customWidth="1"/>
    <col min="9221" max="9222" width="5.109375" style="449" customWidth="1"/>
    <col min="9223" max="9227" width="8.88671875" style="449"/>
    <col min="9228" max="9228" width="12.5546875" style="449" customWidth="1"/>
    <col min="9229" max="9474" width="8.88671875" style="449"/>
    <col min="9475" max="9476" width="6.109375" style="449" customWidth="1"/>
    <col min="9477" max="9478" width="5.109375" style="449" customWidth="1"/>
    <col min="9479" max="9483" width="8.88671875" style="449"/>
    <col min="9484" max="9484" width="12.5546875" style="449" customWidth="1"/>
    <col min="9485" max="9730" width="8.88671875" style="449"/>
    <col min="9731" max="9732" width="6.109375" style="449" customWidth="1"/>
    <col min="9733" max="9734" width="5.109375" style="449" customWidth="1"/>
    <col min="9735" max="9739" width="8.88671875" style="449"/>
    <col min="9740" max="9740" width="12.5546875" style="449" customWidth="1"/>
    <col min="9741" max="9986" width="8.88671875" style="449"/>
    <col min="9987" max="9988" width="6.109375" style="449" customWidth="1"/>
    <col min="9989" max="9990" width="5.109375" style="449" customWidth="1"/>
    <col min="9991" max="9995" width="8.88671875" style="449"/>
    <col min="9996" max="9996" width="12.5546875" style="449" customWidth="1"/>
    <col min="9997" max="10242" width="8.88671875" style="449"/>
    <col min="10243" max="10244" width="6.109375" style="449" customWidth="1"/>
    <col min="10245" max="10246" width="5.109375" style="449" customWidth="1"/>
    <col min="10247" max="10251" width="8.88671875" style="449"/>
    <col min="10252" max="10252" width="12.5546875" style="449" customWidth="1"/>
    <col min="10253" max="10498" width="8.88671875" style="449"/>
    <col min="10499" max="10500" width="6.109375" style="449" customWidth="1"/>
    <col min="10501" max="10502" width="5.109375" style="449" customWidth="1"/>
    <col min="10503" max="10507" width="8.88671875" style="449"/>
    <col min="10508" max="10508" width="12.5546875" style="449" customWidth="1"/>
    <col min="10509" max="10754" width="8.88671875" style="449"/>
    <col min="10755" max="10756" width="6.109375" style="449" customWidth="1"/>
    <col min="10757" max="10758" width="5.109375" style="449" customWidth="1"/>
    <col min="10759" max="10763" width="8.88671875" style="449"/>
    <col min="10764" max="10764" width="12.5546875" style="449" customWidth="1"/>
    <col min="10765" max="11010" width="8.88671875" style="449"/>
    <col min="11011" max="11012" width="6.109375" style="449" customWidth="1"/>
    <col min="11013" max="11014" width="5.109375" style="449" customWidth="1"/>
    <col min="11015" max="11019" width="8.88671875" style="449"/>
    <col min="11020" max="11020" width="12.5546875" style="449" customWidth="1"/>
    <col min="11021" max="11266" width="8.88671875" style="449"/>
    <col min="11267" max="11268" width="6.109375" style="449" customWidth="1"/>
    <col min="11269" max="11270" width="5.109375" style="449" customWidth="1"/>
    <col min="11271" max="11275" width="8.88671875" style="449"/>
    <col min="11276" max="11276" width="12.5546875" style="449" customWidth="1"/>
    <col min="11277" max="11522" width="8.88671875" style="449"/>
    <col min="11523" max="11524" width="6.109375" style="449" customWidth="1"/>
    <col min="11525" max="11526" width="5.109375" style="449" customWidth="1"/>
    <col min="11527" max="11531" width="8.88671875" style="449"/>
    <col min="11532" max="11532" width="12.5546875" style="449" customWidth="1"/>
    <col min="11533" max="11778" width="8.88671875" style="449"/>
    <col min="11779" max="11780" width="6.109375" style="449" customWidth="1"/>
    <col min="11781" max="11782" width="5.109375" style="449" customWidth="1"/>
    <col min="11783" max="11787" width="8.88671875" style="449"/>
    <col min="11788" max="11788" width="12.5546875" style="449" customWidth="1"/>
    <col min="11789" max="12034" width="8.88671875" style="449"/>
    <col min="12035" max="12036" width="6.109375" style="449" customWidth="1"/>
    <col min="12037" max="12038" width="5.109375" style="449" customWidth="1"/>
    <col min="12039" max="12043" width="8.88671875" style="449"/>
    <col min="12044" max="12044" width="12.5546875" style="449" customWidth="1"/>
    <col min="12045" max="12290" width="8.88671875" style="449"/>
    <col min="12291" max="12292" width="6.109375" style="449" customWidth="1"/>
    <col min="12293" max="12294" width="5.109375" style="449" customWidth="1"/>
    <col min="12295" max="12299" width="8.88671875" style="449"/>
    <col min="12300" max="12300" width="12.5546875" style="449" customWidth="1"/>
    <col min="12301" max="12546" width="8.88671875" style="449"/>
    <col min="12547" max="12548" width="6.109375" style="449" customWidth="1"/>
    <col min="12549" max="12550" width="5.109375" style="449" customWidth="1"/>
    <col min="12551" max="12555" width="8.88671875" style="449"/>
    <col min="12556" max="12556" width="12.5546875" style="449" customWidth="1"/>
    <col min="12557" max="12802" width="8.88671875" style="449"/>
    <col min="12803" max="12804" width="6.109375" style="449" customWidth="1"/>
    <col min="12805" max="12806" width="5.109375" style="449" customWidth="1"/>
    <col min="12807" max="12811" width="8.88671875" style="449"/>
    <col min="12812" max="12812" width="12.5546875" style="449" customWidth="1"/>
    <col min="12813" max="13058" width="8.88671875" style="449"/>
    <col min="13059" max="13060" width="6.109375" style="449" customWidth="1"/>
    <col min="13061" max="13062" width="5.109375" style="449" customWidth="1"/>
    <col min="13063" max="13067" width="8.88671875" style="449"/>
    <col min="13068" max="13068" width="12.5546875" style="449" customWidth="1"/>
    <col min="13069" max="13314" width="8.88671875" style="449"/>
    <col min="13315" max="13316" width="6.109375" style="449" customWidth="1"/>
    <col min="13317" max="13318" width="5.109375" style="449" customWidth="1"/>
    <col min="13319" max="13323" width="8.88671875" style="449"/>
    <col min="13324" max="13324" width="12.5546875" style="449" customWidth="1"/>
    <col min="13325" max="13570" width="8.88671875" style="449"/>
    <col min="13571" max="13572" width="6.109375" style="449" customWidth="1"/>
    <col min="13573" max="13574" width="5.109375" style="449" customWidth="1"/>
    <col min="13575" max="13579" width="8.88671875" style="449"/>
    <col min="13580" max="13580" width="12.5546875" style="449" customWidth="1"/>
    <col min="13581" max="13826" width="8.88671875" style="449"/>
    <col min="13827" max="13828" width="6.109375" style="449" customWidth="1"/>
    <col min="13829" max="13830" width="5.109375" style="449" customWidth="1"/>
    <col min="13831" max="13835" width="8.88671875" style="449"/>
    <col min="13836" max="13836" width="12.5546875" style="449" customWidth="1"/>
    <col min="13837" max="14082" width="8.88671875" style="449"/>
    <col min="14083" max="14084" width="6.109375" style="449" customWidth="1"/>
    <col min="14085" max="14086" width="5.109375" style="449" customWidth="1"/>
    <col min="14087" max="14091" width="8.88671875" style="449"/>
    <col min="14092" max="14092" width="12.5546875" style="449" customWidth="1"/>
    <col min="14093" max="14338" width="8.88671875" style="449"/>
    <col min="14339" max="14340" width="6.109375" style="449" customWidth="1"/>
    <col min="14341" max="14342" width="5.109375" style="449" customWidth="1"/>
    <col min="14343" max="14347" width="8.88671875" style="449"/>
    <col min="14348" max="14348" width="12.5546875" style="449" customWidth="1"/>
    <col min="14349" max="14594" width="8.88671875" style="449"/>
    <col min="14595" max="14596" width="6.109375" style="449" customWidth="1"/>
    <col min="14597" max="14598" width="5.109375" style="449" customWidth="1"/>
    <col min="14599" max="14603" width="8.88671875" style="449"/>
    <col min="14604" max="14604" width="12.5546875" style="449" customWidth="1"/>
    <col min="14605" max="14850" width="8.88671875" style="449"/>
    <col min="14851" max="14852" width="6.109375" style="449" customWidth="1"/>
    <col min="14853" max="14854" width="5.109375" style="449" customWidth="1"/>
    <col min="14855" max="14859" width="8.88671875" style="449"/>
    <col min="14860" max="14860" width="12.5546875" style="449" customWidth="1"/>
    <col min="14861" max="15106" width="8.88671875" style="449"/>
    <col min="15107" max="15108" width="6.109375" style="449" customWidth="1"/>
    <col min="15109" max="15110" width="5.109375" style="449" customWidth="1"/>
    <col min="15111" max="15115" width="8.88671875" style="449"/>
    <col min="15116" max="15116" width="12.5546875" style="449" customWidth="1"/>
    <col min="15117" max="15362" width="8.88671875" style="449"/>
    <col min="15363" max="15364" width="6.109375" style="449" customWidth="1"/>
    <col min="15365" max="15366" width="5.109375" style="449" customWidth="1"/>
    <col min="15367" max="15371" width="8.88671875" style="449"/>
    <col min="15372" max="15372" width="12.5546875" style="449" customWidth="1"/>
    <col min="15373" max="15618" width="8.88671875" style="449"/>
    <col min="15619" max="15620" width="6.109375" style="449" customWidth="1"/>
    <col min="15621" max="15622" width="5.109375" style="449" customWidth="1"/>
    <col min="15623" max="15627" width="8.88671875" style="449"/>
    <col min="15628" max="15628" width="12.5546875" style="449" customWidth="1"/>
    <col min="15629" max="15874" width="8.88671875" style="449"/>
    <col min="15875" max="15876" width="6.109375" style="449" customWidth="1"/>
    <col min="15877" max="15878" width="5.109375" style="449" customWidth="1"/>
    <col min="15879" max="15883" width="8.88671875" style="449"/>
    <col min="15884" max="15884" width="12.5546875" style="449" customWidth="1"/>
    <col min="15885" max="16130" width="8.88671875" style="449"/>
    <col min="16131" max="16132" width="6.109375" style="449" customWidth="1"/>
    <col min="16133" max="16134" width="5.109375" style="449" customWidth="1"/>
    <col min="16135" max="16139" width="8.88671875" style="449"/>
    <col min="16140" max="16140" width="12.5546875" style="449" customWidth="1"/>
    <col min="16141" max="16384" width="8.88671875" style="449"/>
  </cols>
  <sheetData>
    <row r="1" spans="1:27" ht="15.6" x14ac:dyDescent="0.25">
      <c r="A1" s="1248" t="str">
        <f>'Toe Drain Quantity'!A1:Y1</f>
        <v>ROSHNABAD BARRAGE</v>
      </c>
      <c r="B1" s="1248"/>
      <c r="C1" s="1248"/>
      <c r="D1" s="1248"/>
      <c r="E1" s="1248"/>
      <c r="F1" s="1248"/>
      <c r="G1" s="1248"/>
      <c r="H1" s="1248"/>
      <c r="I1" s="1248"/>
      <c r="J1" s="1248"/>
      <c r="K1" s="1248"/>
      <c r="L1" s="1248"/>
    </row>
    <row r="2" spans="1:27" ht="14.4" x14ac:dyDescent="0.3">
      <c r="A2" s="697" t="str">
        <f>'Toe Drain Quantity'!A2</f>
        <v>TEHSIL :-SIDHI</v>
      </c>
      <c r="B2" s="698"/>
      <c r="C2" s="698"/>
      <c r="D2" s="699"/>
      <c r="E2" s="698"/>
      <c r="F2" s="569"/>
      <c r="G2" s="569"/>
      <c r="H2" s="569"/>
      <c r="I2" s="569"/>
      <c r="J2" s="1311" t="str">
        <f>'Toe Drain Quantity'!U2</f>
        <v>DISTRICT :SINGRAULI</v>
      </c>
      <c r="K2" s="1311"/>
      <c r="L2" s="1311"/>
    </row>
    <row r="3" spans="1:27" ht="15.6" x14ac:dyDescent="0.25">
      <c r="A3" s="1398" t="s">
        <v>616</v>
      </c>
      <c r="B3" s="1398"/>
      <c r="C3" s="1398"/>
      <c r="D3" s="1398"/>
      <c r="E3" s="1398"/>
      <c r="F3" s="1398"/>
      <c r="G3" s="1398"/>
      <c r="H3" s="1398"/>
      <c r="I3" s="1398"/>
      <c r="J3" s="1398"/>
      <c r="K3" s="1398"/>
      <c r="L3" s="1398"/>
    </row>
    <row r="4" spans="1:27" ht="13.8" x14ac:dyDescent="0.3">
      <c r="A4" s="569"/>
      <c r="B4" s="569"/>
      <c r="C4" s="569"/>
      <c r="D4" s="569"/>
      <c r="E4" s="569"/>
      <c r="F4" s="569"/>
      <c r="G4" s="569"/>
      <c r="H4" s="569"/>
      <c r="I4" s="569"/>
      <c r="J4" s="569"/>
      <c r="K4" s="569"/>
      <c r="L4" s="569"/>
    </row>
    <row r="5" spans="1:27" ht="55.2" x14ac:dyDescent="0.25">
      <c r="A5" s="818" t="s">
        <v>617</v>
      </c>
      <c r="B5" s="818" t="s">
        <v>467</v>
      </c>
      <c r="C5" s="1315" t="s">
        <v>604</v>
      </c>
      <c r="D5" s="1316"/>
      <c r="E5" s="1315" t="s">
        <v>605</v>
      </c>
      <c r="F5" s="1316"/>
      <c r="G5" s="818" t="s">
        <v>618</v>
      </c>
      <c r="H5" s="818" t="s">
        <v>619</v>
      </c>
      <c r="I5" s="818" t="s">
        <v>620</v>
      </c>
      <c r="J5" s="818" t="s">
        <v>621</v>
      </c>
      <c r="K5" s="818" t="s">
        <v>533</v>
      </c>
      <c r="L5" s="818" t="s">
        <v>592</v>
      </c>
    </row>
    <row r="6" spans="1:27" ht="13.8" x14ac:dyDescent="0.25">
      <c r="A6" s="821">
        <v>1</v>
      </c>
      <c r="B6" s="821">
        <v>2</v>
      </c>
      <c r="C6" s="1384">
        <v>3</v>
      </c>
      <c r="D6" s="1384"/>
      <c r="E6" s="1384">
        <v>4</v>
      </c>
      <c r="F6" s="1384"/>
      <c r="G6" s="821">
        <v>5</v>
      </c>
      <c r="H6" s="821">
        <v>6</v>
      </c>
      <c r="I6" s="821">
        <v>7</v>
      </c>
      <c r="J6" s="821">
        <v>8</v>
      </c>
      <c r="K6" s="821">
        <v>9</v>
      </c>
      <c r="L6" s="821">
        <v>10</v>
      </c>
    </row>
    <row r="7" spans="1:27" s="615" customFormat="1" ht="15.6" x14ac:dyDescent="0.3">
      <c r="A7" s="925">
        <f>'Toe Drain Quantity'!A9</f>
        <v>0</v>
      </c>
      <c r="B7" s="727">
        <v>0</v>
      </c>
      <c r="C7" s="976">
        <f>'Toe Drain Quantity'!C9</f>
        <v>2.5</v>
      </c>
      <c r="D7" s="977" t="str">
        <f t="shared" ref="D7:D8" si="0">IF(C7&gt;0,":1"," ")</f>
        <v>:1</v>
      </c>
      <c r="E7" s="978">
        <f t="shared" ref="E7:E8" si="1">IF(C7&gt;0,1,0)</f>
        <v>1</v>
      </c>
      <c r="F7" s="931" t="str">
        <f t="shared" ref="F7:F8" si="2">IF(E7&gt;0,":1"," ")</f>
        <v>:1</v>
      </c>
      <c r="G7" s="824">
        <f>IF(C7&gt;0,'Toe Drain Quantity'!$F$3+'Toe Drain Quantity'!H9+'Toe Drain Quantity'!T9,0)</f>
        <v>1.1000000000000001</v>
      </c>
      <c r="H7" s="734">
        <f>'Toe Drain Quantity'!V9</f>
        <v>0.97500000000000009</v>
      </c>
      <c r="I7" s="734">
        <f t="shared" ref="I7:I8" si="3">H7+G7*C7+G7*E7</f>
        <v>4.8250000000000002</v>
      </c>
      <c r="J7" s="734">
        <f t="shared" ref="J7:J8" si="4">(I7+H7)*G7/2</f>
        <v>3.1900000000000008</v>
      </c>
      <c r="K7" s="734">
        <v>0</v>
      </c>
      <c r="L7" s="734">
        <f t="shared" ref="L7:L8" si="5">K7*B7</f>
        <v>0</v>
      </c>
      <c r="M7" s="660"/>
      <c r="N7" s="659"/>
      <c r="O7" s="659"/>
      <c r="P7" s="659"/>
      <c r="Q7" s="659"/>
      <c r="R7" s="659"/>
      <c r="S7" s="659"/>
      <c r="T7" s="659"/>
      <c r="U7" s="659"/>
      <c r="V7" s="660"/>
      <c r="W7" s="660"/>
      <c r="X7" s="660"/>
      <c r="Y7" s="660"/>
      <c r="Z7" s="661"/>
      <c r="AA7" s="661"/>
    </row>
    <row r="8" spans="1:27" s="615" customFormat="1" ht="15.6" x14ac:dyDescent="0.3">
      <c r="A8" s="925">
        <f>'Toe Drain Quantity'!A10</f>
        <v>20</v>
      </c>
      <c r="B8" s="727">
        <f t="shared" ref="B8" si="6">IF(A8-A7&gt;0,A8-A7,0)</f>
        <v>20</v>
      </c>
      <c r="C8" s="976">
        <f>'Toe Drain Quantity'!C10</f>
        <v>2.5</v>
      </c>
      <c r="D8" s="977" t="str">
        <f t="shared" si="0"/>
        <v>:1</v>
      </c>
      <c r="E8" s="978">
        <f t="shared" si="1"/>
        <v>1</v>
      </c>
      <c r="F8" s="931" t="str">
        <f t="shared" si="2"/>
        <v>:1</v>
      </c>
      <c r="G8" s="824">
        <f>IF(C8&gt;0,'Toe Drain Quantity'!$F$3+'Toe Drain Quantity'!H10+'Toe Drain Quantity'!T10,0)</f>
        <v>1.1000000000000001</v>
      </c>
      <c r="H8" s="734">
        <f>'Toe Drain Quantity'!V10</f>
        <v>0.97500000000000009</v>
      </c>
      <c r="I8" s="734">
        <f t="shared" si="3"/>
        <v>4.8250000000000002</v>
      </c>
      <c r="J8" s="734">
        <f t="shared" si="4"/>
        <v>3.1900000000000008</v>
      </c>
      <c r="K8" s="734">
        <f t="shared" ref="K8" si="7">(J8+J7)/2</f>
        <v>3.1900000000000008</v>
      </c>
      <c r="L8" s="734">
        <f t="shared" si="5"/>
        <v>63.800000000000018</v>
      </c>
      <c r="M8" s="660"/>
      <c r="N8" s="659"/>
      <c r="O8" s="659"/>
      <c r="P8" s="659"/>
      <c r="Q8" s="659"/>
      <c r="R8" s="659"/>
      <c r="S8" s="659"/>
      <c r="T8" s="659"/>
      <c r="U8" s="659"/>
      <c r="V8" s="660"/>
      <c r="W8" s="660"/>
      <c r="X8" s="660"/>
      <c r="Y8" s="660"/>
      <c r="Z8" s="661"/>
      <c r="AA8" s="661"/>
    </row>
    <row r="9" spans="1:27" s="615" customFormat="1" ht="15.6" x14ac:dyDescent="0.3">
      <c r="A9" s="925">
        <f>'Toe Drain Quantity'!A11</f>
        <v>40</v>
      </c>
      <c r="B9" s="727">
        <f t="shared" ref="B9:B44" si="8">IF(A9-A8&gt;0,A9-A8,0)</f>
        <v>20</v>
      </c>
      <c r="C9" s="976">
        <f>'Toe Drain Quantity'!C11</f>
        <v>2.5</v>
      </c>
      <c r="D9" s="977" t="str">
        <f t="shared" ref="D9:D44" si="9">IF(C9&gt;0,":1"," ")</f>
        <v>:1</v>
      </c>
      <c r="E9" s="978">
        <f t="shared" ref="E9:E44" si="10">IF(C9&gt;0,1,0)</f>
        <v>1</v>
      </c>
      <c r="F9" s="931" t="str">
        <f t="shared" ref="F9:F44" si="11">IF(E9&gt;0,":1"," ")</f>
        <v>:1</v>
      </c>
      <c r="G9" s="824">
        <f>IF(C9&gt;0,'Toe Drain Quantity'!$F$3+'Toe Drain Quantity'!H11+'Toe Drain Quantity'!T11,0)</f>
        <v>1.1000000000000001</v>
      </c>
      <c r="H9" s="734">
        <f>'Toe Drain Quantity'!V11</f>
        <v>0.97500000000000009</v>
      </c>
      <c r="I9" s="734">
        <f t="shared" ref="I9:I44" si="12">H9+G9*C9+G9*E9</f>
        <v>4.8250000000000002</v>
      </c>
      <c r="J9" s="734">
        <f t="shared" ref="J9:J44" si="13">(I9+H9)*G9/2</f>
        <v>3.1900000000000008</v>
      </c>
      <c r="K9" s="734">
        <f t="shared" ref="K9:K44" si="14">(J9+J8)/2</f>
        <v>3.1900000000000008</v>
      </c>
      <c r="L9" s="734">
        <f t="shared" ref="L9:L44" si="15">K9*B9</f>
        <v>63.800000000000018</v>
      </c>
      <c r="M9" s="660"/>
      <c r="N9" s="659"/>
      <c r="O9" s="659"/>
      <c r="P9" s="659"/>
      <c r="Q9" s="659"/>
      <c r="R9" s="659"/>
      <c r="S9" s="659"/>
      <c r="T9" s="659"/>
      <c r="U9" s="659"/>
      <c r="V9" s="660"/>
      <c r="W9" s="660"/>
      <c r="X9" s="660"/>
      <c r="Y9" s="660"/>
      <c r="Z9" s="661"/>
      <c r="AA9" s="661"/>
    </row>
    <row r="10" spans="1:27" s="615" customFormat="1" ht="15.6" x14ac:dyDescent="0.3">
      <c r="A10" s="925">
        <f>'Toe Drain Quantity'!A12</f>
        <v>60</v>
      </c>
      <c r="B10" s="727">
        <f t="shared" si="8"/>
        <v>20</v>
      </c>
      <c r="C10" s="976">
        <f>'Toe Drain Quantity'!C12</f>
        <v>2.5</v>
      </c>
      <c r="D10" s="977" t="str">
        <f t="shared" si="9"/>
        <v>:1</v>
      </c>
      <c r="E10" s="978">
        <f t="shared" si="10"/>
        <v>1</v>
      </c>
      <c r="F10" s="931" t="str">
        <f t="shared" si="11"/>
        <v>:1</v>
      </c>
      <c r="G10" s="824">
        <f>IF(C10&gt;0,'Toe Drain Quantity'!$F$3+'Toe Drain Quantity'!H12+'Toe Drain Quantity'!T12,0)</f>
        <v>1.1000000000000001</v>
      </c>
      <c r="H10" s="734">
        <f>'Toe Drain Quantity'!V12</f>
        <v>0.97500000000000009</v>
      </c>
      <c r="I10" s="734">
        <f t="shared" si="12"/>
        <v>4.8250000000000002</v>
      </c>
      <c r="J10" s="734">
        <f t="shared" si="13"/>
        <v>3.1900000000000008</v>
      </c>
      <c r="K10" s="734">
        <f t="shared" si="14"/>
        <v>3.1900000000000008</v>
      </c>
      <c r="L10" s="734">
        <f t="shared" si="15"/>
        <v>63.800000000000018</v>
      </c>
      <c r="M10" s="660"/>
      <c r="N10" s="659"/>
      <c r="O10" s="659"/>
      <c r="P10" s="659"/>
      <c r="Q10" s="659"/>
      <c r="R10" s="659"/>
      <c r="S10" s="659"/>
      <c r="T10" s="659"/>
      <c r="U10" s="659"/>
      <c r="V10" s="660"/>
      <c r="W10" s="660"/>
      <c r="X10" s="660"/>
      <c r="Y10" s="660"/>
      <c r="Z10" s="661"/>
      <c r="AA10" s="661"/>
    </row>
    <row r="11" spans="1:27" s="615" customFormat="1" ht="15.6" x14ac:dyDescent="0.3">
      <c r="A11" s="925">
        <f>'Toe Drain Quantity'!A13</f>
        <v>80</v>
      </c>
      <c r="B11" s="727">
        <f t="shared" si="8"/>
        <v>20</v>
      </c>
      <c r="C11" s="976">
        <f>'Toe Drain Quantity'!C13</f>
        <v>2.5</v>
      </c>
      <c r="D11" s="977" t="str">
        <f t="shared" si="9"/>
        <v>:1</v>
      </c>
      <c r="E11" s="978">
        <f t="shared" si="10"/>
        <v>1</v>
      </c>
      <c r="F11" s="931" t="str">
        <f t="shared" si="11"/>
        <v>:1</v>
      </c>
      <c r="G11" s="824">
        <f>IF(C11&gt;0,'Toe Drain Quantity'!$F$3+'Toe Drain Quantity'!H13+'Toe Drain Quantity'!T13,0)</f>
        <v>1.1000000000000001</v>
      </c>
      <c r="H11" s="734">
        <f>'Toe Drain Quantity'!V13</f>
        <v>0.97500000000000009</v>
      </c>
      <c r="I11" s="734">
        <f t="shared" si="12"/>
        <v>4.8250000000000002</v>
      </c>
      <c r="J11" s="734">
        <f t="shared" si="13"/>
        <v>3.1900000000000008</v>
      </c>
      <c r="K11" s="734">
        <f t="shared" si="14"/>
        <v>3.1900000000000008</v>
      </c>
      <c r="L11" s="734">
        <f t="shared" si="15"/>
        <v>63.800000000000018</v>
      </c>
      <c r="M11" s="660"/>
      <c r="N11" s="659"/>
      <c r="O11" s="659"/>
      <c r="P11" s="659"/>
      <c r="Q11" s="659"/>
      <c r="R11" s="659"/>
      <c r="S11" s="659"/>
      <c r="T11" s="659"/>
      <c r="U11" s="659"/>
      <c r="V11" s="660"/>
      <c r="W11" s="660"/>
      <c r="X11" s="660"/>
      <c r="Y11" s="660"/>
      <c r="Z11" s="661"/>
      <c r="AA11" s="661"/>
    </row>
    <row r="12" spans="1:27" s="615" customFormat="1" ht="15.6" x14ac:dyDescent="0.3">
      <c r="A12" s="925">
        <f>'Toe Drain Quantity'!A14</f>
        <v>100</v>
      </c>
      <c r="B12" s="727">
        <f t="shared" si="8"/>
        <v>20</v>
      </c>
      <c r="C12" s="976">
        <f>'Toe Drain Quantity'!C14</f>
        <v>2.5</v>
      </c>
      <c r="D12" s="977" t="str">
        <f t="shared" si="9"/>
        <v>:1</v>
      </c>
      <c r="E12" s="978">
        <f t="shared" si="10"/>
        <v>1</v>
      </c>
      <c r="F12" s="931" t="str">
        <f t="shared" si="11"/>
        <v>:1</v>
      </c>
      <c r="G12" s="824">
        <f>IF(C12&gt;0,'Toe Drain Quantity'!$F$3+'Toe Drain Quantity'!H14+'Toe Drain Quantity'!T14,0)</f>
        <v>1.1000000000000001</v>
      </c>
      <c r="H12" s="734">
        <f>'Toe Drain Quantity'!V14</f>
        <v>0.97500000000000009</v>
      </c>
      <c r="I12" s="734">
        <f t="shared" si="12"/>
        <v>4.8250000000000002</v>
      </c>
      <c r="J12" s="734">
        <f t="shared" si="13"/>
        <v>3.1900000000000008</v>
      </c>
      <c r="K12" s="734">
        <f t="shared" si="14"/>
        <v>3.1900000000000008</v>
      </c>
      <c r="L12" s="734">
        <f t="shared" si="15"/>
        <v>63.800000000000018</v>
      </c>
      <c r="M12" s="660"/>
      <c r="N12" s="659"/>
      <c r="O12" s="659"/>
      <c r="P12" s="659"/>
      <c r="Q12" s="659"/>
      <c r="R12" s="659"/>
      <c r="S12" s="659"/>
      <c r="T12" s="659"/>
      <c r="U12" s="659"/>
      <c r="V12" s="660"/>
      <c r="W12" s="660"/>
      <c r="X12" s="660"/>
      <c r="Y12" s="660"/>
      <c r="Z12" s="661"/>
      <c r="AA12" s="661"/>
    </row>
    <row r="13" spans="1:27" s="615" customFormat="1" ht="15.6" x14ac:dyDescent="0.3">
      <c r="A13" s="925">
        <f>'Toe Drain Quantity'!A15</f>
        <v>120</v>
      </c>
      <c r="B13" s="727">
        <f t="shared" si="8"/>
        <v>20</v>
      </c>
      <c r="C13" s="976">
        <f>'Toe Drain Quantity'!C15</f>
        <v>2.5</v>
      </c>
      <c r="D13" s="977" t="str">
        <f t="shared" si="9"/>
        <v>:1</v>
      </c>
      <c r="E13" s="978">
        <f t="shared" si="10"/>
        <v>1</v>
      </c>
      <c r="F13" s="931" t="str">
        <f t="shared" si="11"/>
        <v>:1</v>
      </c>
      <c r="G13" s="824">
        <f>IF(C13&gt;0,'Toe Drain Quantity'!$F$3+'Toe Drain Quantity'!H15+'Toe Drain Quantity'!T15,0)</f>
        <v>1.1000000000000001</v>
      </c>
      <c r="H13" s="734">
        <f>'Toe Drain Quantity'!V15</f>
        <v>0.97500000000000009</v>
      </c>
      <c r="I13" s="734">
        <f t="shared" si="12"/>
        <v>4.8250000000000002</v>
      </c>
      <c r="J13" s="734">
        <f t="shared" si="13"/>
        <v>3.1900000000000008</v>
      </c>
      <c r="K13" s="734">
        <f t="shared" si="14"/>
        <v>3.1900000000000008</v>
      </c>
      <c r="L13" s="734">
        <f t="shared" si="15"/>
        <v>63.800000000000018</v>
      </c>
      <c r="M13" s="660"/>
      <c r="N13" s="659"/>
      <c r="O13" s="659"/>
      <c r="P13" s="659"/>
      <c r="Q13" s="659"/>
      <c r="R13" s="659"/>
      <c r="S13" s="659"/>
      <c r="T13" s="659"/>
      <c r="U13" s="659"/>
      <c r="V13" s="660"/>
      <c r="W13" s="660"/>
      <c r="X13" s="660"/>
      <c r="Y13" s="660"/>
      <c r="Z13" s="661"/>
      <c r="AA13" s="661"/>
    </row>
    <row r="14" spans="1:27" s="615" customFormat="1" ht="15.6" x14ac:dyDescent="0.3">
      <c r="A14" s="925">
        <f>'Toe Drain Quantity'!A16</f>
        <v>140</v>
      </c>
      <c r="B14" s="727">
        <f t="shared" si="8"/>
        <v>20</v>
      </c>
      <c r="C14" s="976">
        <f>'Toe Drain Quantity'!C16</f>
        <v>2.5</v>
      </c>
      <c r="D14" s="977" t="str">
        <f t="shared" si="9"/>
        <v>:1</v>
      </c>
      <c r="E14" s="978">
        <f t="shared" si="10"/>
        <v>1</v>
      </c>
      <c r="F14" s="931" t="str">
        <f t="shared" si="11"/>
        <v>:1</v>
      </c>
      <c r="G14" s="824">
        <f>IF(C14&gt;0,'Toe Drain Quantity'!$F$3+'Toe Drain Quantity'!H16+'Toe Drain Quantity'!T16,0)</f>
        <v>1.1000000000000001</v>
      </c>
      <c r="H14" s="734">
        <f>'Toe Drain Quantity'!V16</f>
        <v>0.97500000000000009</v>
      </c>
      <c r="I14" s="734">
        <f t="shared" si="12"/>
        <v>4.8250000000000002</v>
      </c>
      <c r="J14" s="734">
        <f t="shared" si="13"/>
        <v>3.1900000000000008</v>
      </c>
      <c r="K14" s="734">
        <f t="shared" si="14"/>
        <v>3.1900000000000008</v>
      </c>
      <c r="L14" s="734">
        <f t="shared" si="15"/>
        <v>63.800000000000018</v>
      </c>
      <c r="M14" s="660"/>
      <c r="N14" s="659"/>
      <c r="O14" s="659"/>
      <c r="P14" s="659"/>
      <c r="Q14" s="659"/>
      <c r="R14" s="659"/>
      <c r="S14" s="659"/>
      <c r="T14" s="659"/>
      <c r="U14" s="659"/>
      <c r="V14" s="660"/>
      <c r="W14" s="660"/>
      <c r="X14" s="660"/>
      <c r="Y14" s="660"/>
      <c r="Z14" s="661"/>
      <c r="AA14" s="661"/>
    </row>
    <row r="15" spans="1:27" s="615" customFormat="1" ht="15.6" x14ac:dyDescent="0.3">
      <c r="A15" s="925">
        <f>'Toe Drain Quantity'!A17</f>
        <v>160</v>
      </c>
      <c r="B15" s="727">
        <f t="shared" si="8"/>
        <v>20</v>
      </c>
      <c r="C15" s="976">
        <f>'Toe Drain Quantity'!C17</f>
        <v>2.5</v>
      </c>
      <c r="D15" s="977" t="str">
        <f t="shared" si="9"/>
        <v>:1</v>
      </c>
      <c r="E15" s="978">
        <f t="shared" si="10"/>
        <v>1</v>
      </c>
      <c r="F15" s="931" t="str">
        <f t="shared" si="11"/>
        <v>:1</v>
      </c>
      <c r="G15" s="824">
        <f>IF(C15&gt;0,'Toe Drain Quantity'!$F$3+'Toe Drain Quantity'!H17+'Toe Drain Quantity'!T17,0)</f>
        <v>1.1000000000000001</v>
      </c>
      <c r="H15" s="734">
        <f>'Toe Drain Quantity'!V17</f>
        <v>0.97500000000000009</v>
      </c>
      <c r="I15" s="734">
        <f t="shared" si="12"/>
        <v>4.8250000000000002</v>
      </c>
      <c r="J15" s="734">
        <f t="shared" si="13"/>
        <v>3.1900000000000008</v>
      </c>
      <c r="K15" s="734">
        <f t="shared" si="14"/>
        <v>3.1900000000000008</v>
      </c>
      <c r="L15" s="734">
        <f t="shared" si="15"/>
        <v>63.800000000000018</v>
      </c>
      <c r="M15" s="660"/>
      <c r="N15" s="659"/>
      <c r="O15" s="659"/>
      <c r="P15" s="659"/>
      <c r="Q15" s="659"/>
      <c r="R15" s="659"/>
      <c r="S15" s="659"/>
      <c r="T15" s="659"/>
      <c r="U15" s="659"/>
      <c r="V15" s="660"/>
      <c r="W15" s="660"/>
      <c r="X15" s="660"/>
      <c r="Y15" s="660"/>
      <c r="Z15" s="661"/>
      <c r="AA15" s="661"/>
    </row>
    <row r="16" spans="1:27" s="615" customFormat="1" ht="15.6" x14ac:dyDescent="0.3">
      <c r="A16" s="925">
        <f>'Toe Drain Quantity'!A18</f>
        <v>180</v>
      </c>
      <c r="B16" s="727">
        <f t="shared" si="8"/>
        <v>20</v>
      </c>
      <c r="C16" s="976">
        <f>'Toe Drain Quantity'!C18</f>
        <v>2.5</v>
      </c>
      <c r="D16" s="977" t="str">
        <f t="shared" si="9"/>
        <v>:1</v>
      </c>
      <c r="E16" s="978">
        <f t="shared" si="10"/>
        <v>1</v>
      </c>
      <c r="F16" s="931" t="str">
        <f t="shared" si="11"/>
        <v>:1</v>
      </c>
      <c r="G16" s="824">
        <f>IF(C16&gt;0,'Toe Drain Quantity'!$F$3+'Toe Drain Quantity'!H18+'Toe Drain Quantity'!T18,0)</f>
        <v>1.1000000000000001</v>
      </c>
      <c r="H16" s="734">
        <f>'Toe Drain Quantity'!V18</f>
        <v>0.97500000000000009</v>
      </c>
      <c r="I16" s="734">
        <f t="shared" si="12"/>
        <v>4.8250000000000002</v>
      </c>
      <c r="J16" s="734">
        <f t="shared" si="13"/>
        <v>3.1900000000000008</v>
      </c>
      <c r="K16" s="734">
        <f t="shared" si="14"/>
        <v>3.1900000000000008</v>
      </c>
      <c r="L16" s="734">
        <f t="shared" si="15"/>
        <v>63.800000000000018</v>
      </c>
      <c r="M16" s="660"/>
      <c r="N16" s="659"/>
      <c r="O16" s="659"/>
      <c r="P16" s="659"/>
      <c r="Q16" s="659"/>
      <c r="R16" s="659"/>
      <c r="S16" s="659"/>
      <c r="T16" s="659"/>
      <c r="U16" s="659"/>
      <c r="V16" s="660"/>
      <c r="W16" s="660"/>
      <c r="X16" s="660"/>
      <c r="Y16" s="660"/>
      <c r="Z16" s="661"/>
      <c r="AA16" s="661"/>
    </row>
    <row r="17" spans="1:27" s="615" customFormat="1" ht="15.6" x14ac:dyDescent="0.3">
      <c r="A17" s="925">
        <f>'Toe Drain Quantity'!A19</f>
        <v>200</v>
      </c>
      <c r="B17" s="727">
        <f t="shared" si="8"/>
        <v>20</v>
      </c>
      <c r="C17" s="976">
        <f>'Toe Drain Quantity'!C19</f>
        <v>2.5</v>
      </c>
      <c r="D17" s="977" t="str">
        <f t="shared" si="9"/>
        <v>:1</v>
      </c>
      <c r="E17" s="978">
        <f t="shared" si="10"/>
        <v>1</v>
      </c>
      <c r="F17" s="931" t="str">
        <f t="shared" si="11"/>
        <v>:1</v>
      </c>
      <c r="G17" s="824">
        <f>IF(C17&gt;0,'Toe Drain Quantity'!$F$3+'Toe Drain Quantity'!H19+'Toe Drain Quantity'!T19,0)</f>
        <v>1.1000000000000001</v>
      </c>
      <c r="H17" s="734">
        <f>'Toe Drain Quantity'!V19</f>
        <v>0.97500000000000009</v>
      </c>
      <c r="I17" s="734">
        <f t="shared" si="12"/>
        <v>4.8250000000000002</v>
      </c>
      <c r="J17" s="734">
        <f t="shared" si="13"/>
        <v>3.1900000000000008</v>
      </c>
      <c r="K17" s="734">
        <f t="shared" si="14"/>
        <v>3.1900000000000008</v>
      </c>
      <c r="L17" s="734">
        <f t="shared" si="15"/>
        <v>63.800000000000018</v>
      </c>
      <c r="M17" s="660"/>
      <c r="N17" s="659"/>
      <c r="O17" s="659"/>
      <c r="P17" s="659"/>
      <c r="Q17" s="659"/>
      <c r="R17" s="659"/>
      <c r="S17" s="659"/>
      <c r="T17" s="659"/>
      <c r="U17" s="659"/>
      <c r="V17" s="660"/>
      <c r="W17" s="660"/>
      <c r="X17" s="660"/>
      <c r="Y17" s="660"/>
      <c r="Z17" s="661"/>
      <c r="AA17" s="661"/>
    </row>
    <row r="18" spans="1:27" s="615" customFormat="1" ht="15.6" x14ac:dyDescent="0.3">
      <c r="A18" s="925">
        <f>'Toe Drain Quantity'!A20</f>
        <v>220</v>
      </c>
      <c r="B18" s="727">
        <f t="shared" si="8"/>
        <v>20</v>
      </c>
      <c r="C18" s="976">
        <f>'Toe Drain Quantity'!C20</f>
        <v>2.5</v>
      </c>
      <c r="D18" s="977" t="str">
        <f t="shared" si="9"/>
        <v>:1</v>
      </c>
      <c r="E18" s="978">
        <f t="shared" si="10"/>
        <v>1</v>
      </c>
      <c r="F18" s="931" t="str">
        <f t="shared" si="11"/>
        <v>:1</v>
      </c>
      <c r="G18" s="824">
        <f>IF(C18&gt;0,'Toe Drain Quantity'!$F$3+'Toe Drain Quantity'!H20+'Toe Drain Quantity'!T20,0)</f>
        <v>1.1000000000000001</v>
      </c>
      <c r="H18" s="734">
        <f>'Toe Drain Quantity'!V20</f>
        <v>0.97500000000000009</v>
      </c>
      <c r="I18" s="734">
        <f t="shared" si="12"/>
        <v>4.8250000000000002</v>
      </c>
      <c r="J18" s="734">
        <f t="shared" si="13"/>
        <v>3.1900000000000008</v>
      </c>
      <c r="K18" s="734">
        <f t="shared" si="14"/>
        <v>3.1900000000000008</v>
      </c>
      <c r="L18" s="734">
        <f t="shared" si="15"/>
        <v>63.800000000000018</v>
      </c>
      <c r="M18" s="660"/>
      <c r="N18" s="659"/>
      <c r="O18" s="659"/>
      <c r="P18" s="659"/>
      <c r="Q18" s="659"/>
      <c r="R18" s="659"/>
      <c r="S18" s="659"/>
      <c r="T18" s="659"/>
      <c r="U18" s="659"/>
      <c r="V18" s="660"/>
      <c r="W18" s="660"/>
      <c r="X18" s="660"/>
      <c r="Y18" s="660"/>
      <c r="Z18" s="661"/>
      <c r="AA18" s="661"/>
    </row>
    <row r="19" spans="1:27" s="615" customFormat="1" ht="15.6" x14ac:dyDescent="0.3">
      <c r="A19" s="925">
        <f>'Toe Drain Quantity'!A21</f>
        <v>240</v>
      </c>
      <c r="B19" s="727">
        <f t="shared" si="8"/>
        <v>20</v>
      </c>
      <c r="C19" s="976">
        <f>'Toe Drain Quantity'!C21</f>
        <v>2.5</v>
      </c>
      <c r="D19" s="977" t="str">
        <f t="shared" si="9"/>
        <v>:1</v>
      </c>
      <c r="E19" s="978">
        <f t="shared" si="10"/>
        <v>1</v>
      </c>
      <c r="F19" s="931" t="str">
        <f t="shared" si="11"/>
        <v>:1</v>
      </c>
      <c r="G19" s="824">
        <f>IF(C19&gt;0,'Toe Drain Quantity'!$F$3+'Toe Drain Quantity'!H21+'Toe Drain Quantity'!T21,0)</f>
        <v>1.1000000000000001</v>
      </c>
      <c r="H19" s="734">
        <f>'Toe Drain Quantity'!V21</f>
        <v>0.97500000000000009</v>
      </c>
      <c r="I19" s="734">
        <f t="shared" si="12"/>
        <v>4.8250000000000002</v>
      </c>
      <c r="J19" s="734">
        <f t="shared" si="13"/>
        <v>3.1900000000000008</v>
      </c>
      <c r="K19" s="734">
        <f t="shared" si="14"/>
        <v>3.1900000000000008</v>
      </c>
      <c r="L19" s="734">
        <f t="shared" si="15"/>
        <v>63.800000000000018</v>
      </c>
      <c r="M19" s="660"/>
      <c r="N19" s="659"/>
      <c r="O19" s="659"/>
      <c r="P19" s="659"/>
      <c r="Q19" s="659"/>
      <c r="R19" s="659"/>
      <c r="S19" s="659"/>
      <c r="T19" s="659"/>
      <c r="U19" s="659"/>
      <c r="V19" s="660"/>
      <c r="W19" s="660"/>
      <c r="X19" s="660"/>
      <c r="Y19" s="660"/>
      <c r="Z19" s="661"/>
      <c r="AA19" s="661"/>
    </row>
    <row r="20" spans="1:27" s="615" customFormat="1" ht="15.6" x14ac:dyDescent="0.3">
      <c r="A20" s="925">
        <f>'Toe Drain Quantity'!A22</f>
        <v>260</v>
      </c>
      <c r="B20" s="727">
        <f t="shared" si="8"/>
        <v>20</v>
      </c>
      <c r="C20" s="976">
        <f>'Toe Drain Quantity'!C22</f>
        <v>2.5</v>
      </c>
      <c r="D20" s="977" t="str">
        <f t="shared" si="9"/>
        <v>:1</v>
      </c>
      <c r="E20" s="978">
        <f t="shared" si="10"/>
        <v>1</v>
      </c>
      <c r="F20" s="931" t="str">
        <f t="shared" si="11"/>
        <v>:1</v>
      </c>
      <c r="G20" s="824">
        <f>IF(C20&gt;0,'Toe Drain Quantity'!$F$3+'Toe Drain Quantity'!H22+'Toe Drain Quantity'!T22,0)</f>
        <v>1.1000000000000001</v>
      </c>
      <c r="H20" s="734">
        <f>'Toe Drain Quantity'!V22</f>
        <v>0.97500000000000009</v>
      </c>
      <c r="I20" s="734">
        <f t="shared" si="12"/>
        <v>4.8250000000000002</v>
      </c>
      <c r="J20" s="734">
        <f t="shared" si="13"/>
        <v>3.1900000000000008</v>
      </c>
      <c r="K20" s="734">
        <f t="shared" si="14"/>
        <v>3.1900000000000008</v>
      </c>
      <c r="L20" s="734">
        <f t="shared" si="15"/>
        <v>63.800000000000018</v>
      </c>
      <c r="M20" s="660"/>
      <c r="N20" s="659"/>
      <c r="O20" s="659"/>
      <c r="P20" s="659"/>
      <c r="Q20" s="659"/>
      <c r="R20" s="659"/>
      <c r="S20" s="659"/>
      <c r="T20" s="659"/>
      <c r="U20" s="659"/>
      <c r="V20" s="660"/>
      <c r="W20" s="660"/>
      <c r="X20" s="660"/>
      <c r="Y20" s="660"/>
      <c r="Z20" s="661"/>
      <c r="AA20" s="661"/>
    </row>
    <row r="21" spans="1:27" ht="13.8" x14ac:dyDescent="0.3">
      <c r="A21" s="925">
        <f>'Toe Drain Quantity'!A23</f>
        <v>280</v>
      </c>
      <c r="B21" s="727">
        <f t="shared" si="8"/>
        <v>20</v>
      </c>
      <c r="C21" s="976">
        <f>'Toe Drain Quantity'!C23</f>
        <v>2.5</v>
      </c>
      <c r="D21" s="977" t="str">
        <f t="shared" si="9"/>
        <v>:1</v>
      </c>
      <c r="E21" s="978">
        <f t="shared" si="10"/>
        <v>1</v>
      </c>
      <c r="F21" s="931" t="str">
        <f t="shared" si="11"/>
        <v>:1</v>
      </c>
      <c r="G21" s="824">
        <f>IF(C21&gt;0,'Toe Drain Quantity'!$F$3+'Toe Drain Quantity'!H23+'Toe Drain Quantity'!T23,0)</f>
        <v>1.1000000000000001</v>
      </c>
      <c r="H21" s="734">
        <f>'Toe Drain Quantity'!V23</f>
        <v>0.97500000000000009</v>
      </c>
      <c r="I21" s="734">
        <f t="shared" si="12"/>
        <v>4.8250000000000002</v>
      </c>
      <c r="J21" s="734">
        <f t="shared" si="13"/>
        <v>3.1900000000000008</v>
      </c>
      <c r="K21" s="734">
        <f t="shared" si="14"/>
        <v>3.1900000000000008</v>
      </c>
      <c r="L21" s="734">
        <f t="shared" si="15"/>
        <v>63.800000000000018</v>
      </c>
    </row>
    <row r="22" spans="1:27" ht="13.8" x14ac:dyDescent="0.3">
      <c r="A22" s="925">
        <f>'Toe Drain Quantity'!A24</f>
        <v>300</v>
      </c>
      <c r="B22" s="727">
        <f t="shared" si="8"/>
        <v>20</v>
      </c>
      <c r="C22" s="976">
        <f>'Toe Drain Quantity'!C24</f>
        <v>2.5</v>
      </c>
      <c r="D22" s="977" t="str">
        <f t="shared" si="9"/>
        <v>:1</v>
      </c>
      <c r="E22" s="978">
        <f t="shared" si="10"/>
        <v>1</v>
      </c>
      <c r="F22" s="931" t="str">
        <f t="shared" si="11"/>
        <v>:1</v>
      </c>
      <c r="G22" s="824">
        <f>IF(C22&gt;0,'Toe Drain Quantity'!$F$3+'Toe Drain Quantity'!H24+'Toe Drain Quantity'!T24,0)</f>
        <v>1.1000000000000001</v>
      </c>
      <c r="H22" s="734">
        <f>'Toe Drain Quantity'!V24</f>
        <v>0.97500000000000009</v>
      </c>
      <c r="I22" s="734">
        <f t="shared" si="12"/>
        <v>4.8250000000000002</v>
      </c>
      <c r="J22" s="734">
        <f t="shared" si="13"/>
        <v>3.1900000000000008</v>
      </c>
      <c r="K22" s="734">
        <f t="shared" si="14"/>
        <v>3.1900000000000008</v>
      </c>
      <c r="L22" s="734">
        <f t="shared" si="15"/>
        <v>63.800000000000018</v>
      </c>
    </row>
    <row r="23" spans="1:27" ht="13.8" x14ac:dyDescent="0.3">
      <c r="A23" s="925">
        <f>'Toe Drain Quantity'!A25</f>
        <v>320</v>
      </c>
      <c r="B23" s="727">
        <f t="shared" si="8"/>
        <v>20</v>
      </c>
      <c r="C23" s="976">
        <f>'Toe Drain Quantity'!C25</f>
        <v>2.5</v>
      </c>
      <c r="D23" s="977" t="str">
        <f t="shared" si="9"/>
        <v>:1</v>
      </c>
      <c r="E23" s="978">
        <f t="shared" si="10"/>
        <v>1</v>
      </c>
      <c r="F23" s="931" t="str">
        <f t="shared" si="11"/>
        <v>:1</v>
      </c>
      <c r="G23" s="824">
        <f>IF(C23&gt;0,'Toe Drain Quantity'!$F$3+'Toe Drain Quantity'!H25+'Toe Drain Quantity'!T25,0)</f>
        <v>1.1000000000000001</v>
      </c>
      <c r="H23" s="734">
        <f>'Toe Drain Quantity'!V25</f>
        <v>0.97500000000000009</v>
      </c>
      <c r="I23" s="734">
        <f t="shared" si="12"/>
        <v>4.8250000000000002</v>
      </c>
      <c r="J23" s="734">
        <f t="shared" si="13"/>
        <v>3.1900000000000008</v>
      </c>
      <c r="K23" s="734">
        <f t="shared" si="14"/>
        <v>3.1900000000000008</v>
      </c>
      <c r="L23" s="734">
        <f t="shared" si="15"/>
        <v>63.800000000000018</v>
      </c>
    </row>
    <row r="24" spans="1:27" ht="13.8" x14ac:dyDescent="0.3">
      <c r="A24" s="925">
        <f>'Toe Drain Quantity'!A26</f>
        <v>340</v>
      </c>
      <c r="B24" s="727">
        <f t="shared" si="8"/>
        <v>20</v>
      </c>
      <c r="C24" s="976">
        <f>'Toe Drain Quantity'!C26</f>
        <v>2.5</v>
      </c>
      <c r="D24" s="977" t="str">
        <f t="shared" si="9"/>
        <v>:1</v>
      </c>
      <c r="E24" s="978">
        <f t="shared" si="10"/>
        <v>1</v>
      </c>
      <c r="F24" s="931" t="str">
        <f t="shared" si="11"/>
        <v>:1</v>
      </c>
      <c r="G24" s="824">
        <f>IF(C24&gt;0,'Toe Drain Quantity'!$F$3+'Toe Drain Quantity'!H26+'Toe Drain Quantity'!T26,0)</f>
        <v>1.1000000000000001</v>
      </c>
      <c r="H24" s="734">
        <f>'Toe Drain Quantity'!V26</f>
        <v>0.97500000000000009</v>
      </c>
      <c r="I24" s="734">
        <f t="shared" si="12"/>
        <v>4.8250000000000002</v>
      </c>
      <c r="J24" s="734">
        <f t="shared" si="13"/>
        <v>3.1900000000000008</v>
      </c>
      <c r="K24" s="734">
        <f t="shared" si="14"/>
        <v>3.1900000000000008</v>
      </c>
      <c r="L24" s="734">
        <f t="shared" si="15"/>
        <v>63.800000000000018</v>
      </c>
    </row>
    <row r="25" spans="1:27" ht="13.8" x14ac:dyDescent="0.3">
      <c r="A25" s="925">
        <f>'Toe Drain Quantity'!A27</f>
        <v>360</v>
      </c>
      <c r="B25" s="727">
        <f t="shared" si="8"/>
        <v>20</v>
      </c>
      <c r="C25" s="976">
        <f>'Toe Drain Quantity'!C27</f>
        <v>2.5</v>
      </c>
      <c r="D25" s="977" t="str">
        <f t="shared" si="9"/>
        <v>:1</v>
      </c>
      <c r="E25" s="978">
        <f t="shared" si="10"/>
        <v>1</v>
      </c>
      <c r="F25" s="931" t="str">
        <f t="shared" si="11"/>
        <v>:1</v>
      </c>
      <c r="G25" s="824">
        <f>IF(C25&gt;0,'Toe Drain Quantity'!$F$3+'Toe Drain Quantity'!H27+'Toe Drain Quantity'!T27,0)</f>
        <v>1.1000000000000001</v>
      </c>
      <c r="H25" s="734">
        <f>'Toe Drain Quantity'!V27</f>
        <v>0.97500000000000009</v>
      </c>
      <c r="I25" s="734">
        <f t="shared" si="12"/>
        <v>4.8250000000000002</v>
      </c>
      <c r="J25" s="734">
        <f t="shared" si="13"/>
        <v>3.1900000000000008</v>
      </c>
      <c r="K25" s="734">
        <f t="shared" si="14"/>
        <v>3.1900000000000008</v>
      </c>
      <c r="L25" s="734">
        <f t="shared" si="15"/>
        <v>63.800000000000018</v>
      </c>
    </row>
    <row r="26" spans="1:27" ht="13.8" x14ac:dyDescent="0.3">
      <c r="A26" s="925">
        <f>'Toe Drain Quantity'!A28</f>
        <v>380</v>
      </c>
      <c r="B26" s="727">
        <f t="shared" si="8"/>
        <v>20</v>
      </c>
      <c r="C26" s="976">
        <f>'Toe Drain Quantity'!C28</f>
        <v>2.5</v>
      </c>
      <c r="D26" s="977" t="str">
        <f t="shared" si="9"/>
        <v>:1</v>
      </c>
      <c r="E26" s="978">
        <f t="shared" si="10"/>
        <v>1</v>
      </c>
      <c r="F26" s="931" t="str">
        <f t="shared" si="11"/>
        <v>:1</v>
      </c>
      <c r="G26" s="824">
        <f>IF(C26&gt;0,'Toe Drain Quantity'!$F$3+'Toe Drain Quantity'!H28+'Toe Drain Quantity'!T28,0)</f>
        <v>1.1000000000000001</v>
      </c>
      <c r="H26" s="734">
        <f>'Toe Drain Quantity'!V28</f>
        <v>0.97500000000000009</v>
      </c>
      <c r="I26" s="734">
        <f t="shared" si="12"/>
        <v>4.8250000000000002</v>
      </c>
      <c r="J26" s="734">
        <f t="shared" si="13"/>
        <v>3.1900000000000008</v>
      </c>
      <c r="K26" s="734">
        <f t="shared" si="14"/>
        <v>3.1900000000000008</v>
      </c>
      <c r="L26" s="734">
        <f t="shared" si="15"/>
        <v>63.800000000000018</v>
      </c>
    </row>
    <row r="27" spans="1:27" ht="13.8" x14ac:dyDescent="0.3">
      <c r="A27" s="925">
        <f>'Toe Drain Quantity'!A29</f>
        <v>400</v>
      </c>
      <c r="B27" s="727">
        <f t="shared" si="8"/>
        <v>20</v>
      </c>
      <c r="C27" s="976">
        <f>'Toe Drain Quantity'!C29</f>
        <v>2.5</v>
      </c>
      <c r="D27" s="977" t="str">
        <f t="shared" si="9"/>
        <v>:1</v>
      </c>
      <c r="E27" s="978">
        <f t="shared" si="10"/>
        <v>1</v>
      </c>
      <c r="F27" s="931" t="str">
        <f t="shared" si="11"/>
        <v>:1</v>
      </c>
      <c r="G27" s="824">
        <f>IF(C27&gt;0,'Toe Drain Quantity'!$F$3+'Toe Drain Quantity'!H29+'Toe Drain Quantity'!T29,0)</f>
        <v>1.1000000000000001</v>
      </c>
      <c r="H27" s="734">
        <f>'Toe Drain Quantity'!V29</f>
        <v>0.97500000000000009</v>
      </c>
      <c r="I27" s="734">
        <f t="shared" si="12"/>
        <v>4.8250000000000002</v>
      </c>
      <c r="J27" s="734">
        <f t="shared" si="13"/>
        <v>3.1900000000000008</v>
      </c>
      <c r="K27" s="734">
        <f t="shared" si="14"/>
        <v>3.1900000000000008</v>
      </c>
      <c r="L27" s="734">
        <f t="shared" si="15"/>
        <v>63.800000000000018</v>
      </c>
    </row>
    <row r="28" spans="1:27" ht="13.8" x14ac:dyDescent="0.3">
      <c r="A28" s="925">
        <f>'Toe Drain Quantity'!A30</f>
        <v>420</v>
      </c>
      <c r="B28" s="727">
        <f t="shared" si="8"/>
        <v>20</v>
      </c>
      <c r="C28" s="976">
        <f>'Toe Drain Quantity'!C30</f>
        <v>2.5</v>
      </c>
      <c r="D28" s="977" t="str">
        <f t="shared" si="9"/>
        <v>:1</v>
      </c>
      <c r="E28" s="978">
        <f t="shared" si="10"/>
        <v>1</v>
      </c>
      <c r="F28" s="931" t="str">
        <f t="shared" si="11"/>
        <v>:1</v>
      </c>
      <c r="G28" s="824">
        <f>IF(C28&gt;0,'Toe Drain Quantity'!$F$3+'Toe Drain Quantity'!H30+'Toe Drain Quantity'!T30,0)</f>
        <v>1.1000000000000001</v>
      </c>
      <c r="H28" s="734">
        <f>'Toe Drain Quantity'!V30</f>
        <v>0.97500000000000009</v>
      </c>
      <c r="I28" s="734">
        <f t="shared" si="12"/>
        <v>4.8250000000000002</v>
      </c>
      <c r="J28" s="734">
        <f t="shared" si="13"/>
        <v>3.1900000000000008</v>
      </c>
      <c r="K28" s="734">
        <f t="shared" si="14"/>
        <v>3.1900000000000008</v>
      </c>
      <c r="L28" s="734">
        <f t="shared" si="15"/>
        <v>63.800000000000018</v>
      </c>
    </row>
    <row r="29" spans="1:27" ht="13.8" x14ac:dyDescent="0.3">
      <c r="A29" s="925">
        <f>'Toe Drain Quantity'!A31</f>
        <v>440</v>
      </c>
      <c r="B29" s="727">
        <f t="shared" si="8"/>
        <v>20</v>
      </c>
      <c r="C29" s="976">
        <f>'Toe Drain Quantity'!C31</f>
        <v>2.5</v>
      </c>
      <c r="D29" s="977" t="str">
        <f t="shared" si="9"/>
        <v>:1</v>
      </c>
      <c r="E29" s="978">
        <f t="shared" si="10"/>
        <v>1</v>
      </c>
      <c r="F29" s="931" t="str">
        <f t="shared" si="11"/>
        <v>:1</v>
      </c>
      <c r="G29" s="824">
        <f>IF(C29&gt;0,'Toe Drain Quantity'!$F$3+'Toe Drain Quantity'!H31+'Toe Drain Quantity'!T31,0)</f>
        <v>1.1000000000000001</v>
      </c>
      <c r="H29" s="734">
        <f>'Toe Drain Quantity'!V31</f>
        <v>0.97500000000000009</v>
      </c>
      <c r="I29" s="734">
        <f t="shared" si="12"/>
        <v>4.8250000000000002</v>
      </c>
      <c r="J29" s="734">
        <f t="shared" si="13"/>
        <v>3.1900000000000008</v>
      </c>
      <c r="K29" s="734">
        <f t="shared" si="14"/>
        <v>3.1900000000000008</v>
      </c>
      <c r="L29" s="734">
        <f t="shared" si="15"/>
        <v>63.800000000000018</v>
      </c>
    </row>
    <row r="30" spans="1:27" ht="13.8" x14ac:dyDescent="0.3">
      <c r="A30" s="925">
        <f>'Toe Drain Quantity'!A32</f>
        <v>460</v>
      </c>
      <c r="B30" s="727">
        <f t="shared" si="8"/>
        <v>20</v>
      </c>
      <c r="C30" s="976">
        <f>'Toe Drain Quantity'!C32</f>
        <v>2.5</v>
      </c>
      <c r="D30" s="977" t="str">
        <f t="shared" si="9"/>
        <v>:1</v>
      </c>
      <c r="E30" s="978">
        <f t="shared" si="10"/>
        <v>1</v>
      </c>
      <c r="F30" s="931" t="str">
        <f t="shared" si="11"/>
        <v>:1</v>
      </c>
      <c r="G30" s="824">
        <f>IF(C30&gt;0,'Toe Drain Quantity'!$F$3+'Toe Drain Quantity'!H32+'Toe Drain Quantity'!T32,0)</f>
        <v>1.1000000000000001</v>
      </c>
      <c r="H30" s="734">
        <f>'Toe Drain Quantity'!V32</f>
        <v>0.97500000000000009</v>
      </c>
      <c r="I30" s="734">
        <f t="shared" si="12"/>
        <v>4.8250000000000002</v>
      </c>
      <c r="J30" s="734">
        <f t="shared" si="13"/>
        <v>3.1900000000000008</v>
      </c>
      <c r="K30" s="734">
        <f t="shared" si="14"/>
        <v>3.1900000000000008</v>
      </c>
      <c r="L30" s="734">
        <f t="shared" si="15"/>
        <v>63.800000000000018</v>
      </c>
    </row>
    <row r="31" spans="1:27" ht="13.8" x14ac:dyDescent="0.3">
      <c r="A31" s="925">
        <f>'Toe Drain Quantity'!A33</f>
        <v>480</v>
      </c>
      <c r="B31" s="727">
        <f t="shared" si="8"/>
        <v>20</v>
      </c>
      <c r="C31" s="976">
        <f>'Toe Drain Quantity'!C33</f>
        <v>2.5</v>
      </c>
      <c r="D31" s="977" t="str">
        <f t="shared" si="9"/>
        <v>:1</v>
      </c>
      <c r="E31" s="978">
        <f t="shared" si="10"/>
        <v>1</v>
      </c>
      <c r="F31" s="931" t="str">
        <f t="shared" si="11"/>
        <v>:1</v>
      </c>
      <c r="G31" s="824">
        <f>IF(C31&gt;0,'Toe Drain Quantity'!$F$3+'Toe Drain Quantity'!H33+'Toe Drain Quantity'!T33,0)</f>
        <v>1.1000000000000001</v>
      </c>
      <c r="H31" s="734">
        <f>'Toe Drain Quantity'!V33</f>
        <v>0.97500000000000009</v>
      </c>
      <c r="I31" s="734">
        <f t="shared" si="12"/>
        <v>4.8250000000000002</v>
      </c>
      <c r="J31" s="734">
        <f t="shared" si="13"/>
        <v>3.1900000000000008</v>
      </c>
      <c r="K31" s="734">
        <f t="shared" si="14"/>
        <v>3.1900000000000008</v>
      </c>
      <c r="L31" s="734">
        <f t="shared" si="15"/>
        <v>63.800000000000018</v>
      </c>
    </row>
    <row r="32" spans="1:27" ht="13.8" x14ac:dyDescent="0.3">
      <c r="A32" s="925">
        <f>'Toe Drain Quantity'!A34</f>
        <v>500</v>
      </c>
      <c r="B32" s="727">
        <f t="shared" si="8"/>
        <v>20</v>
      </c>
      <c r="C32" s="976">
        <f>'Toe Drain Quantity'!C34</f>
        <v>2.5</v>
      </c>
      <c r="D32" s="977" t="str">
        <f t="shared" si="9"/>
        <v>:1</v>
      </c>
      <c r="E32" s="978">
        <f t="shared" si="10"/>
        <v>1</v>
      </c>
      <c r="F32" s="931" t="str">
        <f t="shared" si="11"/>
        <v>:1</v>
      </c>
      <c r="G32" s="824">
        <f>IF(C32&gt;0,'Toe Drain Quantity'!$F$3+'Toe Drain Quantity'!H34+'Toe Drain Quantity'!T34,0)</f>
        <v>1.1000000000000001</v>
      </c>
      <c r="H32" s="734">
        <f>'Toe Drain Quantity'!V34</f>
        <v>0.97500000000000009</v>
      </c>
      <c r="I32" s="734">
        <f t="shared" si="12"/>
        <v>4.8250000000000002</v>
      </c>
      <c r="J32" s="734">
        <f t="shared" si="13"/>
        <v>3.1900000000000008</v>
      </c>
      <c r="K32" s="734">
        <f t="shared" si="14"/>
        <v>3.1900000000000008</v>
      </c>
      <c r="L32" s="734">
        <f t="shared" si="15"/>
        <v>63.800000000000018</v>
      </c>
    </row>
    <row r="33" spans="1:12" ht="13.8" x14ac:dyDescent="0.3">
      <c r="A33" s="925">
        <f>'Toe Drain Quantity'!A35</f>
        <v>520</v>
      </c>
      <c r="B33" s="727">
        <f t="shared" si="8"/>
        <v>20</v>
      </c>
      <c r="C33" s="976">
        <f>'Toe Drain Quantity'!C35</f>
        <v>2.5</v>
      </c>
      <c r="D33" s="977" t="str">
        <f t="shared" si="9"/>
        <v>:1</v>
      </c>
      <c r="E33" s="978">
        <f t="shared" si="10"/>
        <v>1</v>
      </c>
      <c r="F33" s="931" t="str">
        <f t="shared" si="11"/>
        <v>:1</v>
      </c>
      <c r="G33" s="824">
        <f>IF(C33&gt;0,'Toe Drain Quantity'!$F$3+'Toe Drain Quantity'!H35+'Toe Drain Quantity'!T35,0)</f>
        <v>1.1000000000000001</v>
      </c>
      <c r="H33" s="734">
        <f>'Toe Drain Quantity'!V35</f>
        <v>0.97500000000000009</v>
      </c>
      <c r="I33" s="734">
        <f t="shared" si="12"/>
        <v>4.8250000000000002</v>
      </c>
      <c r="J33" s="734">
        <f t="shared" si="13"/>
        <v>3.1900000000000008</v>
      </c>
      <c r="K33" s="734">
        <f t="shared" si="14"/>
        <v>3.1900000000000008</v>
      </c>
      <c r="L33" s="734">
        <f t="shared" si="15"/>
        <v>63.800000000000018</v>
      </c>
    </row>
    <row r="34" spans="1:12" ht="13.8" x14ac:dyDescent="0.3">
      <c r="A34" s="925">
        <f>'Toe Drain Quantity'!A36</f>
        <v>540</v>
      </c>
      <c r="B34" s="727">
        <f t="shared" si="8"/>
        <v>20</v>
      </c>
      <c r="C34" s="976">
        <f>'Toe Drain Quantity'!C36</f>
        <v>2.5</v>
      </c>
      <c r="D34" s="977" t="str">
        <f t="shared" si="9"/>
        <v>:1</v>
      </c>
      <c r="E34" s="978">
        <f t="shared" si="10"/>
        <v>1</v>
      </c>
      <c r="F34" s="931" t="str">
        <f t="shared" si="11"/>
        <v>:1</v>
      </c>
      <c r="G34" s="824">
        <f>IF(C34&gt;0,'Toe Drain Quantity'!$F$3+'Toe Drain Quantity'!H36+'Toe Drain Quantity'!T36,0)</f>
        <v>1.1000000000000001</v>
      </c>
      <c r="H34" s="734">
        <f>'Toe Drain Quantity'!V36</f>
        <v>0.97500000000000009</v>
      </c>
      <c r="I34" s="734">
        <f t="shared" si="12"/>
        <v>4.8250000000000002</v>
      </c>
      <c r="J34" s="734">
        <f t="shared" si="13"/>
        <v>3.1900000000000008</v>
      </c>
      <c r="K34" s="734">
        <f t="shared" si="14"/>
        <v>3.1900000000000008</v>
      </c>
      <c r="L34" s="734">
        <f t="shared" si="15"/>
        <v>63.800000000000018</v>
      </c>
    </row>
    <row r="35" spans="1:12" ht="13.8" x14ac:dyDescent="0.3">
      <c r="A35" s="925">
        <f>'Toe Drain Quantity'!A37</f>
        <v>560</v>
      </c>
      <c r="B35" s="727">
        <f t="shared" si="8"/>
        <v>20</v>
      </c>
      <c r="C35" s="976">
        <f>'Toe Drain Quantity'!C37</f>
        <v>2.5</v>
      </c>
      <c r="D35" s="977" t="str">
        <f t="shared" si="9"/>
        <v>:1</v>
      </c>
      <c r="E35" s="978">
        <f t="shared" si="10"/>
        <v>1</v>
      </c>
      <c r="F35" s="931" t="str">
        <f t="shared" si="11"/>
        <v>:1</v>
      </c>
      <c r="G35" s="824">
        <f>IF(C35&gt;0,'Toe Drain Quantity'!$F$3+'Toe Drain Quantity'!H37+'Toe Drain Quantity'!T37,0)</f>
        <v>1.1000000000000001</v>
      </c>
      <c r="H35" s="734">
        <f>'Toe Drain Quantity'!V37</f>
        <v>0.97500000000000009</v>
      </c>
      <c r="I35" s="734">
        <f t="shared" si="12"/>
        <v>4.8250000000000002</v>
      </c>
      <c r="J35" s="734">
        <f t="shared" si="13"/>
        <v>3.1900000000000008</v>
      </c>
      <c r="K35" s="734">
        <f t="shared" si="14"/>
        <v>3.1900000000000008</v>
      </c>
      <c r="L35" s="734">
        <f t="shared" si="15"/>
        <v>63.800000000000018</v>
      </c>
    </row>
    <row r="36" spans="1:12" ht="13.8" x14ac:dyDescent="0.3">
      <c r="A36" s="925">
        <f>'Toe Drain Quantity'!A38</f>
        <v>580</v>
      </c>
      <c r="B36" s="727">
        <f t="shared" si="8"/>
        <v>20</v>
      </c>
      <c r="C36" s="976">
        <f>'Toe Drain Quantity'!C38</f>
        <v>2.5</v>
      </c>
      <c r="D36" s="977" t="str">
        <f t="shared" si="9"/>
        <v>:1</v>
      </c>
      <c r="E36" s="978">
        <f t="shared" si="10"/>
        <v>1</v>
      </c>
      <c r="F36" s="931" t="str">
        <f t="shared" si="11"/>
        <v>:1</v>
      </c>
      <c r="G36" s="824">
        <f>IF(C36&gt;0,'Toe Drain Quantity'!$F$3+'Toe Drain Quantity'!H38+'Toe Drain Quantity'!T38,0)</f>
        <v>1.1000000000000001</v>
      </c>
      <c r="H36" s="734">
        <f>'Toe Drain Quantity'!V38</f>
        <v>0.97500000000000009</v>
      </c>
      <c r="I36" s="734">
        <f t="shared" si="12"/>
        <v>4.8250000000000002</v>
      </c>
      <c r="J36" s="734">
        <f t="shared" si="13"/>
        <v>3.1900000000000008</v>
      </c>
      <c r="K36" s="734">
        <f t="shared" si="14"/>
        <v>3.1900000000000008</v>
      </c>
      <c r="L36" s="734">
        <f t="shared" si="15"/>
        <v>63.800000000000018</v>
      </c>
    </row>
    <row r="37" spans="1:12" ht="13.8" x14ac:dyDescent="0.3">
      <c r="A37" s="925">
        <f>'Toe Drain Quantity'!A39</f>
        <v>600</v>
      </c>
      <c r="B37" s="727">
        <f t="shared" si="8"/>
        <v>20</v>
      </c>
      <c r="C37" s="976">
        <f>'Toe Drain Quantity'!C39</f>
        <v>2.5</v>
      </c>
      <c r="D37" s="977" t="str">
        <f t="shared" si="9"/>
        <v>:1</v>
      </c>
      <c r="E37" s="978">
        <f t="shared" si="10"/>
        <v>1</v>
      </c>
      <c r="F37" s="931" t="str">
        <f t="shared" si="11"/>
        <v>:1</v>
      </c>
      <c r="G37" s="824">
        <f>IF(C37&gt;0,'Toe Drain Quantity'!$F$3+'Toe Drain Quantity'!H39+'Toe Drain Quantity'!T39,0)</f>
        <v>1.1000000000000001</v>
      </c>
      <c r="H37" s="734">
        <f>'Toe Drain Quantity'!V39</f>
        <v>0.97500000000000009</v>
      </c>
      <c r="I37" s="734">
        <f t="shared" si="12"/>
        <v>4.8250000000000002</v>
      </c>
      <c r="J37" s="734">
        <f t="shared" si="13"/>
        <v>3.1900000000000008</v>
      </c>
      <c r="K37" s="734">
        <f t="shared" si="14"/>
        <v>3.1900000000000008</v>
      </c>
      <c r="L37" s="734">
        <f t="shared" si="15"/>
        <v>63.800000000000018</v>
      </c>
    </row>
    <row r="38" spans="1:12" ht="13.8" x14ac:dyDescent="0.3">
      <c r="A38" s="925">
        <f>'Toe Drain Quantity'!A40</f>
        <v>620</v>
      </c>
      <c r="B38" s="727">
        <f t="shared" si="8"/>
        <v>20</v>
      </c>
      <c r="C38" s="976">
        <f>'Toe Drain Quantity'!C40</f>
        <v>2.5</v>
      </c>
      <c r="D38" s="977" t="str">
        <f t="shared" si="9"/>
        <v>:1</v>
      </c>
      <c r="E38" s="978">
        <f t="shared" si="10"/>
        <v>1</v>
      </c>
      <c r="F38" s="931" t="str">
        <f t="shared" si="11"/>
        <v>:1</v>
      </c>
      <c r="G38" s="824">
        <f>IF(C38&gt;0,'Toe Drain Quantity'!$F$3+'Toe Drain Quantity'!H40+'Toe Drain Quantity'!T40,0)</f>
        <v>1.1000000000000001</v>
      </c>
      <c r="H38" s="734">
        <f>'Toe Drain Quantity'!V40</f>
        <v>0.97500000000000009</v>
      </c>
      <c r="I38" s="734">
        <f t="shared" si="12"/>
        <v>4.8250000000000002</v>
      </c>
      <c r="J38" s="734">
        <f t="shared" si="13"/>
        <v>3.1900000000000008</v>
      </c>
      <c r="K38" s="734">
        <f t="shared" si="14"/>
        <v>3.1900000000000008</v>
      </c>
      <c r="L38" s="734">
        <f t="shared" si="15"/>
        <v>63.800000000000018</v>
      </c>
    </row>
    <row r="39" spans="1:12" ht="13.8" x14ac:dyDescent="0.3">
      <c r="A39" s="925">
        <f>'Toe Drain Quantity'!A41</f>
        <v>640</v>
      </c>
      <c r="B39" s="727">
        <f t="shared" si="8"/>
        <v>20</v>
      </c>
      <c r="C39" s="976">
        <f>'Toe Drain Quantity'!C41</f>
        <v>2.5</v>
      </c>
      <c r="D39" s="977" t="str">
        <f t="shared" si="9"/>
        <v>:1</v>
      </c>
      <c r="E39" s="978">
        <f t="shared" si="10"/>
        <v>1</v>
      </c>
      <c r="F39" s="931" t="str">
        <f t="shared" si="11"/>
        <v>:1</v>
      </c>
      <c r="G39" s="824">
        <f>IF(C39&gt;0,'Toe Drain Quantity'!$F$3+'Toe Drain Quantity'!H41+'Toe Drain Quantity'!T41,0)</f>
        <v>1.1000000000000001</v>
      </c>
      <c r="H39" s="734">
        <f>'Toe Drain Quantity'!V41</f>
        <v>0.97500000000000009</v>
      </c>
      <c r="I39" s="734">
        <f t="shared" si="12"/>
        <v>4.8250000000000002</v>
      </c>
      <c r="J39" s="734">
        <f t="shared" si="13"/>
        <v>3.1900000000000008</v>
      </c>
      <c r="K39" s="734">
        <f t="shared" si="14"/>
        <v>3.1900000000000008</v>
      </c>
      <c r="L39" s="734">
        <f t="shared" si="15"/>
        <v>63.800000000000018</v>
      </c>
    </row>
    <row r="40" spans="1:12" ht="13.8" x14ac:dyDescent="0.3">
      <c r="A40" s="925">
        <f>'Toe Drain Quantity'!A42</f>
        <v>660</v>
      </c>
      <c r="B40" s="727">
        <f t="shared" si="8"/>
        <v>20</v>
      </c>
      <c r="C40" s="976">
        <f>'Toe Drain Quantity'!C42</f>
        <v>2.5</v>
      </c>
      <c r="D40" s="977" t="str">
        <f t="shared" si="9"/>
        <v>:1</v>
      </c>
      <c r="E40" s="978">
        <f t="shared" si="10"/>
        <v>1</v>
      </c>
      <c r="F40" s="931" t="str">
        <f t="shared" si="11"/>
        <v>:1</v>
      </c>
      <c r="G40" s="824">
        <f>IF(C40&gt;0,'Toe Drain Quantity'!$F$3+'Toe Drain Quantity'!H42+'Toe Drain Quantity'!T42,0)</f>
        <v>1.1000000000000001</v>
      </c>
      <c r="H40" s="734">
        <f>'Toe Drain Quantity'!V42</f>
        <v>0.97500000000000009</v>
      </c>
      <c r="I40" s="734">
        <f t="shared" si="12"/>
        <v>4.8250000000000002</v>
      </c>
      <c r="J40" s="734">
        <f t="shared" si="13"/>
        <v>3.1900000000000008</v>
      </c>
      <c r="K40" s="734">
        <f t="shared" si="14"/>
        <v>3.1900000000000008</v>
      </c>
      <c r="L40" s="734">
        <f t="shared" si="15"/>
        <v>63.800000000000018</v>
      </c>
    </row>
    <row r="41" spans="1:12" ht="13.8" x14ac:dyDescent="0.3">
      <c r="A41" s="925">
        <f>'Toe Drain Quantity'!A43</f>
        <v>680</v>
      </c>
      <c r="B41" s="727">
        <f t="shared" si="8"/>
        <v>20</v>
      </c>
      <c r="C41" s="976">
        <f>'Toe Drain Quantity'!C43</f>
        <v>2.5</v>
      </c>
      <c r="D41" s="977" t="str">
        <f t="shared" si="9"/>
        <v>:1</v>
      </c>
      <c r="E41" s="978">
        <f t="shared" si="10"/>
        <v>1</v>
      </c>
      <c r="F41" s="931" t="str">
        <f t="shared" si="11"/>
        <v>:1</v>
      </c>
      <c r="G41" s="824">
        <f>IF(C41&gt;0,'Toe Drain Quantity'!$F$3+'Toe Drain Quantity'!H43+'Toe Drain Quantity'!T43,0)</f>
        <v>1.1000000000000001</v>
      </c>
      <c r="H41" s="734">
        <f>'Toe Drain Quantity'!V43</f>
        <v>0.97500000000000009</v>
      </c>
      <c r="I41" s="734">
        <f t="shared" si="12"/>
        <v>4.8250000000000002</v>
      </c>
      <c r="J41" s="734">
        <f t="shared" si="13"/>
        <v>3.1900000000000008</v>
      </c>
      <c r="K41" s="734">
        <f t="shared" si="14"/>
        <v>3.1900000000000008</v>
      </c>
      <c r="L41" s="734">
        <f t="shared" si="15"/>
        <v>63.800000000000018</v>
      </c>
    </row>
    <row r="42" spans="1:12" ht="13.8" x14ac:dyDescent="0.3">
      <c r="A42" s="925">
        <f>'Toe Drain Quantity'!A44</f>
        <v>700</v>
      </c>
      <c r="B42" s="727">
        <f t="shared" si="8"/>
        <v>20</v>
      </c>
      <c r="C42" s="976">
        <f>'Toe Drain Quantity'!C44</f>
        <v>2.5</v>
      </c>
      <c r="D42" s="977" t="str">
        <f t="shared" si="9"/>
        <v>:1</v>
      </c>
      <c r="E42" s="978">
        <f t="shared" si="10"/>
        <v>1</v>
      </c>
      <c r="F42" s="931" t="str">
        <f t="shared" si="11"/>
        <v>:1</v>
      </c>
      <c r="G42" s="824">
        <f>IF(C42&gt;0,'Toe Drain Quantity'!$F$3+'Toe Drain Quantity'!H44+'Toe Drain Quantity'!T44,0)</f>
        <v>1.1000000000000001</v>
      </c>
      <c r="H42" s="734">
        <f>'Toe Drain Quantity'!V44</f>
        <v>0.97500000000000009</v>
      </c>
      <c r="I42" s="734">
        <f t="shared" si="12"/>
        <v>4.8250000000000002</v>
      </c>
      <c r="J42" s="734">
        <f t="shared" si="13"/>
        <v>3.1900000000000008</v>
      </c>
      <c r="K42" s="734">
        <f t="shared" si="14"/>
        <v>3.1900000000000008</v>
      </c>
      <c r="L42" s="734">
        <f t="shared" si="15"/>
        <v>63.800000000000018</v>
      </c>
    </row>
    <row r="43" spans="1:12" ht="13.8" x14ac:dyDescent="0.3">
      <c r="A43" s="925">
        <f>'Toe Drain Quantity'!A45</f>
        <v>720</v>
      </c>
      <c r="B43" s="727">
        <f t="shared" si="8"/>
        <v>20</v>
      </c>
      <c r="C43" s="976">
        <f>'Toe Drain Quantity'!C45</f>
        <v>2.5</v>
      </c>
      <c r="D43" s="977" t="str">
        <f t="shared" si="9"/>
        <v>:1</v>
      </c>
      <c r="E43" s="978">
        <f t="shared" si="10"/>
        <v>1</v>
      </c>
      <c r="F43" s="931" t="str">
        <f t="shared" si="11"/>
        <v>:1</v>
      </c>
      <c r="G43" s="824">
        <f>IF(C43&gt;0,'Toe Drain Quantity'!$F$3+'Toe Drain Quantity'!H45+'Toe Drain Quantity'!T45,0)</f>
        <v>1.1000000000000001</v>
      </c>
      <c r="H43" s="734">
        <f>'Toe Drain Quantity'!V45</f>
        <v>0.97500000000000009</v>
      </c>
      <c r="I43" s="734">
        <f t="shared" si="12"/>
        <v>4.8250000000000002</v>
      </c>
      <c r="J43" s="734">
        <f t="shared" si="13"/>
        <v>3.1900000000000008</v>
      </c>
      <c r="K43" s="734">
        <f t="shared" si="14"/>
        <v>3.1900000000000008</v>
      </c>
      <c r="L43" s="734">
        <f t="shared" si="15"/>
        <v>63.800000000000018</v>
      </c>
    </row>
    <row r="44" spans="1:12" ht="13.8" x14ac:dyDescent="0.3">
      <c r="A44" s="925">
        <f>'Toe Drain Quantity'!A46</f>
        <v>740</v>
      </c>
      <c r="B44" s="727">
        <f t="shared" si="8"/>
        <v>20</v>
      </c>
      <c r="C44" s="976">
        <f>'Toe Drain Quantity'!C46</f>
        <v>2.5</v>
      </c>
      <c r="D44" s="977" t="str">
        <f t="shared" si="9"/>
        <v>:1</v>
      </c>
      <c r="E44" s="978">
        <f t="shared" si="10"/>
        <v>1</v>
      </c>
      <c r="F44" s="931" t="str">
        <f t="shared" si="11"/>
        <v>:1</v>
      </c>
      <c r="G44" s="824">
        <f>IF(C44&gt;0,'Toe Drain Quantity'!$F$3+'Toe Drain Quantity'!H46+'Toe Drain Quantity'!T46,0)</f>
        <v>1.1000000000000001</v>
      </c>
      <c r="H44" s="734">
        <f>'Toe Drain Quantity'!V46</f>
        <v>0.97500000000000009</v>
      </c>
      <c r="I44" s="734">
        <f t="shared" si="12"/>
        <v>4.8250000000000002</v>
      </c>
      <c r="J44" s="734">
        <f t="shared" si="13"/>
        <v>3.1900000000000008</v>
      </c>
      <c r="K44" s="734">
        <f t="shared" si="14"/>
        <v>3.1900000000000008</v>
      </c>
      <c r="L44" s="734">
        <f t="shared" si="15"/>
        <v>63.800000000000018</v>
      </c>
    </row>
    <row r="45" spans="1:12" ht="13.8" x14ac:dyDescent="0.3">
      <c r="A45" s="743"/>
      <c r="B45" s="736"/>
      <c r="C45" s="569"/>
      <c r="D45" s="569"/>
      <c r="E45" s="569"/>
      <c r="F45" s="569"/>
      <c r="G45" s="979"/>
      <c r="H45" s="947"/>
      <c r="I45" s="947"/>
      <c r="J45" s="947"/>
      <c r="K45" s="947"/>
      <c r="L45" s="948">
        <f>SUM(L7:L44)</f>
        <v>2360.6000000000008</v>
      </c>
    </row>
    <row r="46" spans="1:12" ht="13.8" x14ac:dyDescent="0.3">
      <c r="A46" s="743"/>
      <c r="B46" s="736"/>
      <c r="C46" s="745"/>
      <c r="D46" s="745"/>
      <c r="E46" s="745"/>
      <c r="F46" s="745"/>
      <c r="G46" s="745"/>
      <c r="H46" s="569"/>
      <c r="I46" s="569"/>
      <c r="J46" s="569"/>
      <c r="K46" s="569"/>
      <c r="L46" s="569"/>
    </row>
    <row r="47" spans="1:12" ht="13.8" x14ac:dyDescent="0.3">
      <c r="A47" s="1414" t="s">
        <v>622</v>
      </c>
      <c r="B47" s="1414"/>
      <c r="C47" s="1414"/>
      <c r="D47" s="1414"/>
      <c r="E47" s="1414"/>
      <c r="F47" s="1414"/>
      <c r="G47" s="1414"/>
      <c r="H47" s="1414"/>
      <c r="I47" s="1414"/>
      <c r="J47" s="1414"/>
      <c r="K47" s="1414"/>
      <c r="L47" s="1414"/>
    </row>
    <row r="48" spans="1:12" ht="13.8" x14ac:dyDescent="0.3">
      <c r="A48" s="749"/>
      <c r="B48" s="749"/>
      <c r="C48" s="749"/>
      <c r="D48" s="749"/>
      <c r="E48" s="749"/>
      <c r="F48" s="749"/>
      <c r="G48" s="749"/>
      <c r="H48" s="569"/>
      <c r="I48" s="980"/>
      <c r="J48" s="569"/>
      <c r="K48" s="569"/>
      <c r="L48" s="569"/>
    </row>
    <row r="49" spans="1:12" ht="27.6" x14ac:dyDescent="0.3">
      <c r="A49" s="1415" t="s">
        <v>396</v>
      </c>
      <c r="B49" s="1416"/>
      <c r="C49" s="1416"/>
      <c r="D49" s="1416"/>
      <c r="E49" s="1416"/>
      <c r="F49" s="1417"/>
      <c r="G49" s="981" t="s">
        <v>623</v>
      </c>
      <c r="H49" s="981" t="s">
        <v>268</v>
      </c>
      <c r="I49" s="981"/>
      <c r="J49" s="982" t="s">
        <v>624</v>
      </c>
      <c r="K49" s="981" t="s">
        <v>625</v>
      </c>
      <c r="L49" s="983" t="s">
        <v>556</v>
      </c>
    </row>
    <row r="50" spans="1:12" ht="13.8" x14ac:dyDescent="0.3">
      <c r="A50" s="1418" t="s">
        <v>626</v>
      </c>
      <c r="B50" s="1419"/>
      <c r="C50" s="1419"/>
      <c r="D50" s="1419"/>
      <c r="E50" s="1419"/>
      <c r="F50" s="1420"/>
      <c r="G50" s="984">
        <f>ROUNDUP(SUM(B7:B19)/15,0)</f>
        <v>16</v>
      </c>
      <c r="H50" s="985">
        <v>10</v>
      </c>
      <c r="I50" s="985"/>
      <c r="J50" s="985">
        <f>(3+1)/2</f>
        <v>2</v>
      </c>
      <c r="K50" s="985">
        <v>1</v>
      </c>
      <c r="L50" s="985">
        <f>ROUND(G50*H50*J50*K50,2)</f>
        <v>320</v>
      </c>
    </row>
    <row r="51" spans="1:12" ht="13.8" x14ac:dyDescent="0.3">
      <c r="A51" s="1418" t="s">
        <v>627</v>
      </c>
      <c r="B51" s="1419"/>
      <c r="C51" s="1419"/>
      <c r="D51" s="1419"/>
      <c r="E51" s="1419"/>
      <c r="F51" s="1420"/>
      <c r="G51" s="985">
        <v>1</v>
      </c>
      <c r="H51" s="986">
        <f>60</f>
        <v>60</v>
      </c>
      <c r="I51" s="985"/>
      <c r="J51" s="985">
        <f>(3+1)/2</f>
        <v>2</v>
      </c>
      <c r="K51" s="985">
        <v>1</v>
      </c>
      <c r="L51" s="985">
        <f>ROUND(G51*H51*J51*K51,2)</f>
        <v>120</v>
      </c>
    </row>
    <row r="52" spans="1:12" ht="13.8" x14ac:dyDescent="0.3">
      <c r="A52" s="569"/>
      <c r="B52" s="569"/>
      <c r="C52" s="569"/>
      <c r="D52" s="569"/>
      <c r="E52" s="569"/>
      <c r="F52" s="569"/>
      <c r="G52" s="569"/>
      <c r="H52" s="569"/>
      <c r="I52" s="980"/>
      <c r="J52" s="569"/>
      <c r="K52" s="569"/>
      <c r="L52" s="569"/>
    </row>
    <row r="53" spans="1:12" ht="13.8" x14ac:dyDescent="0.3">
      <c r="A53" s="1413" t="s">
        <v>628</v>
      </c>
      <c r="B53" s="1413"/>
      <c r="C53" s="1413"/>
      <c r="D53" s="1413"/>
      <c r="E53" s="1413"/>
      <c r="F53" s="1413"/>
      <c r="G53" s="1413"/>
      <c r="H53" s="1413"/>
      <c r="I53" s="1413"/>
      <c r="J53" s="1413"/>
      <c r="K53" s="913" t="s">
        <v>114</v>
      </c>
      <c r="L53" s="948">
        <f>L45+L50+L51</f>
        <v>2800.6000000000008</v>
      </c>
    </row>
    <row r="54" spans="1:12" ht="13.8" x14ac:dyDescent="0.3">
      <c r="A54" s="913"/>
      <c r="B54" s="913"/>
      <c r="C54" s="913"/>
      <c r="D54" s="913"/>
      <c r="E54" s="913"/>
      <c r="F54" s="913"/>
      <c r="G54" s="913"/>
      <c r="H54" s="913"/>
      <c r="I54" s="913"/>
      <c r="J54" s="913"/>
      <c r="K54" s="913"/>
      <c r="L54" s="987"/>
    </row>
    <row r="55" spans="1:12" ht="13.8" x14ac:dyDescent="0.3">
      <c r="A55" s="569"/>
      <c r="B55" s="569"/>
      <c r="C55" s="569"/>
      <c r="D55" s="569"/>
      <c r="E55" s="569"/>
      <c r="F55" s="569"/>
      <c r="G55" s="569"/>
      <c r="H55" s="988"/>
      <c r="I55" s="844"/>
      <c r="J55" s="989"/>
      <c r="K55" s="829"/>
      <c r="L55" s="934"/>
    </row>
    <row r="56" spans="1:12" ht="27.6" x14ac:dyDescent="0.3">
      <c r="A56" s="569"/>
      <c r="B56" s="569"/>
      <c r="C56" s="569"/>
      <c r="D56" s="569"/>
      <c r="E56" s="569"/>
      <c r="F56" s="569"/>
      <c r="G56" s="569"/>
      <c r="H56" s="844" t="s">
        <v>444</v>
      </c>
      <c r="I56" s="844" t="s">
        <v>521</v>
      </c>
      <c r="J56" s="990">
        <f>CUTOFF3!C52</f>
        <v>0.4</v>
      </c>
      <c r="K56" s="829" t="s">
        <v>114</v>
      </c>
      <c r="L56" s="991">
        <f>L53*J56</f>
        <v>1120.2400000000005</v>
      </c>
    </row>
    <row r="57" spans="1:12" ht="13.8" x14ac:dyDescent="0.3">
      <c r="A57" s="569"/>
      <c r="B57" s="569"/>
      <c r="C57" s="569"/>
      <c r="D57" s="569"/>
      <c r="E57" s="569"/>
      <c r="F57" s="569"/>
      <c r="G57" s="569"/>
      <c r="H57" s="988" t="s">
        <v>572</v>
      </c>
      <c r="I57" s="844" t="s">
        <v>629</v>
      </c>
      <c r="J57" s="990">
        <v>0.35</v>
      </c>
      <c r="K57" s="829" t="s">
        <v>114</v>
      </c>
      <c r="L57" s="991">
        <f>L53*J57</f>
        <v>980.21000000000026</v>
      </c>
    </row>
    <row r="58" spans="1:12" ht="13.8" x14ac:dyDescent="0.3">
      <c r="A58" s="569"/>
      <c r="B58" s="569"/>
      <c r="C58" s="569"/>
      <c r="D58" s="569"/>
      <c r="E58" s="569"/>
      <c r="F58" s="569"/>
      <c r="G58" s="569"/>
      <c r="H58" s="988" t="s">
        <v>595</v>
      </c>
      <c r="I58" s="844" t="s">
        <v>598</v>
      </c>
      <c r="J58" s="990">
        <v>0.25</v>
      </c>
      <c r="K58" s="829" t="s">
        <v>114</v>
      </c>
      <c r="L58" s="991">
        <f>L53*J58</f>
        <v>700.1500000000002</v>
      </c>
    </row>
    <row r="59" spans="1:12" ht="13.8" x14ac:dyDescent="0.3">
      <c r="A59" s="569"/>
      <c r="B59" s="569"/>
      <c r="C59" s="569"/>
      <c r="D59" s="569"/>
      <c r="E59" s="569"/>
      <c r="F59" s="569"/>
      <c r="G59" s="569"/>
      <c r="H59" s="988"/>
      <c r="I59" s="844"/>
      <c r="J59" s="989"/>
      <c r="K59" s="829"/>
      <c r="L59" s="934"/>
    </row>
    <row r="60" spans="1:12" ht="13.8" x14ac:dyDescent="0.3">
      <c r="A60" s="569"/>
      <c r="B60" s="569"/>
      <c r="C60" s="569"/>
      <c r="D60" s="569"/>
      <c r="E60" s="569"/>
      <c r="F60" s="569"/>
      <c r="G60" s="569"/>
      <c r="H60" s="844"/>
      <c r="I60" s="844"/>
      <c r="J60" s="989"/>
      <c r="K60" s="829"/>
      <c r="L60" s="934"/>
    </row>
    <row r="61" spans="1:12" x14ac:dyDescent="0.25">
      <c r="D61" s="752" t="e">
        <f>'Toe Drain Quantity'!I54</f>
        <v>#REF!</v>
      </c>
      <c r="J61" s="791">
        <f>'Toe Drain Quantity'!Q54</f>
        <v>0</v>
      </c>
    </row>
    <row r="62" spans="1:12" x14ac:dyDescent="0.25">
      <c r="D62" s="752" t="e">
        <f>'Toe Drain Quantity'!I55</f>
        <v>#REF!</v>
      </c>
      <c r="J62" s="791">
        <f>'Toe Drain Quantity'!Q55</f>
        <v>0</v>
      </c>
    </row>
    <row r="63" spans="1:12" x14ac:dyDescent="0.25">
      <c r="D63" s="752" t="e">
        <f>'Toe Drain Quantity'!I56</f>
        <v>#REF!</v>
      </c>
      <c r="J63" s="791">
        <f>'Toe Drain Quantity'!Q56</f>
        <v>0</v>
      </c>
    </row>
  </sheetData>
  <customSheetViews>
    <customSheetView guid="{5161B42F-120B-436B-80F4-9BB578173AD5}" topLeftCell="A13">
      <selection activeCell="J35" sqref="J35"/>
      <pageMargins left="0.70866141732283505" right="0.70866141732283505" top="0.74803149606299202" bottom="0.74803149606299202" header="0.31496062992126" footer="0.31496062992126"/>
      <printOptions horizontalCentered="1"/>
      <pageSetup fitToWidth="0" fitToHeight="0" orientation="portrait" r:id="rId1"/>
      <headerFooter>
        <oddFooter>&amp;R&amp;P</oddFooter>
      </headerFooter>
    </customSheetView>
  </customSheetViews>
  <mergeCells count="12">
    <mergeCell ref="A53:J53"/>
    <mergeCell ref="A1:L1"/>
    <mergeCell ref="J2:L2"/>
    <mergeCell ref="A3:L3"/>
    <mergeCell ref="C5:D5"/>
    <mergeCell ref="E5:F5"/>
    <mergeCell ref="C6:D6"/>
    <mergeCell ref="E6:F6"/>
    <mergeCell ref="A47:L47"/>
    <mergeCell ref="A49:F49"/>
    <mergeCell ref="A50:F50"/>
    <mergeCell ref="A51:F51"/>
  </mergeCells>
  <printOptions horizontalCentered="1"/>
  <pageMargins left="0.70866141732283505" right="0.70866141732283505" top="0.74803149606299202" bottom="0.74803149606299202" header="0.31496062992126" footer="0.31496062992126"/>
  <pageSetup fitToWidth="0" fitToHeight="0" orientation="portrait" r:id="rId2"/>
  <headerFooter>
    <oddFooter>&amp;R&amp;P</oddFooter>
  </headerFooter>
  <rowBreaks count="1" manualBreakCount="1">
    <brk id="3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A57"/>
  <sheetViews>
    <sheetView view="pageBreakPreview" zoomScale="60" zoomScaleNormal="85" workbookViewId="0">
      <selection activeCell="J5" sqref="J5"/>
    </sheetView>
  </sheetViews>
  <sheetFormatPr defaultRowHeight="13.2" x14ac:dyDescent="0.25"/>
  <cols>
    <col min="1" max="6" width="9.33203125" style="449" bestFit="1" customWidth="1"/>
    <col min="7" max="7" width="8.5546875" style="449" customWidth="1"/>
    <col min="8" max="8" width="10.33203125" style="449" customWidth="1"/>
    <col min="9" max="9" width="10.88671875" style="449" bestFit="1" customWidth="1"/>
    <col min="10" max="10" width="8.88671875" style="449"/>
    <col min="11" max="11" width="9.33203125" style="449" bestFit="1" customWidth="1"/>
    <col min="12" max="263" width="8.88671875" style="449"/>
    <col min="264" max="264" width="10.33203125" style="449" customWidth="1"/>
    <col min="265" max="519" width="8.88671875" style="449"/>
    <col min="520" max="520" width="10.33203125" style="449" customWidth="1"/>
    <col min="521" max="775" width="8.88671875" style="449"/>
    <col min="776" max="776" width="10.33203125" style="449" customWidth="1"/>
    <col min="777" max="1031" width="8.88671875" style="449"/>
    <col min="1032" max="1032" width="10.33203125" style="449" customWidth="1"/>
    <col min="1033" max="1287" width="8.88671875" style="449"/>
    <col min="1288" max="1288" width="10.33203125" style="449" customWidth="1"/>
    <col min="1289" max="1543" width="8.88671875" style="449"/>
    <col min="1544" max="1544" width="10.33203125" style="449" customWidth="1"/>
    <col min="1545" max="1799" width="8.88671875" style="449"/>
    <col min="1800" max="1800" width="10.33203125" style="449" customWidth="1"/>
    <col min="1801" max="2055" width="8.88671875" style="449"/>
    <col min="2056" max="2056" width="10.33203125" style="449" customWidth="1"/>
    <col min="2057" max="2311" width="8.88671875" style="449"/>
    <col min="2312" max="2312" width="10.33203125" style="449" customWidth="1"/>
    <col min="2313" max="2567" width="8.88671875" style="449"/>
    <col min="2568" max="2568" width="10.33203125" style="449" customWidth="1"/>
    <col min="2569" max="2823" width="8.88671875" style="449"/>
    <col min="2824" max="2824" width="10.33203125" style="449" customWidth="1"/>
    <col min="2825" max="3079" width="8.88671875" style="449"/>
    <col min="3080" max="3080" width="10.33203125" style="449" customWidth="1"/>
    <col min="3081" max="3335" width="8.88671875" style="449"/>
    <col min="3336" max="3336" width="10.33203125" style="449" customWidth="1"/>
    <col min="3337" max="3591" width="8.88671875" style="449"/>
    <col min="3592" max="3592" width="10.33203125" style="449" customWidth="1"/>
    <col min="3593" max="3847" width="8.88671875" style="449"/>
    <col min="3848" max="3848" width="10.33203125" style="449" customWidth="1"/>
    <col min="3849" max="4103" width="8.88671875" style="449"/>
    <col min="4104" max="4104" width="10.33203125" style="449" customWidth="1"/>
    <col min="4105" max="4359" width="8.88671875" style="449"/>
    <col min="4360" max="4360" width="10.33203125" style="449" customWidth="1"/>
    <col min="4361" max="4615" width="8.88671875" style="449"/>
    <col min="4616" max="4616" width="10.33203125" style="449" customWidth="1"/>
    <col min="4617" max="4871" width="8.88671875" style="449"/>
    <col min="4872" max="4872" width="10.33203125" style="449" customWidth="1"/>
    <col min="4873" max="5127" width="8.88671875" style="449"/>
    <col min="5128" max="5128" width="10.33203125" style="449" customWidth="1"/>
    <col min="5129" max="5383" width="8.88671875" style="449"/>
    <col min="5384" max="5384" width="10.33203125" style="449" customWidth="1"/>
    <col min="5385" max="5639" width="8.88671875" style="449"/>
    <col min="5640" max="5640" width="10.33203125" style="449" customWidth="1"/>
    <col min="5641" max="5895" width="8.88671875" style="449"/>
    <col min="5896" max="5896" width="10.33203125" style="449" customWidth="1"/>
    <col min="5897" max="6151" width="8.88671875" style="449"/>
    <col min="6152" max="6152" width="10.33203125" style="449" customWidth="1"/>
    <col min="6153" max="6407" width="8.88671875" style="449"/>
    <col min="6408" max="6408" width="10.33203125" style="449" customWidth="1"/>
    <col min="6409" max="6663" width="8.88671875" style="449"/>
    <col min="6664" max="6664" width="10.33203125" style="449" customWidth="1"/>
    <col min="6665" max="6919" width="8.88671875" style="449"/>
    <col min="6920" max="6920" width="10.33203125" style="449" customWidth="1"/>
    <col min="6921" max="7175" width="8.88671875" style="449"/>
    <col min="7176" max="7176" width="10.33203125" style="449" customWidth="1"/>
    <col min="7177" max="7431" width="8.88671875" style="449"/>
    <col min="7432" max="7432" width="10.33203125" style="449" customWidth="1"/>
    <col min="7433" max="7687" width="8.88671875" style="449"/>
    <col min="7688" max="7688" width="10.33203125" style="449" customWidth="1"/>
    <col min="7689" max="7943" width="8.88671875" style="449"/>
    <col min="7944" max="7944" width="10.33203125" style="449" customWidth="1"/>
    <col min="7945" max="8199" width="8.88671875" style="449"/>
    <col min="8200" max="8200" width="10.33203125" style="449" customWidth="1"/>
    <col min="8201" max="8455" width="8.88671875" style="449"/>
    <col min="8456" max="8456" width="10.33203125" style="449" customWidth="1"/>
    <col min="8457" max="8711" width="8.88671875" style="449"/>
    <col min="8712" max="8712" width="10.33203125" style="449" customWidth="1"/>
    <col min="8713" max="8967" width="8.88671875" style="449"/>
    <col min="8968" max="8968" width="10.33203125" style="449" customWidth="1"/>
    <col min="8969" max="9223" width="8.88671875" style="449"/>
    <col min="9224" max="9224" width="10.33203125" style="449" customWidth="1"/>
    <col min="9225" max="9479" width="8.88671875" style="449"/>
    <col min="9480" max="9480" width="10.33203125" style="449" customWidth="1"/>
    <col min="9481" max="9735" width="8.88671875" style="449"/>
    <col min="9736" max="9736" width="10.33203125" style="449" customWidth="1"/>
    <col min="9737" max="9991" width="8.88671875" style="449"/>
    <col min="9992" max="9992" width="10.33203125" style="449" customWidth="1"/>
    <col min="9993" max="10247" width="8.88671875" style="449"/>
    <col min="10248" max="10248" width="10.33203125" style="449" customWidth="1"/>
    <col min="10249" max="10503" width="8.88671875" style="449"/>
    <col min="10504" max="10504" width="10.33203125" style="449" customWidth="1"/>
    <col min="10505" max="10759" width="8.88671875" style="449"/>
    <col min="10760" max="10760" width="10.33203125" style="449" customWidth="1"/>
    <col min="10761" max="11015" width="8.88671875" style="449"/>
    <col min="11016" max="11016" width="10.33203125" style="449" customWidth="1"/>
    <col min="11017" max="11271" width="8.88671875" style="449"/>
    <col min="11272" max="11272" width="10.33203125" style="449" customWidth="1"/>
    <col min="11273" max="11527" width="8.88671875" style="449"/>
    <col min="11528" max="11528" width="10.33203125" style="449" customWidth="1"/>
    <col min="11529" max="11783" width="8.88671875" style="449"/>
    <col min="11784" max="11784" width="10.33203125" style="449" customWidth="1"/>
    <col min="11785" max="12039" width="8.88671875" style="449"/>
    <col min="12040" max="12040" width="10.33203125" style="449" customWidth="1"/>
    <col min="12041" max="12295" width="8.88671875" style="449"/>
    <col min="12296" max="12296" width="10.33203125" style="449" customWidth="1"/>
    <col min="12297" max="12551" width="8.88671875" style="449"/>
    <col min="12552" max="12552" width="10.33203125" style="449" customWidth="1"/>
    <col min="12553" max="12807" width="8.88671875" style="449"/>
    <col min="12808" max="12808" width="10.33203125" style="449" customWidth="1"/>
    <col min="12809" max="13063" width="8.88671875" style="449"/>
    <col min="13064" max="13064" width="10.33203125" style="449" customWidth="1"/>
    <col min="13065" max="13319" width="8.88671875" style="449"/>
    <col min="13320" max="13320" width="10.33203125" style="449" customWidth="1"/>
    <col min="13321" max="13575" width="8.88671875" style="449"/>
    <col min="13576" max="13576" width="10.33203125" style="449" customWidth="1"/>
    <col min="13577" max="13831" width="8.88671875" style="449"/>
    <col min="13832" max="13832" width="10.33203125" style="449" customWidth="1"/>
    <col min="13833" max="14087" width="8.88671875" style="449"/>
    <col min="14088" max="14088" width="10.33203125" style="449" customWidth="1"/>
    <col min="14089" max="14343" width="8.88671875" style="449"/>
    <col min="14344" max="14344" width="10.33203125" style="449" customWidth="1"/>
    <col min="14345" max="14599" width="8.88671875" style="449"/>
    <col min="14600" max="14600" width="10.33203125" style="449" customWidth="1"/>
    <col min="14601" max="14855" width="8.88671875" style="449"/>
    <col min="14856" max="14856" width="10.33203125" style="449" customWidth="1"/>
    <col min="14857" max="15111" width="8.88671875" style="449"/>
    <col min="15112" max="15112" width="10.33203125" style="449" customWidth="1"/>
    <col min="15113" max="15367" width="8.88671875" style="449"/>
    <col min="15368" max="15368" width="10.33203125" style="449" customWidth="1"/>
    <col min="15369" max="15623" width="8.88671875" style="449"/>
    <col min="15624" max="15624" width="10.33203125" style="449" customWidth="1"/>
    <col min="15625" max="15879" width="8.88671875" style="449"/>
    <col min="15880" max="15880" width="10.33203125" style="449" customWidth="1"/>
    <col min="15881" max="16135" width="8.88671875" style="449"/>
    <col min="16136" max="16136" width="10.33203125" style="449" customWidth="1"/>
    <col min="16137" max="16384" width="8.88671875" style="449"/>
  </cols>
  <sheetData>
    <row r="1" spans="1:27" ht="15.6" x14ac:dyDescent="0.3">
      <c r="A1" s="1248" t="str">
        <f>'Toe Drain Ex'!A1:L1</f>
        <v>ROSHNABAD BARRAGE</v>
      </c>
      <c r="B1" s="1248"/>
      <c r="C1" s="1248"/>
      <c r="D1" s="1248"/>
      <c r="E1" s="1248"/>
      <c r="F1" s="1248"/>
      <c r="G1" s="1248"/>
      <c r="H1" s="1248"/>
      <c r="I1" s="992"/>
      <c r="J1" s="992"/>
      <c r="K1" s="992"/>
      <c r="L1" s="992"/>
      <c r="M1" s="992"/>
      <c r="N1" s="992"/>
      <c r="O1" s="992"/>
    </row>
    <row r="2" spans="1:27" ht="14.4" x14ac:dyDescent="0.3">
      <c r="A2" s="697"/>
      <c r="B2" s="698"/>
      <c r="C2" s="698"/>
      <c r="D2" s="699"/>
      <c r="E2" s="698"/>
      <c r="F2" s="992"/>
      <c r="G2" s="703"/>
      <c r="H2" s="698"/>
      <c r="I2" s="992"/>
      <c r="J2" s="992"/>
      <c r="K2" s="992"/>
      <c r="L2" s="992"/>
      <c r="M2" s="992"/>
      <c r="N2" s="992"/>
      <c r="O2" s="992"/>
    </row>
    <row r="3" spans="1:27" ht="15.6" x14ac:dyDescent="0.3">
      <c r="A3" s="1421" t="s">
        <v>630</v>
      </c>
      <c r="B3" s="1421"/>
      <c r="C3" s="1421"/>
      <c r="D3" s="1421"/>
      <c r="E3" s="1421"/>
      <c r="F3" s="1421"/>
      <c r="G3" s="1421"/>
      <c r="H3" s="1421"/>
      <c r="I3" s="949"/>
      <c r="J3" s="949"/>
      <c r="K3" s="993"/>
      <c r="L3" s="993"/>
      <c r="M3" s="993"/>
      <c r="N3" s="993"/>
      <c r="O3" s="993"/>
    </row>
    <row r="4" spans="1:27" ht="13.8" x14ac:dyDescent="0.3">
      <c r="A4" s="994"/>
      <c r="B4" s="994"/>
      <c r="C4" s="994"/>
      <c r="D4" s="994"/>
      <c r="E4" s="994"/>
      <c r="F4" s="994"/>
      <c r="G4" s="994"/>
      <c r="H4" s="994"/>
      <c r="I4" s="949"/>
      <c r="J4" s="949"/>
      <c r="K4" s="993"/>
      <c r="L4" s="993"/>
      <c r="M4" s="993"/>
      <c r="N4" s="993"/>
      <c r="O4" s="993"/>
    </row>
    <row r="5" spans="1:27" ht="82.8" x14ac:dyDescent="0.3">
      <c r="A5" s="995" t="s">
        <v>431</v>
      </c>
      <c r="B5" s="995" t="s">
        <v>631</v>
      </c>
      <c r="C5" s="995" t="s">
        <v>632</v>
      </c>
      <c r="D5" s="995" t="s">
        <v>633</v>
      </c>
      <c r="E5" s="996" t="s">
        <v>634</v>
      </c>
      <c r="F5" s="996" t="s">
        <v>268</v>
      </c>
      <c r="G5" s="995" t="s">
        <v>635</v>
      </c>
      <c r="H5" s="995" t="s">
        <v>636</v>
      </c>
      <c r="I5" s="997"/>
      <c r="J5" s="992" t="s">
        <v>416</v>
      </c>
      <c r="K5" s="998">
        <f>B.T.!C4</f>
        <v>595</v>
      </c>
      <c r="L5" s="992"/>
      <c r="M5" s="992"/>
      <c r="N5" s="992"/>
      <c r="O5" s="992"/>
    </row>
    <row r="6" spans="1:27" s="615" customFormat="1" ht="15.6" x14ac:dyDescent="0.3">
      <c r="A6" s="999">
        <f>'e-w'!B31</f>
        <v>0</v>
      </c>
      <c r="B6" s="1000">
        <f>'e-w'!C31</f>
        <v>477.834</v>
      </c>
      <c r="C6" s="999">
        <f t="shared" ref="C6:C7" si="0">B6-E6</f>
        <v>395.81780000000003</v>
      </c>
      <c r="D6" s="1001">
        <f t="shared" ref="D6:D7" si="1">IF(B6&gt;0,IF(B6&lt;$K$5,$K$5-B6,0),0)</f>
        <v>117.166</v>
      </c>
      <c r="E6" s="999">
        <f t="shared" ref="E6" si="2">D6*0.7</f>
        <v>82.016199999999998</v>
      </c>
      <c r="F6" s="999">
        <v>0</v>
      </c>
      <c r="G6" s="1001">
        <f t="shared" ref="G6:G7" si="3">ROUNDUP(2*F6/6,0)</f>
        <v>0</v>
      </c>
      <c r="H6" s="999">
        <f t="shared" ref="H6" si="4">ROUND(E6*G6,2)</f>
        <v>0</v>
      </c>
      <c r="I6" s="659"/>
      <c r="J6" s="660"/>
      <c r="K6" s="660"/>
      <c r="L6" s="659"/>
      <c r="M6" s="660"/>
      <c r="N6" s="659"/>
      <c r="O6" s="659"/>
      <c r="P6" s="659"/>
      <c r="Q6" s="659"/>
      <c r="R6" s="659"/>
      <c r="S6" s="659"/>
      <c r="T6" s="659"/>
      <c r="U6" s="659"/>
      <c r="V6" s="660"/>
      <c r="W6" s="660"/>
      <c r="X6" s="660"/>
      <c r="Y6" s="660"/>
      <c r="Z6" s="661"/>
      <c r="AA6" s="661"/>
    </row>
    <row r="7" spans="1:27" s="615" customFormat="1" ht="15.6" x14ac:dyDescent="0.3">
      <c r="A7" s="999">
        <f>'e-w'!B32</f>
        <v>20</v>
      </c>
      <c r="B7" s="1000">
        <f>'e-w'!C32</f>
        <v>477.37495931758531</v>
      </c>
      <c r="C7" s="999">
        <f t="shared" si="0"/>
        <v>395.03743083989502</v>
      </c>
      <c r="D7" s="1001">
        <f t="shared" si="1"/>
        <v>117.62504068241469</v>
      </c>
      <c r="E7" s="999">
        <f>D7*0.7</f>
        <v>82.337528477690284</v>
      </c>
      <c r="F7" s="999">
        <f t="shared" ref="F7" si="5">IF(OR(A7-A6&lt;0,A7-A6&gt;30),0,A7-A6)</f>
        <v>20</v>
      </c>
      <c r="G7" s="1001">
        <f t="shared" si="3"/>
        <v>7</v>
      </c>
      <c r="H7" s="999">
        <f>ROUND(E7*G7,2)</f>
        <v>576.36</v>
      </c>
      <c r="I7" s="659"/>
      <c r="J7" s="660"/>
      <c r="K7" s="660"/>
      <c r="L7" s="659"/>
      <c r="M7" s="660"/>
      <c r="N7" s="659"/>
      <c r="O7" s="659"/>
      <c r="P7" s="659"/>
      <c r="Q7" s="659"/>
      <c r="R7" s="659"/>
      <c r="S7" s="659"/>
      <c r="T7" s="659"/>
      <c r="U7" s="659"/>
      <c r="V7" s="660"/>
      <c r="W7" s="660"/>
      <c r="X7" s="660"/>
      <c r="Y7" s="660"/>
      <c r="Z7" s="661"/>
      <c r="AA7" s="661"/>
    </row>
    <row r="8" spans="1:27" s="615" customFormat="1" ht="15.6" x14ac:dyDescent="0.3">
      <c r="A8" s="999">
        <f>'e-w'!B33</f>
        <v>40</v>
      </c>
      <c r="B8" s="1000">
        <f>'e-w'!C33</f>
        <v>476.60178899082564</v>
      </c>
      <c r="C8" s="999">
        <f t="shared" ref="C8:C43" si="6">B8-E8</f>
        <v>393.72304128440362</v>
      </c>
      <c r="D8" s="1001">
        <f t="shared" ref="D8:D43" si="7">IF(B8&gt;0,IF(B8&lt;$K$5,$K$5-B8,0),0)</f>
        <v>118.39821100917436</v>
      </c>
      <c r="E8" s="999">
        <f t="shared" ref="E8:E43" si="8">D8*0.7</f>
        <v>82.878747706422047</v>
      </c>
      <c r="F8" s="999">
        <f t="shared" ref="F8:F43" si="9">IF(OR(A8-A7&lt;0,A8-A7&gt;30),0,A8-A7)</f>
        <v>20</v>
      </c>
      <c r="G8" s="1001">
        <f t="shared" ref="G8:G43" si="10">ROUNDUP(2*F8/6,0)</f>
        <v>7</v>
      </c>
      <c r="H8" s="999">
        <f t="shared" ref="H8:H43" si="11">ROUND(E8*G8,2)</f>
        <v>580.15</v>
      </c>
      <c r="I8" s="659"/>
      <c r="J8" s="660"/>
      <c r="K8" s="660"/>
      <c r="L8" s="659"/>
      <c r="M8" s="660"/>
      <c r="N8" s="659"/>
      <c r="O8" s="659"/>
      <c r="P8" s="659"/>
      <c r="Q8" s="659"/>
      <c r="R8" s="659"/>
      <c r="S8" s="659"/>
      <c r="T8" s="659"/>
      <c r="U8" s="659"/>
      <c r="V8" s="660"/>
      <c r="W8" s="660"/>
      <c r="X8" s="660"/>
      <c r="Y8" s="660"/>
      <c r="Z8" s="661"/>
      <c r="AA8" s="661"/>
    </row>
    <row r="9" spans="1:27" s="615" customFormat="1" ht="15.6" x14ac:dyDescent="0.3">
      <c r="A9" s="999">
        <f>'e-w'!B34</f>
        <v>60</v>
      </c>
      <c r="B9" s="1000">
        <f>'e-w'!C34</f>
        <v>476.11086614173229</v>
      </c>
      <c r="C9" s="999">
        <f t="shared" si="6"/>
        <v>392.88847244094489</v>
      </c>
      <c r="D9" s="1001">
        <f t="shared" si="7"/>
        <v>118.88913385826771</v>
      </c>
      <c r="E9" s="999">
        <f t="shared" si="8"/>
        <v>83.222393700787393</v>
      </c>
      <c r="F9" s="999">
        <f t="shared" si="9"/>
        <v>20</v>
      </c>
      <c r="G9" s="1001">
        <f t="shared" si="10"/>
        <v>7</v>
      </c>
      <c r="H9" s="999">
        <f t="shared" si="11"/>
        <v>582.55999999999995</v>
      </c>
      <c r="I9" s="659"/>
      <c r="J9" s="660"/>
      <c r="K9" s="660"/>
      <c r="L9" s="659"/>
      <c r="M9" s="660"/>
      <c r="N9" s="659"/>
      <c r="O9" s="659"/>
      <c r="P9" s="659"/>
      <c r="Q9" s="659"/>
      <c r="R9" s="659"/>
      <c r="S9" s="659"/>
      <c r="T9" s="659"/>
      <c r="U9" s="659"/>
      <c r="V9" s="660"/>
      <c r="W9" s="660"/>
      <c r="X9" s="660"/>
      <c r="Y9" s="660"/>
      <c r="Z9" s="661"/>
      <c r="AA9" s="661"/>
    </row>
    <row r="10" spans="1:27" s="615" customFormat="1" ht="15.6" x14ac:dyDescent="0.3">
      <c r="A10" s="999">
        <f>'e-w'!B35</f>
        <v>80</v>
      </c>
      <c r="B10" s="1000">
        <f>'e-w'!C35</f>
        <v>475.51279921259845</v>
      </c>
      <c r="C10" s="999">
        <f t="shared" si="6"/>
        <v>391.8717586614174</v>
      </c>
      <c r="D10" s="1001">
        <f t="shared" si="7"/>
        <v>119.48720078740155</v>
      </c>
      <c r="E10" s="999">
        <f t="shared" si="8"/>
        <v>83.641040551181078</v>
      </c>
      <c r="F10" s="999">
        <f t="shared" si="9"/>
        <v>20</v>
      </c>
      <c r="G10" s="1001">
        <f t="shared" si="10"/>
        <v>7</v>
      </c>
      <c r="H10" s="999">
        <f t="shared" si="11"/>
        <v>585.49</v>
      </c>
      <c r="I10" s="659"/>
      <c r="J10" s="660"/>
      <c r="K10" s="660"/>
      <c r="L10" s="659"/>
      <c r="M10" s="660"/>
      <c r="N10" s="659"/>
      <c r="O10" s="659"/>
      <c r="P10" s="659"/>
      <c r="Q10" s="659"/>
      <c r="R10" s="659"/>
      <c r="S10" s="659"/>
      <c r="T10" s="659"/>
      <c r="U10" s="659"/>
      <c r="V10" s="660"/>
      <c r="W10" s="660"/>
      <c r="X10" s="660"/>
      <c r="Y10" s="660"/>
      <c r="Z10" s="661"/>
      <c r="AA10" s="661"/>
    </row>
    <row r="11" spans="1:27" s="615" customFormat="1" ht="15.6" x14ac:dyDescent="0.3">
      <c r="A11" s="999">
        <f>'e-w'!B36</f>
        <v>100</v>
      </c>
      <c r="B11" s="1000">
        <f>'e-w'!C36</f>
        <v>474.85713612565439</v>
      </c>
      <c r="C11" s="999">
        <f t="shared" si="6"/>
        <v>390.75713141361246</v>
      </c>
      <c r="D11" s="1001">
        <f t="shared" si="7"/>
        <v>120.14286387434561</v>
      </c>
      <c r="E11" s="999">
        <f t="shared" si="8"/>
        <v>84.100004712041923</v>
      </c>
      <c r="F11" s="999">
        <f t="shared" si="9"/>
        <v>20</v>
      </c>
      <c r="G11" s="1001">
        <f t="shared" si="10"/>
        <v>7</v>
      </c>
      <c r="H11" s="999">
        <f t="shared" si="11"/>
        <v>588.70000000000005</v>
      </c>
      <c r="I11" s="659"/>
      <c r="J11" s="660"/>
      <c r="K11" s="660"/>
      <c r="L11" s="659"/>
      <c r="M11" s="660"/>
      <c r="N11" s="659"/>
      <c r="O11" s="659"/>
      <c r="P11" s="659"/>
      <c r="Q11" s="659"/>
      <c r="R11" s="659"/>
      <c r="S11" s="659"/>
      <c r="T11" s="659"/>
      <c r="U11" s="659"/>
      <c r="V11" s="660"/>
      <c r="W11" s="660"/>
      <c r="X11" s="660"/>
      <c r="Y11" s="660"/>
      <c r="Z11" s="661"/>
      <c r="AA11" s="661"/>
    </row>
    <row r="12" spans="1:27" s="615" customFormat="1" ht="15.6" x14ac:dyDescent="0.3">
      <c r="A12" s="999">
        <f>'e-w'!B37</f>
        <v>120</v>
      </c>
      <c r="B12" s="1000">
        <f>'e-w'!C37</f>
        <v>474.7220789473684</v>
      </c>
      <c r="C12" s="999">
        <f t="shared" si="6"/>
        <v>390.52753421052626</v>
      </c>
      <c r="D12" s="1001">
        <f t="shared" si="7"/>
        <v>120.2779210526316</v>
      </c>
      <c r="E12" s="999">
        <f t="shared" si="8"/>
        <v>84.194544736842118</v>
      </c>
      <c r="F12" s="999">
        <f t="shared" si="9"/>
        <v>20</v>
      </c>
      <c r="G12" s="1001">
        <f t="shared" si="10"/>
        <v>7</v>
      </c>
      <c r="H12" s="999">
        <f t="shared" si="11"/>
        <v>589.36</v>
      </c>
      <c r="I12" s="659"/>
      <c r="J12" s="660"/>
      <c r="K12" s="660"/>
      <c r="L12" s="659"/>
      <c r="M12" s="660"/>
      <c r="N12" s="659"/>
      <c r="O12" s="659"/>
      <c r="P12" s="659"/>
      <c r="Q12" s="659"/>
      <c r="R12" s="659"/>
      <c r="S12" s="659"/>
      <c r="T12" s="659"/>
      <c r="U12" s="659"/>
      <c r="V12" s="660"/>
      <c r="W12" s="660"/>
      <c r="X12" s="660"/>
      <c r="Y12" s="660"/>
      <c r="Z12" s="661"/>
      <c r="AA12" s="661"/>
    </row>
    <row r="13" spans="1:27" s="615" customFormat="1" ht="15.6" x14ac:dyDescent="0.3">
      <c r="A13" s="999">
        <f>'e-w'!B38</f>
        <v>140</v>
      </c>
      <c r="B13" s="1000">
        <f>'e-w'!C38</f>
        <v>474.76499999999999</v>
      </c>
      <c r="C13" s="999">
        <f t="shared" si="6"/>
        <v>390.60050000000001</v>
      </c>
      <c r="D13" s="1001">
        <f t="shared" si="7"/>
        <v>120.23500000000001</v>
      </c>
      <c r="E13" s="999">
        <f t="shared" si="8"/>
        <v>84.164500000000004</v>
      </c>
      <c r="F13" s="999">
        <f t="shared" si="9"/>
        <v>20</v>
      </c>
      <c r="G13" s="1001">
        <f t="shared" si="10"/>
        <v>7</v>
      </c>
      <c r="H13" s="999">
        <f t="shared" si="11"/>
        <v>589.15</v>
      </c>
      <c r="I13" s="659"/>
      <c r="J13" s="660"/>
      <c r="K13" s="660"/>
      <c r="L13" s="659"/>
      <c r="M13" s="660"/>
      <c r="N13" s="659"/>
      <c r="O13" s="659"/>
      <c r="P13" s="659"/>
      <c r="Q13" s="659"/>
      <c r="R13" s="659"/>
      <c r="S13" s="659"/>
      <c r="T13" s="659"/>
      <c r="U13" s="659"/>
      <c r="V13" s="660"/>
      <c r="W13" s="660"/>
      <c r="X13" s="660"/>
      <c r="Y13" s="660"/>
      <c r="Z13" s="661"/>
      <c r="AA13" s="661"/>
    </row>
    <row r="14" spans="1:27" s="615" customFormat="1" ht="15.6" x14ac:dyDescent="0.3">
      <c r="A14" s="999">
        <f>'e-w'!B39</f>
        <v>160</v>
      </c>
      <c r="B14" s="1000">
        <f>'e-w'!C39</f>
        <v>474.62121052631579</v>
      </c>
      <c r="C14" s="999">
        <f t="shared" si="6"/>
        <v>390.35605789473686</v>
      </c>
      <c r="D14" s="1001">
        <f t="shared" si="7"/>
        <v>120.37878947368421</v>
      </c>
      <c r="E14" s="999">
        <f t="shared" si="8"/>
        <v>84.265152631578943</v>
      </c>
      <c r="F14" s="999">
        <f t="shared" si="9"/>
        <v>20</v>
      </c>
      <c r="G14" s="1001">
        <f t="shared" si="10"/>
        <v>7</v>
      </c>
      <c r="H14" s="999">
        <f t="shared" si="11"/>
        <v>589.86</v>
      </c>
      <c r="I14" s="659"/>
      <c r="J14" s="660"/>
      <c r="K14" s="660"/>
      <c r="L14" s="659"/>
      <c r="M14" s="660"/>
      <c r="N14" s="659"/>
      <c r="O14" s="659"/>
      <c r="P14" s="659"/>
      <c r="Q14" s="659"/>
      <c r="R14" s="659"/>
      <c r="S14" s="659"/>
      <c r="T14" s="659"/>
      <c r="U14" s="659"/>
      <c r="V14" s="660"/>
      <c r="W14" s="660"/>
      <c r="X14" s="660"/>
      <c r="Y14" s="660"/>
      <c r="Z14" s="661"/>
      <c r="AA14" s="661"/>
    </row>
    <row r="15" spans="1:27" s="615" customFormat="1" ht="15.6" x14ac:dyDescent="0.3">
      <c r="A15" s="999">
        <f>'e-w'!B40</f>
        <v>180</v>
      </c>
      <c r="B15" s="1000">
        <f>'e-w'!C40</f>
        <v>474.47307894736844</v>
      </c>
      <c r="C15" s="999">
        <f t="shared" si="6"/>
        <v>390.10423421052633</v>
      </c>
      <c r="D15" s="1001">
        <f t="shared" si="7"/>
        <v>120.52692105263156</v>
      </c>
      <c r="E15" s="999">
        <f t="shared" si="8"/>
        <v>84.368844736842092</v>
      </c>
      <c r="F15" s="999">
        <f t="shared" si="9"/>
        <v>20</v>
      </c>
      <c r="G15" s="1001">
        <f t="shared" si="10"/>
        <v>7</v>
      </c>
      <c r="H15" s="999">
        <f t="shared" si="11"/>
        <v>590.58000000000004</v>
      </c>
      <c r="I15" s="659"/>
      <c r="J15" s="660"/>
      <c r="K15" s="660"/>
      <c r="L15" s="659"/>
      <c r="M15" s="660"/>
      <c r="N15" s="659"/>
      <c r="O15" s="659"/>
      <c r="P15" s="659"/>
      <c r="Q15" s="659"/>
      <c r="R15" s="659"/>
      <c r="S15" s="659"/>
      <c r="T15" s="659"/>
      <c r="U15" s="659"/>
      <c r="V15" s="660"/>
      <c r="W15" s="660"/>
      <c r="X15" s="660"/>
      <c r="Y15" s="660"/>
      <c r="Z15" s="661"/>
      <c r="AA15" s="661"/>
    </row>
    <row r="16" spans="1:27" s="615" customFormat="1" ht="15.6" x14ac:dyDescent="0.3">
      <c r="A16" s="999">
        <f>'e-w'!B41</f>
        <v>200</v>
      </c>
      <c r="B16" s="1000">
        <f>'e-w'!C41</f>
        <v>474.26559210526312</v>
      </c>
      <c r="C16" s="999">
        <f t="shared" si="6"/>
        <v>389.75150657894733</v>
      </c>
      <c r="D16" s="1001">
        <f t="shared" si="7"/>
        <v>120.73440789473688</v>
      </c>
      <c r="E16" s="999">
        <f t="shared" si="8"/>
        <v>84.51408552631581</v>
      </c>
      <c r="F16" s="999">
        <f t="shared" si="9"/>
        <v>20</v>
      </c>
      <c r="G16" s="1001">
        <f t="shared" si="10"/>
        <v>7</v>
      </c>
      <c r="H16" s="999">
        <f t="shared" si="11"/>
        <v>591.6</v>
      </c>
      <c r="I16" s="659"/>
      <c r="J16" s="660"/>
      <c r="K16" s="660"/>
      <c r="L16" s="659"/>
      <c r="M16" s="660"/>
      <c r="N16" s="659"/>
      <c r="O16" s="659"/>
      <c r="P16" s="659"/>
      <c r="Q16" s="659"/>
      <c r="R16" s="659"/>
      <c r="S16" s="659"/>
      <c r="T16" s="659"/>
      <c r="U16" s="659"/>
      <c r="V16" s="660"/>
      <c r="W16" s="660"/>
      <c r="X16" s="660"/>
      <c r="Y16" s="660"/>
      <c r="Z16" s="661"/>
      <c r="AA16" s="661"/>
    </row>
    <row r="17" spans="1:27" s="615" customFormat="1" ht="15.6" x14ac:dyDescent="0.3">
      <c r="A17" s="999">
        <f>'e-w'!B42</f>
        <v>220</v>
      </c>
      <c r="B17" s="1000">
        <f>'e-w'!C42</f>
        <v>470.31336842105264</v>
      </c>
      <c r="C17" s="999">
        <f t="shared" si="6"/>
        <v>383.03272631578949</v>
      </c>
      <c r="D17" s="1001">
        <f t="shared" si="7"/>
        <v>124.68663157894736</v>
      </c>
      <c r="E17" s="999">
        <f t="shared" si="8"/>
        <v>87.280642105263141</v>
      </c>
      <c r="F17" s="999">
        <f t="shared" si="9"/>
        <v>20</v>
      </c>
      <c r="G17" s="1001">
        <f t="shared" si="10"/>
        <v>7</v>
      </c>
      <c r="H17" s="999">
        <f t="shared" si="11"/>
        <v>610.96</v>
      </c>
      <c r="I17" s="659"/>
      <c r="J17" s="660"/>
      <c r="K17" s="660"/>
      <c r="L17" s="659"/>
      <c r="M17" s="660"/>
      <c r="N17" s="659"/>
      <c r="O17" s="659"/>
      <c r="P17" s="659"/>
      <c r="Q17" s="659"/>
      <c r="R17" s="659"/>
      <c r="S17" s="659"/>
      <c r="T17" s="659"/>
      <c r="U17" s="659"/>
      <c r="V17" s="660"/>
      <c r="W17" s="660"/>
      <c r="X17" s="660"/>
      <c r="Y17" s="660"/>
      <c r="Z17" s="661"/>
      <c r="AA17" s="661"/>
    </row>
    <row r="18" spans="1:27" s="615" customFormat="1" ht="15.6" x14ac:dyDescent="0.3">
      <c r="A18" s="999">
        <f>'e-w'!B43</f>
        <v>240</v>
      </c>
      <c r="B18" s="1000">
        <f>'e-w'!C43</f>
        <v>469.86581578947369</v>
      </c>
      <c r="C18" s="999">
        <f t="shared" si="6"/>
        <v>382.27188684210529</v>
      </c>
      <c r="D18" s="1001">
        <f t="shared" si="7"/>
        <v>125.13418421052631</v>
      </c>
      <c r="E18" s="999">
        <f t="shared" si="8"/>
        <v>87.593928947368411</v>
      </c>
      <c r="F18" s="999">
        <f t="shared" si="9"/>
        <v>20</v>
      </c>
      <c r="G18" s="1001">
        <f t="shared" si="10"/>
        <v>7</v>
      </c>
      <c r="H18" s="999">
        <f t="shared" si="11"/>
        <v>613.16</v>
      </c>
      <c r="I18" s="659"/>
      <c r="J18" s="660"/>
      <c r="K18" s="660"/>
      <c r="L18" s="659"/>
      <c r="M18" s="660"/>
      <c r="N18" s="659"/>
      <c r="O18" s="659"/>
      <c r="P18" s="659"/>
      <c r="Q18" s="659"/>
      <c r="R18" s="659"/>
      <c r="S18" s="659"/>
      <c r="T18" s="659"/>
      <c r="U18" s="659"/>
      <c r="V18" s="660"/>
      <c r="W18" s="660"/>
      <c r="X18" s="660"/>
      <c r="Y18" s="660"/>
      <c r="Z18" s="661"/>
      <c r="AA18" s="661"/>
    </row>
    <row r="19" spans="1:27" s="615" customFormat="1" ht="15.6" x14ac:dyDescent="0.3">
      <c r="A19" s="999">
        <f>'e-w'!B44</f>
        <v>260</v>
      </c>
      <c r="B19" s="1000">
        <f>'e-w'!C44</f>
        <v>469.42184210526324</v>
      </c>
      <c r="C19" s="999">
        <f t="shared" si="6"/>
        <v>381.5171315789475</v>
      </c>
      <c r="D19" s="1001">
        <f t="shared" si="7"/>
        <v>125.57815789473676</v>
      </c>
      <c r="E19" s="999">
        <f t="shared" si="8"/>
        <v>87.904710526315725</v>
      </c>
      <c r="F19" s="999">
        <f t="shared" si="9"/>
        <v>20</v>
      </c>
      <c r="G19" s="1001">
        <f t="shared" si="10"/>
        <v>7</v>
      </c>
      <c r="H19" s="999">
        <f t="shared" si="11"/>
        <v>615.33000000000004</v>
      </c>
      <c r="I19" s="659"/>
      <c r="J19" s="660"/>
      <c r="K19" s="660"/>
      <c r="L19" s="659"/>
      <c r="M19" s="660"/>
      <c r="N19" s="659"/>
      <c r="O19" s="659"/>
      <c r="P19" s="659"/>
      <c r="Q19" s="659"/>
      <c r="R19" s="659"/>
      <c r="S19" s="659"/>
      <c r="T19" s="659"/>
      <c r="U19" s="659"/>
      <c r="V19" s="660"/>
      <c r="W19" s="660"/>
      <c r="X19" s="660"/>
      <c r="Y19" s="660"/>
      <c r="Z19" s="661"/>
      <c r="AA19" s="661"/>
    </row>
    <row r="20" spans="1:27" ht="13.8" x14ac:dyDescent="0.25">
      <c r="A20" s="999">
        <f>'e-w'!B45</f>
        <v>280</v>
      </c>
      <c r="B20" s="1000">
        <f>'e-w'!C45</f>
        <v>469.52473684210526</v>
      </c>
      <c r="C20" s="999">
        <f t="shared" si="6"/>
        <v>381.69205263157892</v>
      </c>
      <c r="D20" s="1001">
        <f t="shared" si="7"/>
        <v>125.47526315789474</v>
      </c>
      <c r="E20" s="999">
        <f t="shared" si="8"/>
        <v>87.83268421052631</v>
      </c>
      <c r="F20" s="999">
        <f t="shared" si="9"/>
        <v>20</v>
      </c>
      <c r="G20" s="1001">
        <f t="shared" si="10"/>
        <v>7</v>
      </c>
      <c r="H20" s="999">
        <f t="shared" si="11"/>
        <v>614.83000000000004</v>
      </c>
    </row>
    <row r="21" spans="1:27" ht="13.8" x14ac:dyDescent="0.25">
      <c r="A21" s="999">
        <f>'e-w'!B46</f>
        <v>300</v>
      </c>
      <c r="B21" s="1000">
        <f>'e-w'!C46</f>
        <v>468.85885526315792</v>
      </c>
      <c r="C21" s="999">
        <f t="shared" si="6"/>
        <v>380.56005394736849</v>
      </c>
      <c r="D21" s="1001">
        <f t="shared" si="7"/>
        <v>126.14114473684208</v>
      </c>
      <c r="E21" s="999">
        <f t="shared" si="8"/>
        <v>88.298801315789447</v>
      </c>
      <c r="F21" s="999">
        <f t="shared" si="9"/>
        <v>20</v>
      </c>
      <c r="G21" s="1001">
        <f t="shared" si="10"/>
        <v>7</v>
      </c>
      <c r="H21" s="999">
        <f t="shared" si="11"/>
        <v>618.09</v>
      </c>
    </row>
    <row r="22" spans="1:27" ht="13.8" x14ac:dyDescent="0.25">
      <c r="A22" s="999">
        <f>'e-w'!B47</f>
        <v>320</v>
      </c>
      <c r="B22" s="1000">
        <f>'e-w'!C47</f>
        <v>468.42110526315793</v>
      </c>
      <c r="C22" s="999">
        <f t="shared" si="6"/>
        <v>379.81587894736845</v>
      </c>
      <c r="D22" s="1001">
        <f t="shared" si="7"/>
        <v>126.57889473684207</v>
      </c>
      <c r="E22" s="999">
        <f t="shared" si="8"/>
        <v>88.605226315789452</v>
      </c>
      <c r="F22" s="999">
        <f t="shared" si="9"/>
        <v>20</v>
      </c>
      <c r="G22" s="1001">
        <f t="shared" si="10"/>
        <v>7</v>
      </c>
      <c r="H22" s="999">
        <f t="shared" si="11"/>
        <v>620.24</v>
      </c>
    </row>
    <row r="23" spans="1:27" ht="13.8" x14ac:dyDescent="0.25">
      <c r="A23" s="999">
        <f>'e-w'!B48</f>
        <v>340</v>
      </c>
      <c r="B23" s="1000">
        <f>'e-w'!C48</f>
        <v>468.19992105263151</v>
      </c>
      <c r="C23" s="999">
        <f t="shared" si="6"/>
        <v>379.43986578947357</v>
      </c>
      <c r="D23" s="1001">
        <f t="shared" si="7"/>
        <v>126.80007894736849</v>
      </c>
      <c r="E23" s="999">
        <f t="shared" si="8"/>
        <v>88.760055263157938</v>
      </c>
      <c r="F23" s="999">
        <f t="shared" si="9"/>
        <v>20</v>
      </c>
      <c r="G23" s="1001">
        <f t="shared" si="10"/>
        <v>7</v>
      </c>
      <c r="H23" s="999">
        <f t="shared" si="11"/>
        <v>621.32000000000005</v>
      </c>
    </row>
    <row r="24" spans="1:27" ht="13.8" x14ac:dyDescent="0.25">
      <c r="A24" s="999">
        <f>'e-w'!B49</f>
        <v>360</v>
      </c>
      <c r="B24" s="1000">
        <f>'e-w'!C49</f>
        <v>462.14211688311696</v>
      </c>
      <c r="C24" s="999">
        <f t="shared" si="6"/>
        <v>369.14159870129885</v>
      </c>
      <c r="D24" s="1001">
        <f t="shared" si="7"/>
        <v>132.85788311688304</v>
      </c>
      <c r="E24" s="999">
        <f t="shared" si="8"/>
        <v>93.000518181818123</v>
      </c>
      <c r="F24" s="999">
        <f t="shared" si="9"/>
        <v>20</v>
      </c>
      <c r="G24" s="1001">
        <f t="shared" si="10"/>
        <v>7</v>
      </c>
      <c r="H24" s="999">
        <f t="shared" si="11"/>
        <v>651</v>
      </c>
    </row>
    <row r="25" spans="1:27" ht="13.8" x14ac:dyDescent="0.25">
      <c r="A25" s="999">
        <f>'e-w'!B50</f>
        <v>380</v>
      </c>
      <c r="B25" s="1000">
        <f>'e-w'!C50</f>
        <v>460.22500000000002</v>
      </c>
      <c r="C25" s="999">
        <f t="shared" si="6"/>
        <v>365.88250000000005</v>
      </c>
      <c r="D25" s="1001">
        <f t="shared" si="7"/>
        <v>134.77499999999998</v>
      </c>
      <c r="E25" s="999">
        <f t="shared" si="8"/>
        <v>94.342499999999973</v>
      </c>
      <c r="F25" s="999">
        <f t="shared" si="9"/>
        <v>20</v>
      </c>
      <c r="G25" s="1001">
        <f t="shared" si="10"/>
        <v>7</v>
      </c>
      <c r="H25" s="999">
        <f t="shared" si="11"/>
        <v>660.4</v>
      </c>
    </row>
    <row r="26" spans="1:27" ht="13.8" x14ac:dyDescent="0.25">
      <c r="A26" s="999">
        <f>'e-w'!B51</f>
        <v>400</v>
      </c>
      <c r="B26" s="1000">
        <f>'e-w'!C51</f>
        <v>460.22500000000002</v>
      </c>
      <c r="C26" s="999">
        <f t="shared" si="6"/>
        <v>365.88250000000005</v>
      </c>
      <c r="D26" s="1001">
        <f t="shared" si="7"/>
        <v>134.77499999999998</v>
      </c>
      <c r="E26" s="999">
        <f t="shared" si="8"/>
        <v>94.342499999999973</v>
      </c>
      <c r="F26" s="999">
        <f t="shared" si="9"/>
        <v>20</v>
      </c>
      <c r="G26" s="1001">
        <f t="shared" si="10"/>
        <v>7</v>
      </c>
      <c r="H26" s="999">
        <f t="shared" si="11"/>
        <v>660.4</v>
      </c>
    </row>
    <row r="27" spans="1:27" ht="13.8" x14ac:dyDescent="0.25">
      <c r="A27" s="999">
        <f>'e-w'!B52</f>
        <v>420</v>
      </c>
      <c r="B27" s="1000">
        <f>'e-w'!C52</f>
        <v>460.22500000000002</v>
      </c>
      <c r="C27" s="999">
        <f t="shared" si="6"/>
        <v>365.88250000000005</v>
      </c>
      <c r="D27" s="1001">
        <f t="shared" si="7"/>
        <v>134.77499999999998</v>
      </c>
      <c r="E27" s="999">
        <f t="shared" si="8"/>
        <v>94.342499999999973</v>
      </c>
      <c r="F27" s="999">
        <f t="shared" si="9"/>
        <v>20</v>
      </c>
      <c r="G27" s="1001">
        <f t="shared" si="10"/>
        <v>7</v>
      </c>
      <c r="H27" s="999">
        <f t="shared" si="11"/>
        <v>660.4</v>
      </c>
    </row>
    <row r="28" spans="1:27" ht="13.8" x14ac:dyDescent="0.25">
      <c r="A28" s="999">
        <f>'e-w'!B53</f>
        <v>440</v>
      </c>
      <c r="B28" s="1000">
        <f>'e-w'!C53</f>
        <v>464.81158441558438</v>
      </c>
      <c r="C28" s="999">
        <f t="shared" si="6"/>
        <v>373.67969350649344</v>
      </c>
      <c r="D28" s="1001">
        <f t="shared" si="7"/>
        <v>130.18841558441562</v>
      </c>
      <c r="E28" s="999">
        <f t="shared" si="8"/>
        <v>91.131890909090927</v>
      </c>
      <c r="F28" s="999">
        <f t="shared" si="9"/>
        <v>20</v>
      </c>
      <c r="G28" s="1001">
        <f t="shared" si="10"/>
        <v>7</v>
      </c>
      <c r="H28" s="999">
        <f t="shared" si="11"/>
        <v>637.91999999999996</v>
      </c>
    </row>
    <row r="29" spans="1:27" ht="13.8" x14ac:dyDescent="0.25">
      <c r="A29" s="999">
        <f>'e-w'!B54</f>
        <v>460</v>
      </c>
      <c r="B29" s="1000">
        <f>'e-w'!C54</f>
        <v>467.01165789473686</v>
      </c>
      <c r="C29" s="999">
        <f t="shared" si="6"/>
        <v>377.4198184210527</v>
      </c>
      <c r="D29" s="1001">
        <f t="shared" si="7"/>
        <v>127.98834210526314</v>
      </c>
      <c r="E29" s="999">
        <f t="shared" si="8"/>
        <v>89.591839473684189</v>
      </c>
      <c r="F29" s="999">
        <f t="shared" si="9"/>
        <v>20</v>
      </c>
      <c r="G29" s="1001">
        <f t="shared" si="10"/>
        <v>7</v>
      </c>
      <c r="H29" s="999">
        <f t="shared" si="11"/>
        <v>627.14</v>
      </c>
    </row>
    <row r="30" spans="1:27" ht="13.8" x14ac:dyDescent="0.25">
      <c r="A30" s="999">
        <f>'e-w'!B55</f>
        <v>480</v>
      </c>
      <c r="B30" s="1000">
        <f>'e-w'!C55</f>
        <v>468.48202597402599</v>
      </c>
      <c r="C30" s="999">
        <f t="shared" si="6"/>
        <v>379.91944415584419</v>
      </c>
      <c r="D30" s="1001">
        <f t="shared" si="7"/>
        <v>126.51797402597401</v>
      </c>
      <c r="E30" s="999">
        <f t="shared" si="8"/>
        <v>88.562581818181798</v>
      </c>
      <c r="F30" s="999">
        <f t="shared" si="9"/>
        <v>20</v>
      </c>
      <c r="G30" s="1001">
        <f t="shared" si="10"/>
        <v>7</v>
      </c>
      <c r="H30" s="999">
        <f t="shared" si="11"/>
        <v>619.94000000000005</v>
      </c>
    </row>
    <row r="31" spans="1:27" ht="13.8" x14ac:dyDescent="0.25">
      <c r="A31" s="999">
        <f>'e-w'!B56</f>
        <v>500</v>
      </c>
      <c r="B31" s="1000">
        <f>'e-w'!C56</f>
        <v>471.3044210526316</v>
      </c>
      <c r="C31" s="999">
        <f t="shared" si="6"/>
        <v>384.71751578947374</v>
      </c>
      <c r="D31" s="1001">
        <f t="shared" si="7"/>
        <v>123.6955789473684</v>
      </c>
      <c r="E31" s="999">
        <f t="shared" si="8"/>
        <v>86.586905263157874</v>
      </c>
      <c r="F31" s="999">
        <f t="shared" si="9"/>
        <v>20</v>
      </c>
      <c r="G31" s="1001">
        <f t="shared" si="10"/>
        <v>7</v>
      </c>
      <c r="H31" s="999">
        <f t="shared" si="11"/>
        <v>606.11</v>
      </c>
    </row>
    <row r="32" spans="1:27" ht="13.8" x14ac:dyDescent="0.25">
      <c r="A32" s="999">
        <f>'e-w'!B57</f>
        <v>520</v>
      </c>
      <c r="B32" s="1000">
        <f>'e-w'!C57</f>
        <v>470.79352631578945</v>
      </c>
      <c r="C32" s="999">
        <f t="shared" si="6"/>
        <v>383.84899473684209</v>
      </c>
      <c r="D32" s="1001">
        <f t="shared" si="7"/>
        <v>124.20647368421055</v>
      </c>
      <c r="E32" s="999">
        <f t="shared" si="8"/>
        <v>86.944531578947377</v>
      </c>
      <c r="F32" s="999">
        <f t="shared" si="9"/>
        <v>20</v>
      </c>
      <c r="G32" s="1001">
        <f t="shared" si="10"/>
        <v>7</v>
      </c>
      <c r="H32" s="999">
        <f t="shared" si="11"/>
        <v>608.61</v>
      </c>
    </row>
    <row r="33" spans="1:15" ht="13.8" x14ac:dyDescent="0.25">
      <c r="A33" s="999">
        <f>'e-w'!B58</f>
        <v>540</v>
      </c>
      <c r="B33" s="1000">
        <f>'e-w'!C58</f>
        <v>467.65193421052629</v>
      </c>
      <c r="C33" s="999">
        <f t="shared" si="6"/>
        <v>378.5082881578947</v>
      </c>
      <c r="D33" s="1001">
        <f t="shared" si="7"/>
        <v>127.34806578947371</v>
      </c>
      <c r="E33" s="999">
        <f t="shared" si="8"/>
        <v>89.143646052631595</v>
      </c>
      <c r="F33" s="999">
        <f t="shared" si="9"/>
        <v>20</v>
      </c>
      <c r="G33" s="1001">
        <f t="shared" si="10"/>
        <v>7</v>
      </c>
      <c r="H33" s="999">
        <f t="shared" si="11"/>
        <v>624.01</v>
      </c>
    </row>
    <row r="34" spans="1:15" ht="13.8" x14ac:dyDescent="0.25">
      <c r="A34" s="999">
        <f>'e-w'!B59</f>
        <v>560</v>
      </c>
      <c r="B34" s="1000">
        <f>'e-w'!C59</f>
        <v>468.157974025974</v>
      </c>
      <c r="C34" s="999">
        <f t="shared" si="6"/>
        <v>379.36855584415582</v>
      </c>
      <c r="D34" s="1001">
        <f t="shared" si="7"/>
        <v>126.842025974026</v>
      </c>
      <c r="E34" s="999">
        <f t="shared" si="8"/>
        <v>88.789418181818192</v>
      </c>
      <c r="F34" s="999">
        <f t="shared" si="9"/>
        <v>20</v>
      </c>
      <c r="G34" s="1001">
        <f t="shared" si="10"/>
        <v>7</v>
      </c>
      <c r="H34" s="999">
        <f t="shared" si="11"/>
        <v>621.53</v>
      </c>
    </row>
    <row r="35" spans="1:15" ht="13.8" x14ac:dyDescent="0.25">
      <c r="A35" s="999">
        <f>'e-w'!B60</f>
        <v>580</v>
      </c>
      <c r="B35" s="1000">
        <f>'e-w'!C60</f>
        <v>471.00294736842108</v>
      </c>
      <c r="C35" s="999">
        <f t="shared" si="6"/>
        <v>384.20501052631585</v>
      </c>
      <c r="D35" s="1001">
        <f t="shared" si="7"/>
        <v>123.99705263157892</v>
      </c>
      <c r="E35" s="999">
        <f t="shared" si="8"/>
        <v>86.797936842105244</v>
      </c>
      <c r="F35" s="999">
        <f t="shared" si="9"/>
        <v>20</v>
      </c>
      <c r="G35" s="1001">
        <f t="shared" si="10"/>
        <v>7</v>
      </c>
      <c r="H35" s="999">
        <f t="shared" si="11"/>
        <v>607.59</v>
      </c>
    </row>
    <row r="36" spans="1:15" ht="13.8" x14ac:dyDescent="0.25">
      <c r="A36" s="999">
        <f>'e-w'!B61</f>
        <v>600</v>
      </c>
      <c r="B36" s="1000">
        <f>'e-w'!C61</f>
        <v>470.72336842105267</v>
      </c>
      <c r="C36" s="999">
        <f t="shared" si="6"/>
        <v>383.72972631578955</v>
      </c>
      <c r="D36" s="1001">
        <f t="shared" si="7"/>
        <v>124.27663157894733</v>
      </c>
      <c r="E36" s="999">
        <f t="shared" si="8"/>
        <v>86.99364210526312</v>
      </c>
      <c r="F36" s="999">
        <f t="shared" si="9"/>
        <v>20</v>
      </c>
      <c r="G36" s="1001">
        <f t="shared" si="10"/>
        <v>7</v>
      </c>
      <c r="H36" s="999">
        <f t="shared" si="11"/>
        <v>608.96</v>
      </c>
    </row>
    <row r="37" spans="1:15" ht="13.8" x14ac:dyDescent="0.25">
      <c r="A37" s="999">
        <f>'e-w'!B62</f>
        <v>620</v>
      </c>
      <c r="B37" s="1000">
        <f>'e-w'!C62</f>
        <v>472.39347368421051</v>
      </c>
      <c r="C37" s="999">
        <f t="shared" si="6"/>
        <v>386.56890526315783</v>
      </c>
      <c r="D37" s="1001">
        <f t="shared" si="7"/>
        <v>122.60652631578949</v>
      </c>
      <c r="E37" s="999">
        <f t="shared" si="8"/>
        <v>85.824568421052646</v>
      </c>
      <c r="F37" s="999">
        <f t="shared" si="9"/>
        <v>20</v>
      </c>
      <c r="G37" s="1001">
        <f t="shared" si="10"/>
        <v>7</v>
      </c>
      <c r="H37" s="999">
        <f t="shared" si="11"/>
        <v>600.77</v>
      </c>
    </row>
    <row r="38" spans="1:15" ht="13.8" x14ac:dyDescent="0.25">
      <c r="A38" s="999">
        <f>'e-w'!B63</f>
        <v>640</v>
      </c>
      <c r="B38" s="1000">
        <f>'e-w'!C63</f>
        <v>473.79128947368423</v>
      </c>
      <c r="C38" s="999">
        <f t="shared" si="6"/>
        <v>388.94519210526323</v>
      </c>
      <c r="D38" s="1001">
        <f t="shared" si="7"/>
        <v>121.20871052631577</v>
      </c>
      <c r="E38" s="999">
        <f t="shared" si="8"/>
        <v>84.846097368421027</v>
      </c>
      <c r="F38" s="999">
        <f t="shared" si="9"/>
        <v>20</v>
      </c>
      <c r="G38" s="1001">
        <f t="shared" si="10"/>
        <v>7</v>
      </c>
      <c r="H38" s="999">
        <f t="shared" si="11"/>
        <v>593.91999999999996</v>
      </c>
    </row>
    <row r="39" spans="1:15" ht="13.8" x14ac:dyDescent="0.25">
      <c r="A39" s="999">
        <f>'e-w'!B64</f>
        <v>660</v>
      </c>
      <c r="B39" s="1000">
        <f>'e-w'!C64</f>
        <v>473.54386842105259</v>
      </c>
      <c r="C39" s="999">
        <f t="shared" si="6"/>
        <v>388.52457631578943</v>
      </c>
      <c r="D39" s="1001">
        <f t="shared" si="7"/>
        <v>121.45613157894741</v>
      </c>
      <c r="E39" s="999">
        <f t="shared" si="8"/>
        <v>85.019292105263176</v>
      </c>
      <c r="F39" s="999">
        <f t="shared" si="9"/>
        <v>20</v>
      </c>
      <c r="G39" s="1001">
        <f t="shared" si="10"/>
        <v>7</v>
      </c>
      <c r="H39" s="999">
        <f t="shared" si="11"/>
        <v>595.14</v>
      </c>
    </row>
    <row r="40" spans="1:15" ht="13.8" x14ac:dyDescent="0.25">
      <c r="A40" s="999">
        <f>'e-w'!B65</f>
        <v>680</v>
      </c>
      <c r="B40" s="1000">
        <f>'e-w'!C65</f>
        <v>476.3522631578947</v>
      </c>
      <c r="C40" s="999">
        <f t="shared" si="6"/>
        <v>393.29884736842098</v>
      </c>
      <c r="D40" s="1001">
        <f t="shared" si="7"/>
        <v>118.6477368421053</v>
      </c>
      <c r="E40" s="999">
        <f t="shared" si="8"/>
        <v>83.053415789473704</v>
      </c>
      <c r="F40" s="999">
        <f t="shared" si="9"/>
        <v>20</v>
      </c>
      <c r="G40" s="1001">
        <f t="shared" si="10"/>
        <v>7</v>
      </c>
      <c r="H40" s="999">
        <f t="shared" si="11"/>
        <v>581.37</v>
      </c>
    </row>
    <row r="41" spans="1:15" ht="13.8" x14ac:dyDescent="0.25">
      <c r="A41" s="999">
        <f>'e-w'!B66</f>
        <v>700</v>
      </c>
      <c r="B41" s="1000">
        <f>'e-w'!C66</f>
        <v>476.68867105263155</v>
      </c>
      <c r="C41" s="999">
        <f t="shared" si="6"/>
        <v>393.87074078947364</v>
      </c>
      <c r="D41" s="1001">
        <f t="shared" si="7"/>
        <v>118.31132894736845</v>
      </c>
      <c r="E41" s="999">
        <f t="shared" si="8"/>
        <v>82.817930263157905</v>
      </c>
      <c r="F41" s="999">
        <f t="shared" si="9"/>
        <v>20</v>
      </c>
      <c r="G41" s="1001">
        <f t="shared" si="10"/>
        <v>7</v>
      </c>
      <c r="H41" s="999">
        <f t="shared" si="11"/>
        <v>579.73</v>
      </c>
    </row>
    <row r="42" spans="1:15" ht="13.8" x14ac:dyDescent="0.25">
      <c r="A42" s="999">
        <f>'e-w'!B67</f>
        <v>720</v>
      </c>
      <c r="B42" s="1000">
        <f>'e-w'!C67</f>
        <v>476.85950000000003</v>
      </c>
      <c r="C42" s="999">
        <f t="shared" si="6"/>
        <v>394.16115000000002</v>
      </c>
      <c r="D42" s="1001">
        <f t="shared" si="7"/>
        <v>118.14049999999997</v>
      </c>
      <c r="E42" s="999">
        <f t="shared" si="8"/>
        <v>82.698349999999976</v>
      </c>
      <c r="F42" s="999">
        <f t="shared" si="9"/>
        <v>20</v>
      </c>
      <c r="G42" s="1001">
        <f t="shared" si="10"/>
        <v>7</v>
      </c>
      <c r="H42" s="999">
        <f t="shared" si="11"/>
        <v>578.89</v>
      </c>
    </row>
    <row r="43" spans="1:15" ht="13.8" x14ac:dyDescent="0.25">
      <c r="A43" s="999">
        <f>'e-w'!B68</f>
        <v>740</v>
      </c>
      <c r="B43" s="1000">
        <f>'e-w'!C68</f>
        <v>477.35500000000002</v>
      </c>
      <c r="C43" s="999">
        <f t="shared" si="6"/>
        <v>395.00350000000003</v>
      </c>
      <c r="D43" s="1001">
        <f t="shared" si="7"/>
        <v>117.64499999999998</v>
      </c>
      <c r="E43" s="999">
        <f t="shared" si="8"/>
        <v>82.351499999999987</v>
      </c>
      <c r="F43" s="999">
        <f t="shared" si="9"/>
        <v>20</v>
      </c>
      <c r="G43" s="1001">
        <f t="shared" si="10"/>
        <v>7</v>
      </c>
      <c r="H43" s="999">
        <f t="shared" si="11"/>
        <v>576.46</v>
      </c>
    </row>
    <row r="44" spans="1:15" ht="13.8" x14ac:dyDescent="0.3">
      <c r="A44" s="992"/>
      <c r="B44" s="992"/>
      <c r="C44" s="992"/>
      <c r="D44" s="992"/>
      <c r="E44" s="992"/>
      <c r="F44" s="992"/>
      <c r="G44" s="1002">
        <f>SUM(,G7:G43)</f>
        <v>259</v>
      </c>
      <c r="H44" s="1002">
        <f>SUM(H6:H43)</f>
        <v>22478.029999999992</v>
      </c>
      <c r="I44" s="992"/>
      <c r="J44" s="992">
        <f>135/E45</f>
        <v>22.5</v>
      </c>
      <c r="K44" s="992"/>
      <c r="L44" s="992"/>
      <c r="M44" s="992"/>
      <c r="N44" s="992"/>
      <c r="O44" s="992"/>
    </row>
    <row r="45" spans="1:15" ht="13.8" x14ac:dyDescent="0.3">
      <c r="A45" s="992" t="s">
        <v>637</v>
      </c>
      <c r="D45" s="1003">
        <f>G44</f>
        <v>259</v>
      </c>
      <c r="E45" s="1004">
        <v>6</v>
      </c>
      <c r="F45" s="992" t="s">
        <v>114</v>
      </c>
      <c r="G45" s="782">
        <f>E45*D45</f>
        <v>1554</v>
      </c>
      <c r="H45" s="1005" t="s">
        <v>295</v>
      </c>
      <c r="I45" s="1006"/>
      <c r="J45" s="992"/>
      <c r="K45" s="992"/>
      <c r="L45" s="992"/>
      <c r="M45" s="992"/>
      <c r="N45" s="992"/>
      <c r="O45" s="992"/>
    </row>
    <row r="46" spans="1:15" ht="13.8" x14ac:dyDescent="0.3">
      <c r="A46" s="992" t="s">
        <v>638</v>
      </c>
      <c r="D46" s="753">
        <v>0</v>
      </c>
      <c r="E46" s="753" t="s">
        <v>295</v>
      </c>
      <c r="G46" s="992"/>
      <c r="H46" s="1005"/>
      <c r="I46" s="1006">
        <f>0.25*382.98</f>
        <v>95.745000000000005</v>
      </c>
      <c r="J46" s="992"/>
      <c r="K46" s="992"/>
      <c r="L46" s="992"/>
      <c r="M46" s="992"/>
      <c r="N46" s="992"/>
      <c r="O46" s="992"/>
    </row>
    <row r="47" spans="1:15" ht="13.8" x14ac:dyDescent="0.3">
      <c r="A47" s="992"/>
      <c r="E47" s="753"/>
      <c r="G47" s="992"/>
      <c r="H47" s="1005"/>
      <c r="I47" s="1006"/>
      <c r="J47" s="992"/>
      <c r="K47" s="992"/>
      <c r="L47" s="992"/>
      <c r="M47" s="992"/>
      <c r="N47" s="992"/>
      <c r="O47" s="992"/>
    </row>
    <row r="48" spans="1:15" ht="13.8" x14ac:dyDescent="0.3">
      <c r="A48" s="992"/>
      <c r="E48" s="753"/>
      <c r="G48" s="992"/>
      <c r="H48" s="1005"/>
      <c r="I48" s="1006"/>
      <c r="J48" s="992"/>
      <c r="K48" s="992"/>
      <c r="L48" s="992"/>
      <c r="M48" s="992"/>
      <c r="N48" s="992"/>
      <c r="O48" s="992"/>
    </row>
    <row r="49" spans="1:15" ht="13.8" x14ac:dyDescent="0.3">
      <c r="A49" s="449" t="s">
        <v>639</v>
      </c>
      <c r="C49" s="449" t="s">
        <v>667</v>
      </c>
      <c r="F49" s="449">
        <f>H44*0.25</f>
        <v>5619.5074999999979</v>
      </c>
      <c r="G49" s="449" t="s">
        <v>111</v>
      </c>
      <c r="I49" s="992"/>
      <c r="J49" s="992"/>
      <c r="K49" s="992"/>
      <c r="L49" s="992"/>
      <c r="M49" s="992"/>
      <c r="N49" s="992"/>
      <c r="O49" s="992"/>
    </row>
    <row r="50" spans="1:15" ht="13.8" x14ac:dyDescent="0.3">
      <c r="C50" s="449" t="s">
        <v>89</v>
      </c>
      <c r="F50" s="449">
        <f>F49*200</f>
        <v>1123901.4999999995</v>
      </c>
      <c r="G50" s="449" t="s">
        <v>640</v>
      </c>
      <c r="I50" s="992"/>
      <c r="J50" s="992"/>
      <c r="K50" s="992"/>
      <c r="L50" s="992"/>
      <c r="M50" s="992"/>
      <c r="N50" s="992"/>
      <c r="O50" s="992"/>
    </row>
    <row r="51" spans="1:15" ht="13.8" x14ac:dyDescent="0.3">
      <c r="E51" s="449" t="s">
        <v>641</v>
      </c>
      <c r="F51" s="449">
        <f>ROUND(F50/28.8,2)</f>
        <v>39024.36</v>
      </c>
      <c r="G51" s="449" t="s">
        <v>642</v>
      </c>
      <c r="I51" s="992"/>
      <c r="J51" s="992"/>
      <c r="K51" s="992"/>
      <c r="L51" s="992"/>
      <c r="M51" s="992"/>
      <c r="N51" s="992"/>
      <c r="O51" s="992"/>
    </row>
    <row r="52" spans="1:15" ht="13.8" x14ac:dyDescent="0.3">
      <c r="I52" s="992"/>
      <c r="J52" s="992"/>
      <c r="K52" s="992"/>
      <c r="L52" s="992"/>
      <c r="M52" s="992"/>
      <c r="N52" s="992"/>
      <c r="O52" s="992"/>
    </row>
    <row r="53" spans="1:15" ht="13.8" x14ac:dyDescent="0.3">
      <c r="A53" s="1007"/>
      <c r="B53" s="1007"/>
      <c r="C53" s="1007"/>
      <c r="D53" s="1007"/>
      <c r="E53" s="1007"/>
      <c r="F53" s="1007"/>
      <c r="G53" s="1007"/>
      <c r="H53" s="992"/>
      <c r="I53" s="992"/>
      <c r="J53" s="992"/>
      <c r="K53" s="992"/>
      <c r="L53" s="992"/>
      <c r="M53" s="992"/>
      <c r="N53" s="992"/>
      <c r="O53" s="992"/>
    </row>
    <row r="54" spans="1:15" ht="13.8" x14ac:dyDescent="0.3">
      <c r="A54" s="1007"/>
      <c r="B54" s="1007"/>
      <c r="C54" s="1008" t="e">
        <f>'Toe Drain Ex'!D61</f>
        <v>#REF!</v>
      </c>
      <c r="D54" s="1007"/>
      <c r="E54" s="1007"/>
      <c r="F54" s="1009">
        <f>'Toe Drain Ex'!J61</f>
        <v>0</v>
      </c>
      <c r="G54" s="1007"/>
      <c r="H54" s="992"/>
      <c r="I54" s="992"/>
      <c r="J54" s="992"/>
      <c r="K54" s="992"/>
      <c r="L54" s="992"/>
      <c r="M54" s="992"/>
      <c r="N54" s="992"/>
      <c r="O54" s="992"/>
    </row>
    <row r="55" spans="1:15" ht="13.8" x14ac:dyDescent="0.3">
      <c r="A55" s="1007"/>
      <c r="B55" s="1007"/>
      <c r="C55" s="1008" t="e">
        <f>'Toe Drain Ex'!D62</f>
        <v>#REF!</v>
      </c>
      <c r="D55" s="1007"/>
      <c r="E55" s="1007"/>
      <c r="F55" s="1009">
        <f>'Toe Drain Ex'!J62</f>
        <v>0</v>
      </c>
      <c r="G55" s="1007"/>
      <c r="H55" s="992"/>
      <c r="I55" s="992"/>
      <c r="J55" s="992"/>
      <c r="K55" s="992"/>
      <c r="L55" s="992"/>
      <c r="M55" s="992"/>
      <c r="N55" s="992"/>
      <c r="O55" s="992"/>
    </row>
    <row r="56" spans="1:15" ht="13.8" x14ac:dyDescent="0.3">
      <c r="A56" s="1007"/>
      <c r="B56" s="1007"/>
      <c r="C56" s="1008" t="e">
        <f>'Toe Drain Ex'!D63</f>
        <v>#REF!</v>
      </c>
      <c r="D56" s="1007"/>
      <c r="E56" s="1007"/>
      <c r="F56" s="1009">
        <f>'Toe Drain Ex'!J63</f>
        <v>0</v>
      </c>
      <c r="G56" s="1007"/>
      <c r="H56" s="992"/>
      <c r="I56" s="992"/>
      <c r="J56" s="992"/>
      <c r="K56" s="992"/>
      <c r="L56" s="992"/>
      <c r="M56" s="992"/>
      <c r="N56" s="992"/>
      <c r="O56" s="992"/>
    </row>
    <row r="57" spans="1:15" ht="13.8" x14ac:dyDescent="0.3">
      <c r="A57" s="1007"/>
      <c r="B57" s="1007"/>
      <c r="C57" s="1007"/>
      <c r="D57" s="1007"/>
      <c r="E57" s="1007"/>
      <c r="F57" s="1007"/>
      <c r="G57" s="1007"/>
      <c r="H57" s="992"/>
      <c r="I57" s="992"/>
      <c r="J57" s="992"/>
      <c r="K57" s="992"/>
      <c r="L57" s="992"/>
      <c r="M57" s="992"/>
      <c r="N57" s="992"/>
      <c r="O57" s="992"/>
    </row>
  </sheetData>
  <customSheetViews>
    <customSheetView guid="{5161B42F-120B-436B-80F4-9BB578173AD5}" scale="85" topLeftCell="A4">
      <selection activeCell="I27" sqref="I27:I28"/>
      <colBreaks count="1" manualBreakCount="1">
        <brk id="8" max="1048575" man="1"/>
      </colBreaks>
      <pageMargins left="0.70866141732283505" right="0.70866141732283505" top="0.74803149606299202" bottom="0.74803149606299202" header="0.31496062992126" footer="0.31496062992126"/>
      <printOptions horizontalCentered="1"/>
      <pageSetup scale="93" orientation="portrait" r:id="rId1"/>
      <headerFooter>
        <oddFooter>&amp;R&amp;P</oddFooter>
      </headerFooter>
    </customSheetView>
  </customSheetViews>
  <mergeCells count="2">
    <mergeCell ref="A1:H1"/>
    <mergeCell ref="A3:H3"/>
  </mergeCells>
  <printOptions horizontalCentered="1"/>
  <pageMargins left="0.70866141732283505" right="0.70866141732283505" top="0.74803149606299202" bottom="0.74803149606299202" header="0.31496062992126" footer="0.31496062992126"/>
  <pageSetup scale="93" orientation="portrait" r:id="rId2"/>
  <headerFooter>
    <oddFooter>&amp;R&amp;P</oddFooter>
  </headerFooter>
  <rowBreaks count="1" manualBreakCount="1">
    <brk id="32" max="7" man="1"/>
  </rowBreaks>
  <colBreaks count="1" manualBreakCount="1">
    <brk id="8"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O19"/>
  <sheetViews>
    <sheetView view="pageBreakPreview" zoomScaleNormal="100" zoomScaleSheetLayoutView="100" workbookViewId="0">
      <selection activeCell="B23" sqref="B23"/>
    </sheetView>
  </sheetViews>
  <sheetFormatPr defaultColWidth="9.109375" defaultRowHeight="13.2" x14ac:dyDescent="0.25"/>
  <cols>
    <col min="1" max="4" width="9.109375" style="26"/>
    <col min="5" max="5" width="17.33203125" style="26" customWidth="1"/>
    <col min="6" max="9" width="9.109375" style="26" hidden="1" customWidth="1"/>
    <col min="10" max="11" width="9.109375" style="26"/>
    <col min="12" max="12" width="3.44140625" style="26" customWidth="1"/>
    <col min="13" max="16384" width="9.109375" style="26"/>
  </cols>
  <sheetData>
    <row r="1" spans="1:14" x14ac:dyDescent="0.25">
      <c r="A1" s="1095" t="str">
        <f>'Abt (3)'!A1:G1</f>
        <v>ROSHNABAD BARRAGE</v>
      </c>
      <c r="B1" s="1095"/>
      <c r="C1" s="1095"/>
      <c r="D1" s="1095"/>
      <c r="E1" s="1095"/>
      <c r="F1" s="1095"/>
      <c r="G1" s="1095"/>
      <c r="H1" s="1095"/>
      <c r="I1" s="1095"/>
      <c r="J1" s="1095"/>
      <c r="K1" s="1095"/>
    </row>
    <row r="2" spans="1:14" hidden="1" x14ac:dyDescent="0.25">
      <c r="A2" s="27"/>
      <c r="B2" s="28"/>
      <c r="C2" s="25"/>
      <c r="D2" s="25"/>
      <c r="E2" s="25"/>
      <c r="F2" s="29"/>
      <c r="G2" s="25"/>
      <c r="H2" s="30"/>
      <c r="I2" s="30"/>
      <c r="J2" s="31"/>
      <c r="K2" s="32"/>
    </row>
    <row r="3" spans="1:14" x14ac:dyDescent="0.25">
      <c r="A3" s="1096" t="s">
        <v>3</v>
      </c>
      <c r="B3" s="1096"/>
      <c r="C3" s="1096"/>
      <c r="D3" s="1096"/>
      <c r="E3" s="1096"/>
      <c r="F3" s="1096"/>
      <c r="G3" s="1096"/>
      <c r="H3" s="1096"/>
      <c r="I3" s="1096"/>
      <c r="J3" s="1096"/>
      <c r="K3" s="1096"/>
    </row>
    <row r="4" spans="1:14" x14ac:dyDescent="0.25">
      <c r="A4" s="1097" t="s">
        <v>4</v>
      </c>
      <c r="B4" s="1097"/>
      <c r="C4" s="1097"/>
      <c r="D4" s="1097"/>
      <c r="E4" s="1097"/>
      <c r="F4" s="1097"/>
      <c r="G4" s="1097"/>
      <c r="H4" s="1097"/>
      <c r="I4" s="1097"/>
      <c r="J4" s="1097"/>
      <c r="K4" s="1097"/>
    </row>
    <row r="5" spans="1:14" x14ac:dyDescent="0.25">
      <c r="A5" s="33"/>
      <c r="B5" s="28"/>
      <c r="C5" s="34"/>
      <c r="D5" s="34"/>
      <c r="E5" s="34"/>
      <c r="F5" s="34"/>
      <c r="G5" s="35"/>
      <c r="H5" s="35"/>
      <c r="I5" s="35"/>
      <c r="J5" s="36"/>
      <c r="K5" s="36"/>
    </row>
    <row r="6" spans="1:14" x14ac:dyDescent="0.25">
      <c r="A6" s="37" t="s">
        <v>5</v>
      </c>
      <c r="B6" s="1081" t="s">
        <v>6</v>
      </c>
      <c r="C6" s="1081"/>
      <c r="D6" s="1081"/>
      <c r="E6" s="1081"/>
      <c r="F6" s="37" t="s">
        <v>7</v>
      </c>
      <c r="G6" s="37" t="s">
        <v>8</v>
      </c>
      <c r="H6" s="1081" t="s">
        <v>9</v>
      </c>
      <c r="I6" s="1081"/>
      <c r="J6" s="1081" t="s">
        <v>10</v>
      </c>
      <c r="K6" s="1081"/>
    </row>
    <row r="7" spans="1:14" x14ac:dyDescent="0.25">
      <c r="A7" s="38"/>
      <c r="B7" s="1086"/>
      <c r="C7" s="1086"/>
      <c r="D7" s="1086"/>
      <c r="E7" s="1086"/>
      <c r="F7" s="38"/>
      <c r="G7" s="38"/>
      <c r="H7" s="1086" t="s">
        <v>11</v>
      </c>
      <c r="I7" s="1086"/>
      <c r="J7" s="1086" t="s">
        <v>11</v>
      </c>
      <c r="K7" s="1086"/>
    </row>
    <row r="8" spans="1:14" x14ac:dyDescent="0.25">
      <c r="A8" s="1086">
        <v>1</v>
      </c>
      <c r="B8" s="1090" t="s">
        <v>12</v>
      </c>
      <c r="C8" s="1090"/>
      <c r="D8" s="1090"/>
      <c r="E8" s="1090"/>
      <c r="F8" s="38"/>
      <c r="G8" s="38"/>
      <c r="H8" s="39"/>
      <c r="I8" s="39"/>
      <c r="J8" s="1091"/>
      <c r="K8" s="1092"/>
    </row>
    <row r="9" spans="1:14" x14ac:dyDescent="0.25">
      <c r="A9" s="1086"/>
      <c r="B9" s="1090"/>
      <c r="C9" s="1090"/>
      <c r="D9" s="1090"/>
      <c r="E9" s="1090"/>
      <c r="F9" s="38"/>
      <c r="G9" s="38"/>
      <c r="H9" s="39"/>
      <c r="I9" s="39"/>
      <c r="J9" s="1093"/>
      <c r="K9" s="1094"/>
    </row>
    <row r="10" spans="1:14" ht="20.100000000000001" customHeight="1" x14ac:dyDescent="0.25">
      <c r="A10" s="38" t="s">
        <v>13</v>
      </c>
      <c r="B10" s="1084" t="s">
        <v>658</v>
      </c>
      <c r="C10" s="1084"/>
      <c r="D10" s="1084"/>
      <c r="E10" s="1084"/>
      <c r="F10" s="38"/>
      <c r="G10" s="40"/>
      <c r="H10" s="1085"/>
      <c r="I10" s="1086"/>
      <c r="J10" s="1087">
        <f>'Abt (3)'!F44/100000</f>
        <v>5829.7341602974157</v>
      </c>
      <c r="K10" s="1087"/>
      <c r="L10" s="41"/>
      <c r="M10" s="41"/>
    </row>
    <row r="11" spans="1:14" ht="20.100000000000001" customHeight="1" x14ac:dyDescent="0.25">
      <c r="A11" s="38" t="s">
        <v>14</v>
      </c>
      <c r="B11" s="1084" t="s">
        <v>657</v>
      </c>
      <c r="C11" s="1084"/>
      <c r="D11" s="1084"/>
      <c r="E11" s="1084"/>
      <c r="F11" s="38"/>
      <c r="G11" s="40"/>
      <c r="H11" s="40"/>
      <c r="I11" s="38"/>
      <c r="J11" s="1088">
        <f>'Detail &amp; Abs'!F67</f>
        <v>39816.03</v>
      </c>
      <c r="K11" s="1089"/>
      <c r="L11" s="41"/>
      <c r="M11" s="41"/>
    </row>
    <row r="12" spans="1:14" ht="20.100000000000001" hidden="1" customHeight="1" x14ac:dyDescent="0.25">
      <c r="A12" s="38"/>
      <c r="B12" s="44"/>
      <c r="C12" s="45"/>
      <c r="D12" s="45"/>
      <c r="E12" s="46"/>
      <c r="F12" s="38"/>
      <c r="G12" s="40"/>
      <c r="H12" s="40"/>
      <c r="I12" s="38"/>
      <c r="J12" s="1088"/>
      <c r="K12" s="1089"/>
      <c r="N12" s="26">
        <v>20387.060102469124</v>
      </c>
    </row>
    <row r="13" spans="1:14" ht="20.100000000000001" hidden="1" customHeight="1" x14ac:dyDescent="0.25">
      <c r="A13" s="38"/>
      <c r="B13" s="44"/>
      <c r="C13" s="45"/>
      <c r="D13" s="45"/>
      <c r="E13" s="46"/>
      <c r="F13" s="38"/>
      <c r="G13" s="40"/>
      <c r="H13" s="40"/>
      <c r="I13" s="38"/>
      <c r="J13" s="42"/>
      <c r="K13" s="43"/>
      <c r="N13" s="47">
        <f>J10-N12</f>
        <v>-14557.325942171708</v>
      </c>
    </row>
    <row r="14" spans="1:14" ht="20.100000000000001" customHeight="1" x14ac:dyDescent="0.25">
      <c r="A14" s="1080" t="s">
        <v>15</v>
      </c>
      <c r="B14" s="1080"/>
      <c r="C14" s="1080"/>
      <c r="D14" s="1080"/>
      <c r="E14" s="1080"/>
      <c r="F14" s="1080"/>
      <c r="G14" s="1080"/>
      <c r="H14" s="1081" t="s">
        <v>15</v>
      </c>
      <c r="I14" s="1081"/>
      <c r="J14" s="1082">
        <f>ROUND(SUM(J10:K12),2)</f>
        <v>45645.760000000002</v>
      </c>
      <c r="K14" s="1082"/>
    </row>
    <row r="15" spans="1:14" x14ac:dyDescent="0.25">
      <c r="A15" s="1083"/>
      <c r="B15" s="1083"/>
      <c r="C15" s="1083"/>
      <c r="D15" s="1083"/>
      <c r="E15" s="1083"/>
      <c r="F15" s="1083"/>
      <c r="G15" s="1083"/>
      <c r="H15" s="1083"/>
      <c r="I15" s="1083"/>
      <c r="J15" s="1083"/>
      <c r="K15" s="1083"/>
    </row>
    <row r="16" spans="1:14" x14ac:dyDescent="0.25">
      <c r="A16" s="1083"/>
      <c r="B16" s="1083"/>
      <c r="C16" s="1083"/>
      <c r="D16" s="1083"/>
      <c r="E16" s="1083"/>
      <c r="F16" s="1083"/>
      <c r="G16" s="1083"/>
      <c r="H16" s="1083"/>
      <c r="I16" s="1083"/>
      <c r="J16" s="1083"/>
      <c r="K16" s="1083"/>
    </row>
    <row r="17" spans="1:15" ht="13.8" x14ac:dyDescent="0.25">
      <c r="A17" s="48"/>
      <c r="B17" s="29"/>
      <c r="C17" s="29"/>
      <c r="D17" s="29"/>
      <c r="E17" s="29"/>
      <c r="F17" s="49"/>
      <c r="G17" s="49"/>
      <c r="H17" s="35"/>
      <c r="I17" s="35"/>
      <c r="J17" s="50"/>
      <c r="K17" s="51"/>
      <c r="N17" s="1"/>
      <c r="O17" s="1"/>
    </row>
    <row r="18" spans="1:15" ht="13.8" x14ac:dyDescent="0.25">
      <c r="A18" s="48"/>
      <c r="B18" s="29"/>
      <c r="C18" s="29"/>
      <c r="D18" s="29"/>
      <c r="E18" s="29"/>
      <c r="F18" s="49"/>
      <c r="G18" s="49"/>
      <c r="H18" s="35"/>
      <c r="I18" s="35"/>
      <c r="J18" s="50"/>
      <c r="K18" s="51"/>
      <c r="N18" s="1"/>
      <c r="O18" s="1"/>
    </row>
    <row r="19" spans="1:15" ht="13.8" x14ac:dyDescent="0.25">
      <c r="A19" s="48"/>
      <c r="B19" s="29"/>
      <c r="C19" s="29"/>
      <c r="D19" s="29"/>
      <c r="E19" s="29"/>
      <c r="F19" s="49"/>
      <c r="G19" s="49"/>
      <c r="H19" s="29"/>
      <c r="I19" s="29"/>
      <c r="J19" s="50"/>
      <c r="K19" s="29"/>
      <c r="N19" s="1"/>
      <c r="O19" s="1"/>
    </row>
  </sheetData>
  <customSheetViews>
    <customSheetView guid="{5161B42F-120B-436B-80F4-9BB578173AD5}" hiddenRows="1" hiddenColumns="1">
      <selection activeCell="A15" sqref="A15:K16"/>
      <pageMargins left="0.70866141732283505" right="0.70866141732283505" top="0.74803149606299202" bottom="0.74803149606299202" header="0.31496062992126" footer="0.31496062992126"/>
      <printOptions horizontalCentered="1"/>
      <pageSetup orientation="portrait" r:id="rId1"/>
      <headerFooter>
        <oddFooter>&amp;R&amp;P</oddFooter>
      </headerFooter>
    </customSheetView>
  </customSheetViews>
  <mergeCells count="22">
    <mergeCell ref="A1:K1"/>
    <mergeCell ref="A3:K3"/>
    <mergeCell ref="A4:K4"/>
    <mergeCell ref="B6:E6"/>
    <mergeCell ref="H6:I6"/>
    <mergeCell ref="J6:K6"/>
    <mergeCell ref="B7:E7"/>
    <mergeCell ref="H7:I7"/>
    <mergeCell ref="J7:K7"/>
    <mergeCell ref="A8:A9"/>
    <mergeCell ref="B8:E9"/>
    <mergeCell ref="J8:K9"/>
    <mergeCell ref="A14:G14"/>
    <mergeCell ref="H14:I14"/>
    <mergeCell ref="J14:K14"/>
    <mergeCell ref="A15:K16"/>
    <mergeCell ref="B10:E10"/>
    <mergeCell ref="H10:I10"/>
    <mergeCell ref="J10:K10"/>
    <mergeCell ref="B11:E11"/>
    <mergeCell ref="J11:K11"/>
    <mergeCell ref="J12:K12"/>
  </mergeCells>
  <printOptions horizontalCentered="1"/>
  <pageMargins left="0.70866141732283505" right="0.70866141732283505" top="0.74803149606299202" bottom="0.74803149606299202" header="0.31496062992126" footer="0.31496062992126"/>
  <pageSetup paperSize="9" fitToHeight="0" orientation="landscape" r:id="rId2"/>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76"/>
  <sheetViews>
    <sheetView tabSelected="1" view="pageBreakPreview" zoomScale="80" zoomScaleNormal="85" zoomScaleSheetLayoutView="80" workbookViewId="0">
      <selection activeCell="F62" sqref="F62"/>
    </sheetView>
  </sheetViews>
  <sheetFormatPr defaultColWidth="9.109375" defaultRowHeight="13.2" x14ac:dyDescent="0.25"/>
  <cols>
    <col min="1" max="1" width="7.44140625" style="128" bestFit="1" customWidth="1"/>
    <col min="2" max="2" width="31.33203125" style="128" customWidth="1"/>
    <col min="3" max="3" width="4.5546875" style="128" customWidth="1"/>
    <col min="4" max="4" width="12.33203125" style="128" customWidth="1"/>
    <col min="5" max="5" width="4.33203125" style="128" customWidth="1"/>
    <col min="6" max="6" width="10" style="128" customWidth="1"/>
    <col min="7" max="7" width="8.44140625" style="128" bestFit="1" customWidth="1"/>
    <col min="8" max="8" width="12.109375" style="128" customWidth="1"/>
    <col min="9" max="9" width="16.6640625" style="128" customWidth="1"/>
    <col min="10" max="10" width="9.109375" style="128"/>
    <col min="11" max="11" width="27.44140625" style="128" customWidth="1"/>
    <col min="12" max="12" width="10.5546875" style="128" customWidth="1"/>
    <col min="13" max="13" width="11" style="128" customWidth="1"/>
    <col min="14" max="14" width="9.6640625" style="128" customWidth="1"/>
    <col min="15" max="256" width="9.109375" style="128"/>
    <col min="257" max="257" width="7.44140625" style="128" bestFit="1" customWidth="1"/>
    <col min="258" max="258" width="35.88671875" style="128" bestFit="1" customWidth="1"/>
    <col min="259" max="259" width="4.5546875" style="128" customWidth="1"/>
    <col min="260" max="260" width="16.6640625" style="128" bestFit="1" customWidth="1"/>
    <col min="261" max="261" width="4.33203125" style="128" customWidth="1"/>
    <col min="262" max="262" width="8.88671875" style="128" bestFit="1" customWidth="1"/>
    <col min="263" max="263" width="8.44140625" style="128" bestFit="1" customWidth="1"/>
    <col min="264" max="264" width="10.44140625" style="128" bestFit="1" customWidth="1"/>
    <col min="265" max="265" width="13.5546875" style="128" bestFit="1" customWidth="1"/>
    <col min="266" max="266" width="9.109375" style="128"/>
    <col min="267" max="267" width="27.44140625" style="128" customWidth="1"/>
    <col min="268" max="268" width="10.5546875" style="128" customWidth="1"/>
    <col min="269" max="269" width="11" style="128" customWidth="1"/>
    <col min="270" max="270" width="9.6640625" style="128" customWidth="1"/>
    <col min="271" max="512" width="9.109375" style="128"/>
    <col min="513" max="513" width="7.44140625" style="128" bestFit="1" customWidth="1"/>
    <col min="514" max="514" width="35.88671875" style="128" bestFit="1" customWidth="1"/>
    <col min="515" max="515" width="4.5546875" style="128" customWidth="1"/>
    <col min="516" max="516" width="16.6640625" style="128" bestFit="1" customWidth="1"/>
    <col min="517" max="517" width="4.33203125" style="128" customWidth="1"/>
    <col min="518" max="518" width="8.88671875" style="128" bestFit="1" customWidth="1"/>
    <col min="519" max="519" width="8.44140625" style="128" bestFit="1" customWidth="1"/>
    <col min="520" max="520" width="10.44140625" style="128" bestFit="1" customWidth="1"/>
    <col min="521" max="521" width="13.5546875" style="128" bestFit="1" customWidth="1"/>
    <col min="522" max="522" width="9.109375" style="128"/>
    <col min="523" max="523" width="27.44140625" style="128" customWidth="1"/>
    <col min="524" max="524" width="10.5546875" style="128" customWidth="1"/>
    <col min="525" max="525" width="11" style="128" customWidth="1"/>
    <col min="526" max="526" width="9.6640625" style="128" customWidth="1"/>
    <col min="527" max="768" width="9.109375" style="128"/>
    <col min="769" max="769" width="7.44140625" style="128" bestFit="1" customWidth="1"/>
    <col min="770" max="770" width="35.88671875" style="128" bestFit="1" customWidth="1"/>
    <col min="771" max="771" width="4.5546875" style="128" customWidth="1"/>
    <col min="772" max="772" width="16.6640625" style="128" bestFit="1" customWidth="1"/>
    <col min="773" max="773" width="4.33203125" style="128" customWidth="1"/>
    <col min="774" max="774" width="8.88671875" style="128" bestFit="1" customWidth="1"/>
    <col min="775" max="775" width="8.44140625" style="128" bestFit="1" customWidth="1"/>
    <col min="776" max="776" width="10.44140625" style="128" bestFit="1" customWidth="1"/>
    <col min="777" max="777" width="13.5546875" style="128" bestFit="1" customWidth="1"/>
    <col min="778" max="778" width="9.109375" style="128"/>
    <col min="779" max="779" width="27.44140625" style="128" customWidth="1"/>
    <col min="780" max="780" width="10.5546875" style="128" customWidth="1"/>
    <col min="781" max="781" width="11" style="128" customWidth="1"/>
    <col min="782" max="782" width="9.6640625" style="128" customWidth="1"/>
    <col min="783" max="1024" width="9.109375" style="128"/>
    <col min="1025" max="1025" width="7.44140625" style="128" bestFit="1" customWidth="1"/>
    <col min="1026" max="1026" width="35.88671875" style="128" bestFit="1" customWidth="1"/>
    <col min="1027" max="1027" width="4.5546875" style="128" customWidth="1"/>
    <col min="1028" max="1028" width="16.6640625" style="128" bestFit="1" customWidth="1"/>
    <col min="1029" max="1029" width="4.33203125" style="128" customWidth="1"/>
    <col min="1030" max="1030" width="8.88671875" style="128" bestFit="1" customWidth="1"/>
    <col min="1031" max="1031" width="8.44140625" style="128" bestFit="1" customWidth="1"/>
    <col min="1032" max="1032" width="10.44140625" style="128" bestFit="1" customWidth="1"/>
    <col min="1033" max="1033" width="13.5546875" style="128" bestFit="1" customWidth="1"/>
    <col min="1034" max="1034" width="9.109375" style="128"/>
    <col min="1035" max="1035" width="27.44140625" style="128" customWidth="1"/>
    <col min="1036" max="1036" width="10.5546875" style="128" customWidth="1"/>
    <col min="1037" max="1037" width="11" style="128" customWidth="1"/>
    <col min="1038" max="1038" width="9.6640625" style="128" customWidth="1"/>
    <col min="1039" max="1280" width="9.109375" style="128"/>
    <col min="1281" max="1281" width="7.44140625" style="128" bestFit="1" customWidth="1"/>
    <col min="1282" max="1282" width="35.88671875" style="128" bestFit="1" customWidth="1"/>
    <col min="1283" max="1283" width="4.5546875" style="128" customWidth="1"/>
    <col min="1284" max="1284" width="16.6640625" style="128" bestFit="1" customWidth="1"/>
    <col min="1285" max="1285" width="4.33203125" style="128" customWidth="1"/>
    <col min="1286" max="1286" width="8.88671875" style="128" bestFit="1" customWidth="1"/>
    <col min="1287" max="1287" width="8.44140625" style="128" bestFit="1" customWidth="1"/>
    <col min="1288" max="1288" width="10.44140625" style="128" bestFit="1" customWidth="1"/>
    <col min="1289" max="1289" width="13.5546875" style="128" bestFit="1" customWidth="1"/>
    <col min="1290" max="1290" width="9.109375" style="128"/>
    <col min="1291" max="1291" width="27.44140625" style="128" customWidth="1"/>
    <col min="1292" max="1292" width="10.5546875" style="128" customWidth="1"/>
    <col min="1293" max="1293" width="11" style="128" customWidth="1"/>
    <col min="1294" max="1294" width="9.6640625" style="128" customWidth="1"/>
    <col min="1295" max="1536" width="9.109375" style="128"/>
    <col min="1537" max="1537" width="7.44140625" style="128" bestFit="1" customWidth="1"/>
    <col min="1538" max="1538" width="35.88671875" style="128" bestFit="1" customWidth="1"/>
    <col min="1539" max="1539" width="4.5546875" style="128" customWidth="1"/>
    <col min="1540" max="1540" width="16.6640625" style="128" bestFit="1" customWidth="1"/>
    <col min="1541" max="1541" width="4.33203125" style="128" customWidth="1"/>
    <col min="1542" max="1542" width="8.88671875" style="128" bestFit="1" customWidth="1"/>
    <col min="1543" max="1543" width="8.44140625" style="128" bestFit="1" customWidth="1"/>
    <col min="1544" max="1544" width="10.44140625" style="128" bestFit="1" customWidth="1"/>
    <col min="1545" max="1545" width="13.5546875" style="128" bestFit="1" customWidth="1"/>
    <col min="1546" max="1546" width="9.109375" style="128"/>
    <col min="1547" max="1547" width="27.44140625" style="128" customWidth="1"/>
    <col min="1548" max="1548" width="10.5546875" style="128" customWidth="1"/>
    <col min="1549" max="1549" width="11" style="128" customWidth="1"/>
    <col min="1550" max="1550" width="9.6640625" style="128" customWidth="1"/>
    <col min="1551" max="1792" width="9.109375" style="128"/>
    <col min="1793" max="1793" width="7.44140625" style="128" bestFit="1" customWidth="1"/>
    <col min="1794" max="1794" width="35.88671875" style="128" bestFit="1" customWidth="1"/>
    <col min="1795" max="1795" width="4.5546875" style="128" customWidth="1"/>
    <col min="1796" max="1796" width="16.6640625" style="128" bestFit="1" customWidth="1"/>
    <col min="1797" max="1797" width="4.33203125" style="128" customWidth="1"/>
    <col min="1798" max="1798" width="8.88671875" style="128" bestFit="1" customWidth="1"/>
    <col min="1799" max="1799" width="8.44140625" style="128" bestFit="1" customWidth="1"/>
    <col min="1800" max="1800" width="10.44140625" style="128" bestFit="1" customWidth="1"/>
    <col min="1801" max="1801" width="13.5546875" style="128" bestFit="1" customWidth="1"/>
    <col min="1802" max="1802" width="9.109375" style="128"/>
    <col min="1803" max="1803" width="27.44140625" style="128" customWidth="1"/>
    <col min="1804" max="1804" width="10.5546875" style="128" customWidth="1"/>
    <col min="1805" max="1805" width="11" style="128" customWidth="1"/>
    <col min="1806" max="1806" width="9.6640625" style="128" customWidth="1"/>
    <col min="1807" max="2048" width="9.109375" style="128"/>
    <col min="2049" max="2049" width="7.44140625" style="128" bestFit="1" customWidth="1"/>
    <col min="2050" max="2050" width="35.88671875" style="128" bestFit="1" customWidth="1"/>
    <col min="2051" max="2051" width="4.5546875" style="128" customWidth="1"/>
    <col min="2052" max="2052" width="16.6640625" style="128" bestFit="1" customWidth="1"/>
    <col min="2053" max="2053" width="4.33203125" style="128" customWidth="1"/>
    <col min="2054" max="2054" width="8.88671875" style="128" bestFit="1" customWidth="1"/>
    <col min="2055" max="2055" width="8.44140625" style="128" bestFit="1" customWidth="1"/>
    <col min="2056" max="2056" width="10.44140625" style="128" bestFit="1" customWidth="1"/>
    <col min="2057" max="2057" width="13.5546875" style="128" bestFit="1" customWidth="1"/>
    <col min="2058" max="2058" width="9.109375" style="128"/>
    <col min="2059" max="2059" width="27.44140625" style="128" customWidth="1"/>
    <col min="2060" max="2060" width="10.5546875" style="128" customWidth="1"/>
    <col min="2061" max="2061" width="11" style="128" customWidth="1"/>
    <col min="2062" max="2062" width="9.6640625" style="128" customWidth="1"/>
    <col min="2063" max="2304" width="9.109375" style="128"/>
    <col min="2305" max="2305" width="7.44140625" style="128" bestFit="1" customWidth="1"/>
    <col min="2306" max="2306" width="35.88671875" style="128" bestFit="1" customWidth="1"/>
    <col min="2307" max="2307" width="4.5546875" style="128" customWidth="1"/>
    <col min="2308" max="2308" width="16.6640625" style="128" bestFit="1" customWidth="1"/>
    <col min="2309" max="2309" width="4.33203125" style="128" customWidth="1"/>
    <col min="2310" max="2310" width="8.88671875" style="128" bestFit="1" customWidth="1"/>
    <col min="2311" max="2311" width="8.44140625" style="128" bestFit="1" customWidth="1"/>
    <col min="2312" max="2312" width="10.44140625" style="128" bestFit="1" customWidth="1"/>
    <col min="2313" max="2313" width="13.5546875" style="128" bestFit="1" customWidth="1"/>
    <col min="2314" max="2314" width="9.109375" style="128"/>
    <col min="2315" max="2315" width="27.44140625" style="128" customWidth="1"/>
    <col min="2316" max="2316" width="10.5546875" style="128" customWidth="1"/>
    <col min="2317" max="2317" width="11" style="128" customWidth="1"/>
    <col min="2318" max="2318" width="9.6640625" style="128" customWidth="1"/>
    <col min="2319" max="2560" width="9.109375" style="128"/>
    <col min="2561" max="2561" width="7.44140625" style="128" bestFit="1" customWidth="1"/>
    <col min="2562" max="2562" width="35.88671875" style="128" bestFit="1" customWidth="1"/>
    <col min="2563" max="2563" width="4.5546875" style="128" customWidth="1"/>
    <col min="2564" max="2564" width="16.6640625" style="128" bestFit="1" customWidth="1"/>
    <col min="2565" max="2565" width="4.33203125" style="128" customWidth="1"/>
    <col min="2566" max="2566" width="8.88671875" style="128" bestFit="1" customWidth="1"/>
    <col min="2567" max="2567" width="8.44140625" style="128" bestFit="1" customWidth="1"/>
    <col min="2568" max="2568" width="10.44140625" style="128" bestFit="1" customWidth="1"/>
    <col min="2569" max="2569" width="13.5546875" style="128" bestFit="1" customWidth="1"/>
    <col min="2570" max="2570" width="9.109375" style="128"/>
    <col min="2571" max="2571" width="27.44140625" style="128" customWidth="1"/>
    <col min="2572" max="2572" width="10.5546875" style="128" customWidth="1"/>
    <col min="2573" max="2573" width="11" style="128" customWidth="1"/>
    <col min="2574" max="2574" width="9.6640625" style="128" customWidth="1"/>
    <col min="2575" max="2816" width="9.109375" style="128"/>
    <col min="2817" max="2817" width="7.44140625" style="128" bestFit="1" customWidth="1"/>
    <col min="2818" max="2818" width="35.88671875" style="128" bestFit="1" customWidth="1"/>
    <col min="2819" max="2819" width="4.5546875" style="128" customWidth="1"/>
    <col min="2820" max="2820" width="16.6640625" style="128" bestFit="1" customWidth="1"/>
    <col min="2821" max="2821" width="4.33203125" style="128" customWidth="1"/>
    <col min="2822" max="2822" width="8.88671875" style="128" bestFit="1" customWidth="1"/>
    <col min="2823" max="2823" width="8.44140625" style="128" bestFit="1" customWidth="1"/>
    <col min="2824" max="2824" width="10.44140625" style="128" bestFit="1" customWidth="1"/>
    <col min="2825" max="2825" width="13.5546875" style="128" bestFit="1" customWidth="1"/>
    <col min="2826" max="2826" width="9.109375" style="128"/>
    <col min="2827" max="2827" width="27.44140625" style="128" customWidth="1"/>
    <col min="2828" max="2828" width="10.5546875" style="128" customWidth="1"/>
    <col min="2829" max="2829" width="11" style="128" customWidth="1"/>
    <col min="2830" max="2830" width="9.6640625" style="128" customWidth="1"/>
    <col min="2831" max="3072" width="9.109375" style="128"/>
    <col min="3073" max="3073" width="7.44140625" style="128" bestFit="1" customWidth="1"/>
    <col min="3074" max="3074" width="35.88671875" style="128" bestFit="1" customWidth="1"/>
    <col min="3075" max="3075" width="4.5546875" style="128" customWidth="1"/>
    <col min="3076" max="3076" width="16.6640625" style="128" bestFit="1" customWidth="1"/>
    <col min="3077" max="3077" width="4.33203125" style="128" customWidth="1"/>
    <col min="3078" max="3078" width="8.88671875" style="128" bestFit="1" customWidth="1"/>
    <col min="3079" max="3079" width="8.44140625" style="128" bestFit="1" customWidth="1"/>
    <col min="3080" max="3080" width="10.44140625" style="128" bestFit="1" customWidth="1"/>
    <col min="3081" max="3081" width="13.5546875" style="128" bestFit="1" customWidth="1"/>
    <col min="3082" max="3082" width="9.109375" style="128"/>
    <col min="3083" max="3083" width="27.44140625" style="128" customWidth="1"/>
    <col min="3084" max="3084" width="10.5546875" style="128" customWidth="1"/>
    <col min="3085" max="3085" width="11" style="128" customWidth="1"/>
    <col min="3086" max="3086" width="9.6640625" style="128" customWidth="1"/>
    <col min="3087" max="3328" width="9.109375" style="128"/>
    <col min="3329" max="3329" width="7.44140625" style="128" bestFit="1" customWidth="1"/>
    <col min="3330" max="3330" width="35.88671875" style="128" bestFit="1" customWidth="1"/>
    <col min="3331" max="3331" width="4.5546875" style="128" customWidth="1"/>
    <col min="3332" max="3332" width="16.6640625" style="128" bestFit="1" customWidth="1"/>
    <col min="3333" max="3333" width="4.33203125" style="128" customWidth="1"/>
    <col min="3334" max="3334" width="8.88671875" style="128" bestFit="1" customWidth="1"/>
    <col min="3335" max="3335" width="8.44140625" style="128" bestFit="1" customWidth="1"/>
    <col min="3336" max="3336" width="10.44140625" style="128" bestFit="1" customWidth="1"/>
    <col min="3337" max="3337" width="13.5546875" style="128" bestFit="1" customWidth="1"/>
    <col min="3338" max="3338" width="9.109375" style="128"/>
    <col min="3339" max="3339" width="27.44140625" style="128" customWidth="1"/>
    <col min="3340" max="3340" width="10.5546875" style="128" customWidth="1"/>
    <col min="3341" max="3341" width="11" style="128" customWidth="1"/>
    <col min="3342" max="3342" width="9.6640625" style="128" customWidth="1"/>
    <col min="3343" max="3584" width="9.109375" style="128"/>
    <col min="3585" max="3585" width="7.44140625" style="128" bestFit="1" customWidth="1"/>
    <col min="3586" max="3586" width="35.88671875" style="128" bestFit="1" customWidth="1"/>
    <col min="3587" max="3587" width="4.5546875" style="128" customWidth="1"/>
    <col min="3588" max="3588" width="16.6640625" style="128" bestFit="1" customWidth="1"/>
    <col min="3589" max="3589" width="4.33203125" style="128" customWidth="1"/>
    <col min="3590" max="3590" width="8.88671875" style="128" bestFit="1" customWidth="1"/>
    <col min="3591" max="3591" width="8.44140625" style="128" bestFit="1" customWidth="1"/>
    <col min="3592" max="3592" width="10.44140625" style="128" bestFit="1" customWidth="1"/>
    <col min="3593" max="3593" width="13.5546875" style="128" bestFit="1" customWidth="1"/>
    <col min="3594" max="3594" width="9.109375" style="128"/>
    <col min="3595" max="3595" width="27.44140625" style="128" customWidth="1"/>
    <col min="3596" max="3596" width="10.5546875" style="128" customWidth="1"/>
    <col min="3597" max="3597" width="11" style="128" customWidth="1"/>
    <col min="3598" max="3598" width="9.6640625" style="128" customWidth="1"/>
    <col min="3599" max="3840" width="9.109375" style="128"/>
    <col min="3841" max="3841" width="7.44140625" style="128" bestFit="1" customWidth="1"/>
    <col min="3842" max="3842" width="35.88671875" style="128" bestFit="1" customWidth="1"/>
    <col min="3843" max="3843" width="4.5546875" style="128" customWidth="1"/>
    <col min="3844" max="3844" width="16.6640625" style="128" bestFit="1" customWidth="1"/>
    <col min="3845" max="3845" width="4.33203125" style="128" customWidth="1"/>
    <col min="3846" max="3846" width="8.88671875" style="128" bestFit="1" customWidth="1"/>
    <col min="3847" max="3847" width="8.44140625" style="128" bestFit="1" customWidth="1"/>
    <col min="3848" max="3848" width="10.44140625" style="128" bestFit="1" customWidth="1"/>
    <col min="3849" max="3849" width="13.5546875" style="128" bestFit="1" customWidth="1"/>
    <col min="3850" max="3850" width="9.109375" style="128"/>
    <col min="3851" max="3851" width="27.44140625" style="128" customWidth="1"/>
    <col min="3852" max="3852" width="10.5546875" style="128" customWidth="1"/>
    <col min="3853" max="3853" width="11" style="128" customWidth="1"/>
    <col min="3854" max="3854" width="9.6640625" style="128" customWidth="1"/>
    <col min="3855" max="4096" width="9.109375" style="128"/>
    <col min="4097" max="4097" width="7.44140625" style="128" bestFit="1" customWidth="1"/>
    <col min="4098" max="4098" width="35.88671875" style="128" bestFit="1" customWidth="1"/>
    <col min="4099" max="4099" width="4.5546875" style="128" customWidth="1"/>
    <col min="4100" max="4100" width="16.6640625" style="128" bestFit="1" customWidth="1"/>
    <col min="4101" max="4101" width="4.33203125" style="128" customWidth="1"/>
    <col min="4102" max="4102" width="8.88671875" style="128" bestFit="1" customWidth="1"/>
    <col min="4103" max="4103" width="8.44140625" style="128" bestFit="1" customWidth="1"/>
    <col min="4104" max="4104" width="10.44140625" style="128" bestFit="1" customWidth="1"/>
    <col min="4105" max="4105" width="13.5546875" style="128" bestFit="1" customWidth="1"/>
    <col min="4106" max="4106" width="9.109375" style="128"/>
    <col min="4107" max="4107" width="27.44140625" style="128" customWidth="1"/>
    <col min="4108" max="4108" width="10.5546875" style="128" customWidth="1"/>
    <col min="4109" max="4109" width="11" style="128" customWidth="1"/>
    <col min="4110" max="4110" width="9.6640625" style="128" customWidth="1"/>
    <col min="4111" max="4352" width="9.109375" style="128"/>
    <col min="4353" max="4353" width="7.44140625" style="128" bestFit="1" customWidth="1"/>
    <col min="4354" max="4354" width="35.88671875" style="128" bestFit="1" customWidth="1"/>
    <col min="4355" max="4355" width="4.5546875" style="128" customWidth="1"/>
    <col min="4356" max="4356" width="16.6640625" style="128" bestFit="1" customWidth="1"/>
    <col min="4357" max="4357" width="4.33203125" style="128" customWidth="1"/>
    <col min="4358" max="4358" width="8.88671875" style="128" bestFit="1" customWidth="1"/>
    <col min="4359" max="4359" width="8.44140625" style="128" bestFit="1" customWidth="1"/>
    <col min="4360" max="4360" width="10.44140625" style="128" bestFit="1" customWidth="1"/>
    <col min="4361" max="4361" width="13.5546875" style="128" bestFit="1" customWidth="1"/>
    <col min="4362" max="4362" width="9.109375" style="128"/>
    <col min="4363" max="4363" width="27.44140625" style="128" customWidth="1"/>
    <col min="4364" max="4364" width="10.5546875" style="128" customWidth="1"/>
    <col min="4365" max="4365" width="11" style="128" customWidth="1"/>
    <col min="4366" max="4366" width="9.6640625" style="128" customWidth="1"/>
    <col min="4367" max="4608" width="9.109375" style="128"/>
    <col min="4609" max="4609" width="7.44140625" style="128" bestFit="1" customWidth="1"/>
    <col min="4610" max="4610" width="35.88671875" style="128" bestFit="1" customWidth="1"/>
    <col min="4611" max="4611" width="4.5546875" style="128" customWidth="1"/>
    <col min="4612" max="4612" width="16.6640625" style="128" bestFit="1" customWidth="1"/>
    <col min="4613" max="4613" width="4.33203125" style="128" customWidth="1"/>
    <col min="4614" max="4614" width="8.88671875" style="128" bestFit="1" customWidth="1"/>
    <col min="4615" max="4615" width="8.44140625" style="128" bestFit="1" customWidth="1"/>
    <col min="4616" max="4616" width="10.44140625" style="128" bestFit="1" customWidth="1"/>
    <col min="4617" max="4617" width="13.5546875" style="128" bestFit="1" customWidth="1"/>
    <col min="4618" max="4618" width="9.109375" style="128"/>
    <col min="4619" max="4619" width="27.44140625" style="128" customWidth="1"/>
    <col min="4620" max="4620" width="10.5546875" style="128" customWidth="1"/>
    <col min="4621" max="4621" width="11" style="128" customWidth="1"/>
    <col min="4622" max="4622" width="9.6640625" style="128" customWidth="1"/>
    <col min="4623" max="4864" width="9.109375" style="128"/>
    <col min="4865" max="4865" width="7.44140625" style="128" bestFit="1" customWidth="1"/>
    <col min="4866" max="4866" width="35.88671875" style="128" bestFit="1" customWidth="1"/>
    <col min="4867" max="4867" width="4.5546875" style="128" customWidth="1"/>
    <col min="4868" max="4868" width="16.6640625" style="128" bestFit="1" customWidth="1"/>
    <col min="4869" max="4869" width="4.33203125" style="128" customWidth="1"/>
    <col min="4870" max="4870" width="8.88671875" style="128" bestFit="1" customWidth="1"/>
    <col min="4871" max="4871" width="8.44140625" style="128" bestFit="1" customWidth="1"/>
    <col min="4872" max="4872" width="10.44140625" style="128" bestFit="1" customWidth="1"/>
    <col min="4873" max="4873" width="13.5546875" style="128" bestFit="1" customWidth="1"/>
    <col min="4874" max="4874" width="9.109375" style="128"/>
    <col min="4875" max="4875" width="27.44140625" style="128" customWidth="1"/>
    <col min="4876" max="4876" width="10.5546875" style="128" customWidth="1"/>
    <col min="4877" max="4877" width="11" style="128" customWidth="1"/>
    <col min="4878" max="4878" width="9.6640625" style="128" customWidth="1"/>
    <col min="4879" max="5120" width="9.109375" style="128"/>
    <col min="5121" max="5121" width="7.44140625" style="128" bestFit="1" customWidth="1"/>
    <col min="5122" max="5122" width="35.88671875" style="128" bestFit="1" customWidth="1"/>
    <col min="5123" max="5123" width="4.5546875" style="128" customWidth="1"/>
    <col min="5124" max="5124" width="16.6640625" style="128" bestFit="1" customWidth="1"/>
    <col min="5125" max="5125" width="4.33203125" style="128" customWidth="1"/>
    <col min="5126" max="5126" width="8.88671875" style="128" bestFit="1" customWidth="1"/>
    <col min="5127" max="5127" width="8.44140625" style="128" bestFit="1" customWidth="1"/>
    <col min="5128" max="5128" width="10.44140625" style="128" bestFit="1" customWidth="1"/>
    <col min="5129" max="5129" width="13.5546875" style="128" bestFit="1" customWidth="1"/>
    <col min="5130" max="5130" width="9.109375" style="128"/>
    <col min="5131" max="5131" width="27.44140625" style="128" customWidth="1"/>
    <col min="5132" max="5132" width="10.5546875" style="128" customWidth="1"/>
    <col min="5133" max="5133" width="11" style="128" customWidth="1"/>
    <col min="5134" max="5134" width="9.6640625" style="128" customWidth="1"/>
    <col min="5135" max="5376" width="9.109375" style="128"/>
    <col min="5377" max="5377" width="7.44140625" style="128" bestFit="1" customWidth="1"/>
    <col min="5378" max="5378" width="35.88671875" style="128" bestFit="1" customWidth="1"/>
    <col min="5379" max="5379" width="4.5546875" style="128" customWidth="1"/>
    <col min="5380" max="5380" width="16.6640625" style="128" bestFit="1" customWidth="1"/>
    <col min="5381" max="5381" width="4.33203125" style="128" customWidth="1"/>
    <col min="5382" max="5382" width="8.88671875" style="128" bestFit="1" customWidth="1"/>
    <col min="5383" max="5383" width="8.44140625" style="128" bestFit="1" customWidth="1"/>
    <col min="5384" max="5384" width="10.44140625" style="128" bestFit="1" customWidth="1"/>
    <col min="5385" max="5385" width="13.5546875" style="128" bestFit="1" customWidth="1"/>
    <col min="5386" max="5386" width="9.109375" style="128"/>
    <col min="5387" max="5387" width="27.44140625" style="128" customWidth="1"/>
    <col min="5388" max="5388" width="10.5546875" style="128" customWidth="1"/>
    <col min="5389" max="5389" width="11" style="128" customWidth="1"/>
    <col min="5390" max="5390" width="9.6640625" style="128" customWidth="1"/>
    <col min="5391" max="5632" width="9.109375" style="128"/>
    <col min="5633" max="5633" width="7.44140625" style="128" bestFit="1" customWidth="1"/>
    <col min="5634" max="5634" width="35.88671875" style="128" bestFit="1" customWidth="1"/>
    <col min="5635" max="5635" width="4.5546875" style="128" customWidth="1"/>
    <col min="5636" max="5636" width="16.6640625" style="128" bestFit="1" customWidth="1"/>
    <col min="5637" max="5637" width="4.33203125" style="128" customWidth="1"/>
    <col min="5638" max="5638" width="8.88671875" style="128" bestFit="1" customWidth="1"/>
    <col min="5639" max="5639" width="8.44140625" style="128" bestFit="1" customWidth="1"/>
    <col min="5640" max="5640" width="10.44140625" style="128" bestFit="1" customWidth="1"/>
    <col min="5641" max="5641" width="13.5546875" style="128" bestFit="1" customWidth="1"/>
    <col min="5642" max="5642" width="9.109375" style="128"/>
    <col min="5643" max="5643" width="27.44140625" style="128" customWidth="1"/>
    <col min="5644" max="5644" width="10.5546875" style="128" customWidth="1"/>
    <col min="5645" max="5645" width="11" style="128" customWidth="1"/>
    <col min="5646" max="5646" width="9.6640625" style="128" customWidth="1"/>
    <col min="5647" max="5888" width="9.109375" style="128"/>
    <col min="5889" max="5889" width="7.44140625" style="128" bestFit="1" customWidth="1"/>
    <col min="5890" max="5890" width="35.88671875" style="128" bestFit="1" customWidth="1"/>
    <col min="5891" max="5891" width="4.5546875" style="128" customWidth="1"/>
    <col min="5892" max="5892" width="16.6640625" style="128" bestFit="1" customWidth="1"/>
    <col min="5893" max="5893" width="4.33203125" style="128" customWidth="1"/>
    <col min="5894" max="5894" width="8.88671875" style="128" bestFit="1" customWidth="1"/>
    <col min="5895" max="5895" width="8.44140625" style="128" bestFit="1" customWidth="1"/>
    <col min="5896" max="5896" width="10.44140625" style="128" bestFit="1" customWidth="1"/>
    <col min="5897" max="5897" width="13.5546875" style="128" bestFit="1" customWidth="1"/>
    <col min="5898" max="5898" width="9.109375" style="128"/>
    <col min="5899" max="5899" width="27.44140625" style="128" customWidth="1"/>
    <col min="5900" max="5900" width="10.5546875" style="128" customWidth="1"/>
    <col min="5901" max="5901" width="11" style="128" customWidth="1"/>
    <col min="5902" max="5902" width="9.6640625" style="128" customWidth="1"/>
    <col min="5903" max="6144" width="9.109375" style="128"/>
    <col min="6145" max="6145" width="7.44140625" style="128" bestFit="1" customWidth="1"/>
    <col min="6146" max="6146" width="35.88671875" style="128" bestFit="1" customWidth="1"/>
    <col min="6147" max="6147" width="4.5546875" style="128" customWidth="1"/>
    <col min="6148" max="6148" width="16.6640625" style="128" bestFit="1" customWidth="1"/>
    <col min="6149" max="6149" width="4.33203125" style="128" customWidth="1"/>
    <col min="6150" max="6150" width="8.88671875" style="128" bestFit="1" customWidth="1"/>
    <col min="6151" max="6151" width="8.44140625" style="128" bestFit="1" customWidth="1"/>
    <col min="6152" max="6152" width="10.44140625" style="128" bestFit="1" customWidth="1"/>
    <col min="6153" max="6153" width="13.5546875" style="128" bestFit="1" customWidth="1"/>
    <col min="6154" max="6154" width="9.109375" style="128"/>
    <col min="6155" max="6155" width="27.44140625" style="128" customWidth="1"/>
    <col min="6156" max="6156" width="10.5546875" style="128" customWidth="1"/>
    <col min="6157" max="6157" width="11" style="128" customWidth="1"/>
    <col min="6158" max="6158" width="9.6640625" style="128" customWidth="1"/>
    <col min="6159" max="6400" width="9.109375" style="128"/>
    <col min="6401" max="6401" width="7.44140625" style="128" bestFit="1" customWidth="1"/>
    <col min="6402" max="6402" width="35.88671875" style="128" bestFit="1" customWidth="1"/>
    <col min="6403" max="6403" width="4.5546875" style="128" customWidth="1"/>
    <col min="6404" max="6404" width="16.6640625" style="128" bestFit="1" customWidth="1"/>
    <col min="6405" max="6405" width="4.33203125" style="128" customWidth="1"/>
    <col min="6406" max="6406" width="8.88671875" style="128" bestFit="1" customWidth="1"/>
    <col min="6407" max="6407" width="8.44140625" style="128" bestFit="1" customWidth="1"/>
    <col min="6408" max="6408" width="10.44140625" style="128" bestFit="1" customWidth="1"/>
    <col min="6409" max="6409" width="13.5546875" style="128" bestFit="1" customWidth="1"/>
    <col min="6410" max="6410" width="9.109375" style="128"/>
    <col min="6411" max="6411" width="27.44140625" style="128" customWidth="1"/>
    <col min="6412" max="6412" width="10.5546875" style="128" customWidth="1"/>
    <col min="6413" max="6413" width="11" style="128" customWidth="1"/>
    <col min="6414" max="6414" width="9.6640625" style="128" customWidth="1"/>
    <col min="6415" max="6656" width="9.109375" style="128"/>
    <col min="6657" max="6657" width="7.44140625" style="128" bestFit="1" customWidth="1"/>
    <col min="6658" max="6658" width="35.88671875" style="128" bestFit="1" customWidth="1"/>
    <col min="6659" max="6659" width="4.5546875" style="128" customWidth="1"/>
    <col min="6660" max="6660" width="16.6640625" style="128" bestFit="1" customWidth="1"/>
    <col min="6661" max="6661" width="4.33203125" style="128" customWidth="1"/>
    <col min="6662" max="6662" width="8.88671875" style="128" bestFit="1" customWidth="1"/>
    <col min="6663" max="6663" width="8.44140625" style="128" bestFit="1" customWidth="1"/>
    <col min="6664" max="6664" width="10.44140625" style="128" bestFit="1" customWidth="1"/>
    <col min="6665" max="6665" width="13.5546875" style="128" bestFit="1" customWidth="1"/>
    <col min="6666" max="6666" width="9.109375" style="128"/>
    <col min="6667" max="6667" width="27.44140625" style="128" customWidth="1"/>
    <col min="6668" max="6668" width="10.5546875" style="128" customWidth="1"/>
    <col min="6669" max="6669" width="11" style="128" customWidth="1"/>
    <col min="6670" max="6670" width="9.6640625" style="128" customWidth="1"/>
    <col min="6671" max="6912" width="9.109375" style="128"/>
    <col min="6913" max="6913" width="7.44140625" style="128" bestFit="1" customWidth="1"/>
    <col min="6914" max="6914" width="35.88671875" style="128" bestFit="1" customWidth="1"/>
    <col min="6915" max="6915" width="4.5546875" style="128" customWidth="1"/>
    <col min="6916" max="6916" width="16.6640625" style="128" bestFit="1" customWidth="1"/>
    <col min="6917" max="6917" width="4.33203125" style="128" customWidth="1"/>
    <col min="6918" max="6918" width="8.88671875" style="128" bestFit="1" customWidth="1"/>
    <col min="6919" max="6919" width="8.44140625" style="128" bestFit="1" customWidth="1"/>
    <col min="6920" max="6920" width="10.44140625" style="128" bestFit="1" customWidth="1"/>
    <col min="6921" max="6921" width="13.5546875" style="128" bestFit="1" customWidth="1"/>
    <col min="6922" max="6922" width="9.109375" style="128"/>
    <col min="6923" max="6923" width="27.44140625" style="128" customWidth="1"/>
    <col min="6924" max="6924" width="10.5546875" style="128" customWidth="1"/>
    <col min="6925" max="6925" width="11" style="128" customWidth="1"/>
    <col min="6926" max="6926" width="9.6640625" style="128" customWidth="1"/>
    <col min="6927" max="7168" width="9.109375" style="128"/>
    <col min="7169" max="7169" width="7.44140625" style="128" bestFit="1" customWidth="1"/>
    <col min="7170" max="7170" width="35.88671875" style="128" bestFit="1" customWidth="1"/>
    <col min="7171" max="7171" width="4.5546875" style="128" customWidth="1"/>
    <col min="7172" max="7172" width="16.6640625" style="128" bestFit="1" customWidth="1"/>
    <col min="7173" max="7173" width="4.33203125" style="128" customWidth="1"/>
    <col min="7174" max="7174" width="8.88671875" style="128" bestFit="1" customWidth="1"/>
    <col min="7175" max="7175" width="8.44140625" style="128" bestFit="1" customWidth="1"/>
    <col min="7176" max="7176" width="10.44140625" style="128" bestFit="1" customWidth="1"/>
    <col min="7177" max="7177" width="13.5546875" style="128" bestFit="1" customWidth="1"/>
    <col min="7178" max="7178" width="9.109375" style="128"/>
    <col min="7179" max="7179" width="27.44140625" style="128" customWidth="1"/>
    <col min="7180" max="7180" width="10.5546875" style="128" customWidth="1"/>
    <col min="7181" max="7181" width="11" style="128" customWidth="1"/>
    <col min="7182" max="7182" width="9.6640625" style="128" customWidth="1"/>
    <col min="7183" max="7424" width="9.109375" style="128"/>
    <col min="7425" max="7425" width="7.44140625" style="128" bestFit="1" customWidth="1"/>
    <col min="7426" max="7426" width="35.88671875" style="128" bestFit="1" customWidth="1"/>
    <col min="7427" max="7427" width="4.5546875" style="128" customWidth="1"/>
    <col min="7428" max="7428" width="16.6640625" style="128" bestFit="1" customWidth="1"/>
    <col min="7429" max="7429" width="4.33203125" style="128" customWidth="1"/>
    <col min="7430" max="7430" width="8.88671875" style="128" bestFit="1" customWidth="1"/>
    <col min="7431" max="7431" width="8.44140625" style="128" bestFit="1" customWidth="1"/>
    <col min="7432" max="7432" width="10.44140625" style="128" bestFit="1" customWidth="1"/>
    <col min="7433" max="7433" width="13.5546875" style="128" bestFit="1" customWidth="1"/>
    <col min="7434" max="7434" width="9.109375" style="128"/>
    <col min="7435" max="7435" width="27.44140625" style="128" customWidth="1"/>
    <col min="7436" max="7436" width="10.5546875" style="128" customWidth="1"/>
    <col min="7437" max="7437" width="11" style="128" customWidth="1"/>
    <col min="7438" max="7438" width="9.6640625" style="128" customWidth="1"/>
    <col min="7439" max="7680" width="9.109375" style="128"/>
    <col min="7681" max="7681" width="7.44140625" style="128" bestFit="1" customWidth="1"/>
    <col min="7682" max="7682" width="35.88671875" style="128" bestFit="1" customWidth="1"/>
    <col min="7683" max="7683" width="4.5546875" style="128" customWidth="1"/>
    <col min="7684" max="7684" width="16.6640625" style="128" bestFit="1" customWidth="1"/>
    <col min="7685" max="7685" width="4.33203125" style="128" customWidth="1"/>
    <col min="7686" max="7686" width="8.88671875" style="128" bestFit="1" customWidth="1"/>
    <col min="7687" max="7687" width="8.44140625" style="128" bestFit="1" customWidth="1"/>
    <col min="7688" max="7688" width="10.44140625" style="128" bestFit="1" customWidth="1"/>
    <col min="7689" max="7689" width="13.5546875" style="128" bestFit="1" customWidth="1"/>
    <col min="7690" max="7690" width="9.109375" style="128"/>
    <col min="7691" max="7691" width="27.44140625" style="128" customWidth="1"/>
    <col min="7692" max="7692" width="10.5546875" style="128" customWidth="1"/>
    <col min="7693" max="7693" width="11" style="128" customWidth="1"/>
    <col min="7694" max="7694" width="9.6640625" style="128" customWidth="1"/>
    <col min="7695" max="7936" width="9.109375" style="128"/>
    <col min="7937" max="7937" width="7.44140625" style="128" bestFit="1" customWidth="1"/>
    <col min="7938" max="7938" width="35.88671875" style="128" bestFit="1" customWidth="1"/>
    <col min="7939" max="7939" width="4.5546875" style="128" customWidth="1"/>
    <col min="7940" max="7940" width="16.6640625" style="128" bestFit="1" customWidth="1"/>
    <col min="7941" max="7941" width="4.33203125" style="128" customWidth="1"/>
    <col min="7942" max="7942" width="8.88671875" style="128" bestFit="1" customWidth="1"/>
    <col min="7943" max="7943" width="8.44140625" style="128" bestFit="1" customWidth="1"/>
    <col min="7944" max="7944" width="10.44140625" style="128" bestFit="1" customWidth="1"/>
    <col min="7945" max="7945" width="13.5546875" style="128" bestFit="1" customWidth="1"/>
    <col min="7946" max="7946" width="9.109375" style="128"/>
    <col min="7947" max="7947" width="27.44140625" style="128" customWidth="1"/>
    <col min="7948" max="7948" width="10.5546875" style="128" customWidth="1"/>
    <col min="7949" max="7949" width="11" style="128" customWidth="1"/>
    <col min="7950" max="7950" width="9.6640625" style="128" customWidth="1"/>
    <col min="7951" max="8192" width="9.109375" style="128"/>
    <col min="8193" max="8193" width="7.44140625" style="128" bestFit="1" customWidth="1"/>
    <col min="8194" max="8194" width="35.88671875" style="128" bestFit="1" customWidth="1"/>
    <col min="8195" max="8195" width="4.5546875" style="128" customWidth="1"/>
    <col min="8196" max="8196" width="16.6640625" style="128" bestFit="1" customWidth="1"/>
    <col min="8197" max="8197" width="4.33203125" style="128" customWidth="1"/>
    <col min="8198" max="8198" width="8.88671875" style="128" bestFit="1" customWidth="1"/>
    <col min="8199" max="8199" width="8.44140625" style="128" bestFit="1" customWidth="1"/>
    <col min="8200" max="8200" width="10.44140625" style="128" bestFit="1" customWidth="1"/>
    <col min="8201" max="8201" width="13.5546875" style="128" bestFit="1" customWidth="1"/>
    <col min="8202" max="8202" width="9.109375" style="128"/>
    <col min="8203" max="8203" width="27.44140625" style="128" customWidth="1"/>
    <col min="8204" max="8204" width="10.5546875" style="128" customWidth="1"/>
    <col min="8205" max="8205" width="11" style="128" customWidth="1"/>
    <col min="8206" max="8206" width="9.6640625" style="128" customWidth="1"/>
    <col min="8207" max="8448" width="9.109375" style="128"/>
    <col min="8449" max="8449" width="7.44140625" style="128" bestFit="1" customWidth="1"/>
    <col min="8450" max="8450" width="35.88671875" style="128" bestFit="1" customWidth="1"/>
    <col min="8451" max="8451" width="4.5546875" style="128" customWidth="1"/>
    <col min="8452" max="8452" width="16.6640625" style="128" bestFit="1" customWidth="1"/>
    <col min="8453" max="8453" width="4.33203125" style="128" customWidth="1"/>
    <col min="8454" max="8454" width="8.88671875" style="128" bestFit="1" customWidth="1"/>
    <col min="8455" max="8455" width="8.44140625" style="128" bestFit="1" customWidth="1"/>
    <col min="8456" max="8456" width="10.44140625" style="128" bestFit="1" customWidth="1"/>
    <col min="8457" max="8457" width="13.5546875" style="128" bestFit="1" customWidth="1"/>
    <col min="8458" max="8458" width="9.109375" style="128"/>
    <col min="8459" max="8459" width="27.44140625" style="128" customWidth="1"/>
    <col min="8460" max="8460" width="10.5546875" style="128" customWidth="1"/>
    <col min="8461" max="8461" width="11" style="128" customWidth="1"/>
    <col min="8462" max="8462" width="9.6640625" style="128" customWidth="1"/>
    <col min="8463" max="8704" width="9.109375" style="128"/>
    <col min="8705" max="8705" width="7.44140625" style="128" bestFit="1" customWidth="1"/>
    <col min="8706" max="8706" width="35.88671875" style="128" bestFit="1" customWidth="1"/>
    <col min="8707" max="8707" width="4.5546875" style="128" customWidth="1"/>
    <col min="8708" max="8708" width="16.6640625" style="128" bestFit="1" customWidth="1"/>
    <col min="8709" max="8709" width="4.33203125" style="128" customWidth="1"/>
    <col min="8710" max="8710" width="8.88671875" style="128" bestFit="1" customWidth="1"/>
    <col min="8711" max="8711" width="8.44140625" style="128" bestFit="1" customWidth="1"/>
    <col min="8712" max="8712" width="10.44140625" style="128" bestFit="1" customWidth="1"/>
    <col min="8713" max="8713" width="13.5546875" style="128" bestFit="1" customWidth="1"/>
    <col min="8714" max="8714" width="9.109375" style="128"/>
    <col min="8715" max="8715" width="27.44140625" style="128" customWidth="1"/>
    <col min="8716" max="8716" width="10.5546875" style="128" customWidth="1"/>
    <col min="8717" max="8717" width="11" style="128" customWidth="1"/>
    <col min="8718" max="8718" width="9.6640625" style="128" customWidth="1"/>
    <col min="8719" max="8960" width="9.109375" style="128"/>
    <col min="8961" max="8961" width="7.44140625" style="128" bestFit="1" customWidth="1"/>
    <col min="8962" max="8962" width="35.88671875" style="128" bestFit="1" customWidth="1"/>
    <col min="8963" max="8963" width="4.5546875" style="128" customWidth="1"/>
    <col min="8964" max="8964" width="16.6640625" style="128" bestFit="1" customWidth="1"/>
    <col min="8965" max="8965" width="4.33203125" style="128" customWidth="1"/>
    <col min="8966" max="8966" width="8.88671875" style="128" bestFit="1" customWidth="1"/>
    <col min="8967" max="8967" width="8.44140625" style="128" bestFit="1" customWidth="1"/>
    <col min="8968" max="8968" width="10.44140625" style="128" bestFit="1" customWidth="1"/>
    <col min="8969" max="8969" width="13.5546875" style="128" bestFit="1" customWidth="1"/>
    <col min="8970" max="8970" width="9.109375" style="128"/>
    <col min="8971" max="8971" width="27.44140625" style="128" customWidth="1"/>
    <col min="8972" max="8972" width="10.5546875" style="128" customWidth="1"/>
    <col min="8973" max="8973" width="11" style="128" customWidth="1"/>
    <col min="8974" max="8974" width="9.6640625" style="128" customWidth="1"/>
    <col min="8975" max="9216" width="9.109375" style="128"/>
    <col min="9217" max="9217" width="7.44140625" style="128" bestFit="1" customWidth="1"/>
    <col min="9218" max="9218" width="35.88671875" style="128" bestFit="1" customWidth="1"/>
    <col min="9219" max="9219" width="4.5546875" style="128" customWidth="1"/>
    <col min="9220" max="9220" width="16.6640625" style="128" bestFit="1" customWidth="1"/>
    <col min="9221" max="9221" width="4.33203125" style="128" customWidth="1"/>
    <col min="9222" max="9222" width="8.88671875" style="128" bestFit="1" customWidth="1"/>
    <col min="9223" max="9223" width="8.44140625" style="128" bestFit="1" customWidth="1"/>
    <col min="9224" max="9224" width="10.44140625" style="128" bestFit="1" customWidth="1"/>
    <col min="9225" max="9225" width="13.5546875" style="128" bestFit="1" customWidth="1"/>
    <col min="9226" max="9226" width="9.109375" style="128"/>
    <col min="9227" max="9227" width="27.44140625" style="128" customWidth="1"/>
    <col min="9228" max="9228" width="10.5546875" style="128" customWidth="1"/>
    <col min="9229" max="9229" width="11" style="128" customWidth="1"/>
    <col min="9230" max="9230" width="9.6640625" style="128" customWidth="1"/>
    <col min="9231" max="9472" width="9.109375" style="128"/>
    <col min="9473" max="9473" width="7.44140625" style="128" bestFit="1" customWidth="1"/>
    <col min="9474" max="9474" width="35.88671875" style="128" bestFit="1" customWidth="1"/>
    <col min="9475" max="9475" width="4.5546875" style="128" customWidth="1"/>
    <col min="9476" max="9476" width="16.6640625" style="128" bestFit="1" customWidth="1"/>
    <col min="9477" max="9477" width="4.33203125" style="128" customWidth="1"/>
    <col min="9478" max="9478" width="8.88671875" style="128" bestFit="1" customWidth="1"/>
    <col min="9479" max="9479" width="8.44140625" style="128" bestFit="1" customWidth="1"/>
    <col min="9480" max="9480" width="10.44140625" style="128" bestFit="1" customWidth="1"/>
    <col min="9481" max="9481" width="13.5546875" style="128" bestFit="1" customWidth="1"/>
    <col min="9482" max="9482" width="9.109375" style="128"/>
    <col min="9483" max="9483" width="27.44140625" style="128" customWidth="1"/>
    <col min="9484" max="9484" width="10.5546875" style="128" customWidth="1"/>
    <col min="9485" max="9485" width="11" style="128" customWidth="1"/>
    <col min="9486" max="9486" width="9.6640625" style="128" customWidth="1"/>
    <col min="9487" max="9728" width="9.109375" style="128"/>
    <col min="9729" max="9729" width="7.44140625" style="128" bestFit="1" customWidth="1"/>
    <col min="9730" max="9730" width="35.88671875" style="128" bestFit="1" customWidth="1"/>
    <col min="9731" max="9731" width="4.5546875" style="128" customWidth="1"/>
    <col min="9732" max="9732" width="16.6640625" style="128" bestFit="1" customWidth="1"/>
    <col min="9733" max="9733" width="4.33203125" style="128" customWidth="1"/>
    <col min="9734" max="9734" width="8.88671875" style="128" bestFit="1" customWidth="1"/>
    <col min="9735" max="9735" width="8.44140625" style="128" bestFit="1" customWidth="1"/>
    <col min="9736" max="9736" width="10.44140625" style="128" bestFit="1" customWidth="1"/>
    <col min="9737" max="9737" width="13.5546875" style="128" bestFit="1" customWidth="1"/>
    <col min="9738" max="9738" width="9.109375" style="128"/>
    <col min="9739" max="9739" width="27.44140625" style="128" customWidth="1"/>
    <col min="9740" max="9740" width="10.5546875" style="128" customWidth="1"/>
    <col min="9741" max="9741" width="11" style="128" customWidth="1"/>
    <col min="9742" max="9742" width="9.6640625" style="128" customWidth="1"/>
    <col min="9743" max="9984" width="9.109375" style="128"/>
    <col min="9985" max="9985" width="7.44140625" style="128" bestFit="1" customWidth="1"/>
    <col min="9986" max="9986" width="35.88671875" style="128" bestFit="1" customWidth="1"/>
    <col min="9987" max="9987" width="4.5546875" style="128" customWidth="1"/>
    <col min="9988" max="9988" width="16.6640625" style="128" bestFit="1" customWidth="1"/>
    <col min="9989" max="9989" width="4.33203125" style="128" customWidth="1"/>
    <col min="9990" max="9990" width="8.88671875" style="128" bestFit="1" customWidth="1"/>
    <col min="9991" max="9991" width="8.44140625" style="128" bestFit="1" customWidth="1"/>
    <col min="9992" max="9992" width="10.44140625" style="128" bestFit="1" customWidth="1"/>
    <col min="9993" max="9993" width="13.5546875" style="128" bestFit="1" customWidth="1"/>
    <col min="9994" max="9994" width="9.109375" style="128"/>
    <col min="9995" max="9995" width="27.44140625" style="128" customWidth="1"/>
    <col min="9996" max="9996" width="10.5546875" style="128" customWidth="1"/>
    <col min="9997" max="9997" width="11" style="128" customWidth="1"/>
    <col min="9998" max="9998" width="9.6640625" style="128" customWidth="1"/>
    <col min="9999" max="10240" width="9.109375" style="128"/>
    <col min="10241" max="10241" width="7.44140625" style="128" bestFit="1" customWidth="1"/>
    <col min="10242" max="10242" width="35.88671875" style="128" bestFit="1" customWidth="1"/>
    <col min="10243" max="10243" width="4.5546875" style="128" customWidth="1"/>
    <col min="10244" max="10244" width="16.6640625" style="128" bestFit="1" customWidth="1"/>
    <col min="10245" max="10245" width="4.33203125" style="128" customWidth="1"/>
    <col min="10246" max="10246" width="8.88671875" style="128" bestFit="1" customWidth="1"/>
    <col min="10247" max="10247" width="8.44140625" style="128" bestFit="1" customWidth="1"/>
    <col min="10248" max="10248" width="10.44140625" style="128" bestFit="1" customWidth="1"/>
    <col min="10249" max="10249" width="13.5546875" style="128" bestFit="1" customWidth="1"/>
    <col min="10250" max="10250" width="9.109375" style="128"/>
    <col min="10251" max="10251" width="27.44140625" style="128" customWidth="1"/>
    <col min="10252" max="10252" width="10.5546875" style="128" customWidth="1"/>
    <col min="10253" max="10253" width="11" style="128" customWidth="1"/>
    <col min="10254" max="10254" width="9.6640625" style="128" customWidth="1"/>
    <col min="10255" max="10496" width="9.109375" style="128"/>
    <col min="10497" max="10497" width="7.44140625" style="128" bestFit="1" customWidth="1"/>
    <col min="10498" max="10498" width="35.88671875" style="128" bestFit="1" customWidth="1"/>
    <col min="10499" max="10499" width="4.5546875" style="128" customWidth="1"/>
    <col min="10500" max="10500" width="16.6640625" style="128" bestFit="1" customWidth="1"/>
    <col min="10501" max="10501" width="4.33203125" style="128" customWidth="1"/>
    <col min="10502" max="10502" width="8.88671875" style="128" bestFit="1" customWidth="1"/>
    <col min="10503" max="10503" width="8.44140625" style="128" bestFit="1" customWidth="1"/>
    <col min="10504" max="10504" width="10.44140625" style="128" bestFit="1" customWidth="1"/>
    <col min="10505" max="10505" width="13.5546875" style="128" bestFit="1" customWidth="1"/>
    <col min="10506" max="10506" width="9.109375" style="128"/>
    <col min="10507" max="10507" width="27.44140625" style="128" customWidth="1"/>
    <col min="10508" max="10508" width="10.5546875" style="128" customWidth="1"/>
    <col min="10509" max="10509" width="11" style="128" customWidth="1"/>
    <col min="10510" max="10510" width="9.6640625" style="128" customWidth="1"/>
    <col min="10511" max="10752" width="9.109375" style="128"/>
    <col min="10753" max="10753" width="7.44140625" style="128" bestFit="1" customWidth="1"/>
    <col min="10754" max="10754" width="35.88671875" style="128" bestFit="1" customWidth="1"/>
    <col min="10755" max="10755" width="4.5546875" style="128" customWidth="1"/>
    <col min="10756" max="10756" width="16.6640625" style="128" bestFit="1" customWidth="1"/>
    <col min="10757" max="10757" width="4.33203125" style="128" customWidth="1"/>
    <col min="10758" max="10758" width="8.88671875" style="128" bestFit="1" customWidth="1"/>
    <col min="10759" max="10759" width="8.44140625" style="128" bestFit="1" customWidth="1"/>
    <col min="10760" max="10760" width="10.44140625" style="128" bestFit="1" customWidth="1"/>
    <col min="10761" max="10761" width="13.5546875" style="128" bestFit="1" customWidth="1"/>
    <col min="10762" max="10762" width="9.109375" style="128"/>
    <col min="10763" max="10763" width="27.44140625" style="128" customWidth="1"/>
    <col min="10764" max="10764" width="10.5546875" style="128" customWidth="1"/>
    <col min="10765" max="10765" width="11" style="128" customWidth="1"/>
    <col min="10766" max="10766" width="9.6640625" style="128" customWidth="1"/>
    <col min="10767" max="11008" width="9.109375" style="128"/>
    <col min="11009" max="11009" width="7.44140625" style="128" bestFit="1" customWidth="1"/>
    <col min="11010" max="11010" width="35.88671875" style="128" bestFit="1" customWidth="1"/>
    <col min="11011" max="11011" width="4.5546875" style="128" customWidth="1"/>
    <col min="11012" max="11012" width="16.6640625" style="128" bestFit="1" customWidth="1"/>
    <col min="11013" max="11013" width="4.33203125" style="128" customWidth="1"/>
    <col min="11014" max="11014" width="8.88671875" style="128" bestFit="1" customWidth="1"/>
    <col min="11015" max="11015" width="8.44140625" style="128" bestFit="1" customWidth="1"/>
    <col min="11016" max="11016" width="10.44140625" style="128" bestFit="1" customWidth="1"/>
    <col min="11017" max="11017" width="13.5546875" style="128" bestFit="1" customWidth="1"/>
    <col min="11018" max="11018" width="9.109375" style="128"/>
    <col min="11019" max="11019" width="27.44140625" style="128" customWidth="1"/>
    <col min="11020" max="11020" width="10.5546875" style="128" customWidth="1"/>
    <col min="11021" max="11021" width="11" style="128" customWidth="1"/>
    <col min="11022" max="11022" width="9.6640625" style="128" customWidth="1"/>
    <col min="11023" max="11264" width="9.109375" style="128"/>
    <col min="11265" max="11265" width="7.44140625" style="128" bestFit="1" customWidth="1"/>
    <col min="11266" max="11266" width="35.88671875" style="128" bestFit="1" customWidth="1"/>
    <col min="11267" max="11267" width="4.5546875" style="128" customWidth="1"/>
    <col min="11268" max="11268" width="16.6640625" style="128" bestFit="1" customWidth="1"/>
    <col min="11269" max="11269" width="4.33203125" style="128" customWidth="1"/>
    <col min="11270" max="11270" width="8.88671875" style="128" bestFit="1" customWidth="1"/>
    <col min="11271" max="11271" width="8.44140625" style="128" bestFit="1" customWidth="1"/>
    <col min="11272" max="11272" width="10.44140625" style="128" bestFit="1" customWidth="1"/>
    <col min="11273" max="11273" width="13.5546875" style="128" bestFit="1" customWidth="1"/>
    <col min="11274" max="11274" width="9.109375" style="128"/>
    <col min="11275" max="11275" width="27.44140625" style="128" customWidth="1"/>
    <col min="11276" max="11276" width="10.5546875" style="128" customWidth="1"/>
    <col min="11277" max="11277" width="11" style="128" customWidth="1"/>
    <col min="11278" max="11278" width="9.6640625" style="128" customWidth="1"/>
    <col min="11279" max="11520" width="9.109375" style="128"/>
    <col min="11521" max="11521" width="7.44140625" style="128" bestFit="1" customWidth="1"/>
    <col min="11522" max="11522" width="35.88671875" style="128" bestFit="1" customWidth="1"/>
    <col min="11523" max="11523" width="4.5546875" style="128" customWidth="1"/>
    <col min="11524" max="11524" width="16.6640625" style="128" bestFit="1" customWidth="1"/>
    <col min="11525" max="11525" width="4.33203125" style="128" customWidth="1"/>
    <col min="11526" max="11526" width="8.88671875" style="128" bestFit="1" customWidth="1"/>
    <col min="11527" max="11527" width="8.44140625" style="128" bestFit="1" customWidth="1"/>
    <col min="11528" max="11528" width="10.44140625" style="128" bestFit="1" customWidth="1"/>
    <col min="11529" max="11529" width="13.5546875" style="128" bestFit="1" customWidth="1"/>
    <col min="11530" max="11530" width="9.109375" style="128"/>
    <col min="11531" max="11531" width="27.44140625" style="128" customWidth="1"/>
    <col min="11532" max="11532" width="10.5546875" style="128" customWidth="1"/>
    <col min="11533" max="11533" width="11" style="128" customWidth="1"/>
    <col min="11534" max="11534" width="9.6640625" style="128" customWidth="1"/>
    <col min="11535" max="11776" width="9.109375" style="128"/>
    <col min="11777" max="11777" width="7.44140625" style="128" bestFit="1" customWidth="1"/>
    <col min="11778" max="11778" width="35.88671875" style="128" bestFit="1" customWidth="1"/>
    <col min="11779" max="11779" width="4.5546875" style="128" customWidth="1"/>
    <col min="11780" max="11780" width="16.6640625" style="128" bestFit="1" customWidth="1"/>
    <col min="11781" max="11781" width="4.33203125" style="128" customWidth="1"/>
    <col min="11782" max="11782" width="8.88671875" style="128" bestFit="1" customWidth="1"/>
    <col min="11783" max="11783" width="8.44140625" style="128" bestFit="1" customWidth="1"/>
    <col min="11784" max="11784" width="10.44140625" style="128" bestFit="1" customWidth="1"/>
    <col min="11785" max="11785" width="13.5546875" style="128" bestFit="1" customWidth="1"/>
    <col min="11786" max="11786" width="9.109375" style="128"/>
    <col min="11787" max="11787" width="27.44140625" style="128" customWidth="1"/>
    <col min="11788" max="11788" width="10.5546875" style="128" customWidth="1"/>
    <col min="11789" max="11789" width="11" style="128" customWidth="1"/>
    <col min="11790" max="11790" width="9.6640625" style="128" customWidth="1"/>
    <col min="11791" max="12032" width="9.109375" style="128"/>
    <col min="12033" max="12033" width="7.44140625" style="128" bestFit="1" customWidth="1"/>
    <col min="12034" max="12034" width="35.88671875" style="128" bestFit="1" customWidth="1"/>
    <col min="12035" max="12035" width="4.5546875" style="128" customWidth="1"/>
    <col min="12036" max="12036" width="16.6640625" style="128" bestFit="1" customWidth="1"/>
    <col min="12037" max="12037" width="4.33203125" style="128" customWidth="1"/>
    <col min="12038" max="12038" width="8.88671875" style="128" bestFit="1" customWidth="1"/>
    <col min="12039" max="12039" width="8.44140625" style="128" bestFit="1" customWidth="1"/>
    <col min="12040" max="12040" width="10.44140625" style="128" bestFit="1" customWidth="1"/>
    <col min="12041" max="12041" width="13.5546875" style="128" bestFit="1" customWidth="1"/>
    <col min="12042" max="12042" width="9.109375" style="128"/>
    <col min="12043" max="12043" width="27.44140625" style="128" customWidth="1"/>
    <col min="12044" max="12044" width="10.5546875" style="128" customWidth="1"/>
    <col min="12045" max="12045" width="11" style="128" customWidth="1"/>
    <col min="12046" max="12046" width="9.6640625" style="128" customWidth="1"/>
    <col min="12047" max="12288" width="9.109375" style="128"/>
    <col min="12289" max="12289" width="7.44140625" style="128" bestFit="1" customWidth="1"/>
    <col min="12290" max="12290" width="35.88671875" style="128" bestFit="1" customWidth="1"/>
    <col min="12291" max="12291" width="4.5546875" style="128" customWidth="1"/>
    <col min="12292" max="12292" width="16.6640625" style="128" bestFit="1" customWidth="1"/>
    <col min="12293" max="12293" width="4.33203125" style="128" customWidth="1"/>
    <col min="12294" max="12294" width="8.88671875" style="128" bestFit="1" customWidth="1"/>
    <col min="12295" max="12295" width="8.44140625" style="128" bestFit="1" customWidth="1"/>
    <col min="12296" max="12296" width="10.44140625" style="128" bestFit="1" customWidth="1"/>
    <col min="12297" max="12297" width="13.5546875" style="128" bestFit="1" customWidth="1"/>
    <col min="12298" max="12298" width="9.109375" style="128"/>
    <col min="12299" max="12299" width="27.44140625" style="128" customWidth="1"/>
    <col min="12300" max="12300" width="10.5546875" style="128" customWidth="1"/>
    <col min="12301" max="12301" width="11" style="128" customWidth="1"/>
    <col min="12302" max="12302" width="9.6640625" style="128" customWidth="1"/>
    <col min="12303" max="12544" width="9.109375" style="128"/>
    <col min="12545" max="12545" width="7.44140625" style="128" bestFit="1" customWidth="1"/>
    <col min="12546" max="12546" width="35.88671875" style="128" bestFit="1" customWidth="1"/>
    <col min="12547" max="12547" width="4.5546875" style="128" customWidth="1"/>
    <col min="12548" max="12548" width="16.6640625" style="128" bestFit="1" customWidth="1"/>
    <col min="12549" max="12549" width="4.33203125" style="128" customWidth="1"/>
    <col min="12550" max="12550" width="8.88671875" style="128" bestFit="1" customWidth="1"/>
    <col min="12551" max="12551" width="8.44140625" style="128" bestFit="1" customWidth="1"/>
    <col min="12552" max="12552" width="10.44140625" style="128" bestFit="1" customWidth="1"/>
    <col min="12553" max="12553" width="13.5546875" style="128" bestFit="1" customWidth="1"/>
    <col min="12554" max="12554" width="9.109375" style="128"/>
    <col min="12555" max="12555" width="27.44140625" style="128" customWidth="1"/>
    <col min="12556" max="12556" width="10.5546875" style="128" customWidth="1"/>
    <col min="12557" max="12557" width="11" style="128" customWidth="1"/>
    <col min="12558" max="12558" width="9.6640625" style="128" customWidth="1"/>
    <col min="12559" max="12800" width="9.109375" style="128"/>
    <col min="12801" max="12801" width="7.44140625" style="128" bestFit="1" customWidth="1"/>
    <col min="12802" max="12802" width="35.88671875" style="128" bestFit="1" customWidth="1"/>
    <col min="12803" max="12803" width="4.5546875" style="128" customWidth="1"/>
    <col min="12804" max="12804" width="16.6640625" style="128" bestFit="1" customWidth="1"/>
    <col min="12805" max="12805" width="4.33203125" style="128" customWidth="1"/>
    <col min="12806" max="12806" width="8.88671875" style="128" bestFit="1" customWidth="1"/>
    <col min="12807" max="12807" width="8.44140625" style="128" bestFit="1" customWidth="1"/>
    <col min="12808" max="12808" width="10.44140625" style="128" bestFit="1" customWidth="1"/>
    <col min="12809" max="12809" width="13.5546875" style="128" bestFit="1" customWidth="1"/>
    <col min="12810" max="12810" width="9.109375" style="128"/>
    <col min="12811" max="12811" width="27.44140625" style="128" customWidth="1"/>
    <col min="12812" max="12812" width="10.5546875" style="128" customWidth="1"/>
    <col min="12813" max="12813" width="11" style="128" customWidth="1"/>
    <col min="12814" max="12814" width="9.6640625" style="128" customWidth="1"/>
    <col min="12815" max="13056" width="9.109375" style="128"/>
    <col min="13057" max="13057" width="7.44140625" style="128" bestFit="1" customWidth="1"/>
    <col min="13058" max="13058" width="35.88671875" style="128" bestFit="1" customWidth="1"/>
    <col min="13059" max="13059" width="4.5546875" style="128" customWidth="1"/>
    <col min="13060" max="13060" width="16.6640625" style="128" bestFit="1" customWidth="1"/>
    <col min="13061" max="13061" width="4.33203125" style="128" customWidth="1"/>
    <col min="13062" max="13062" width="8.88671875" style="128" bestFit="1" customWidth="1"/>
    <col min="13063" max="13063" width="8.44140625" style="128" bestFit="1" customWidth="1"/>
    <col min="13064" max="13064" width="10.44140625" style="128" bestFit="1" customWidth="1"/>
    <col min="13065" max="13065" width="13.5546875" style="128" bestFit="1" customWidth="1"/>
    <col min="13066" max="13066" width="9.109375" style="128"/>
    <col min="13067" max="13067" width="27.44140625" style="128" customWidth="1"/>
    <col min="13068" max="13068" width="10.5546875" style="128" customWidth="1"/>
    <col min="13069" max="13069" width="11" style="128" customWidth="1"/>
    <col min="13070" max="13070" width="9.6640625" style="128" customWidth="1"/>
    <col min="13071" max="13312" width="9.109375" style="128"/>
    <col min="13313" max="13313" width="7.44140625" style="128" bestFit="1" customWidth="1"/>
    <col min="13314" max="13314" width="35.88671875" style="128" bestFit="1" customWidth="1"/>
    <col min="13315" max="13315" width="4.5546875" style="128" customWidth="1"/>
    <col min="13316" max="13316" width="16.6640625" style="128" bestFit="1" customWidth="1"/>
    <col min="13317" max="13317" width="4.33203125" style="128" customWidth="1"/>
    <col min="13318" max="13318" width="8.88671875" style="128" bestFit="1" customWidth="1"/>
    <col min="13319" max="13319" width="8.44140625" style="128" bestFit="1" customWidth="1"/>
    <col min="13320" max="13320" width="10.44140625" style="128" bestFit="1" customWidth="1"/>
    <col min="13321" max="13321" width="13.5546875" style="128" bestFit="1" customWidth="1"/>
    <col min="13322" max="13322" width="9.109375" style="128"/>
    <col min="13323" max="13323" width="27.44140625" style="128" customWidth="1"/>
    <col min="13324" max="13324" width="10.5546875" style="128" customWidth="1"/>
    <col min="13325" max="13325" width="11" style="128" customWidth="1"/>
    <col min="13326" max="13326" width="9.6640625" style="128" customWidth="1"/>
    <col min="13327" max="13568" width="9.109375" style="128"/>
    <col min="13569" max="13569" width="7.44140625" style="128" bestFit="1" customWidth="1"/>
    <col min="13570" max="13570" width="35.88671875" style="128" bestFit="1" customWidth="1"/>
    <col min="13571" max="13571" width="4.5546875" style="128" customWidth="1"/>
    <col min="13572" max="13572" width="16.6640625" style="128" bestFit="1" customWidth="1"/>
    <col min="13573" max="13573" width="4.33203125" style="128" customWidth="1"/>
    <col min="13574" max="13574" width="8.88671875" style="128" bestFit="1" customWidth="1"/>
    <col min="13575" max="13575" width="8.44140625" style="128" bestFit="1" customWidth="1"/>
    <col min="13576" max="13576" width="10.44140625" style="128" bestFit="1" customWidth="1"/>
    <col min="13577" max="13577" width="13.5546875" style="128" bestFit="1" customWidth="1"/>
    <col min="13578" max="13578" width="9.109375" style="128"/>
    <col min="13579" max="13579" width="27.44140625" style="128" customWidth="1"/>
    <col min="13580" max="13580" width="10.5546875" style="128" customWidth="1"/>
    <col min="13581" max="13581" width="11" style="128" customWidth="1"/>
    <col min="13582" max="13582" width="9.6640625" style="128" customWidth="1"/>
    <col min="13583" max="13824" width="9.109375" style="128"/>
    <col min="13825" max="13825" width="7.44140625" style="128" bestFit="1" customWidth="1"/>
    <col min="13826" max="13826" width="35.88671875" style="128" bestFit="1" customWidth="1"/>
    <col min="13827" max="13827" width="4.5546875" style="128" customWidth="1"/>
    <col min="13828" max="13828" width="16.6640625" style="128" bestFit="1" customWidth="1"/>
    <col min="13829" max="13829" width="4.33203125" style="128" customWidth="1"/>
    <col min="13830" max="13830" width="8.88671875" style="128" bestFit="1" customWidth="1"/>
    <col min="13831" max="13831" width="8.44140625" style="128" bestFit="1" customWidth="1"/>
    <col min="13832" max="13832" width="10.44140625" style="128" bestFit="1" customWidth="1"/>
    <col min="13833" max="13833" width="13.5546875" style="128" bestFit="1" customWidth="1"/>
    <col min="13834" max="13834" width="9.109375" style="128"/>
    <col min="13835" max="13835" width="27.44140625" style="128" customWidth="1"/>
    <col min="13836" max="13836" width="10.5546875" style="128" customWidth="1"/>
    <col min="13837" max="13837" width="11" style="128" customWidth="1"/>
    <col min="13838" max="13838" width="9.6640625" style="128" customWidth="1"/>
    <col min="13839" max="14080" width="9.109375" style="128"/>
    <col min="14081" max="14081" width="7.44140625" style="128" bestFit="1" customWidth="1"/>
    <col min="14082" max="14082" width="35.88671875" style="128" bestFit="1" customWidth="1"/>
    <col min="14083" max="14083" width="4.5546875" style="128" customWidth="1"/>
    <col min="14084" max="14084" width="16.6640625" style="128" bestFit="1" customWidth="1"/>
    <col min="14085" max="14085" width="4.33203125" style="128" customWidth="1"/>
    <col min="14086" max="14086" width="8.88671875" style="128" bestFit="1" customWidth="1"/>
    <col min="14087" max="14087" width="8.44140625" style="128" bestFit="1" customWidth="1"/>
    <col min="14088" max="14088" width="10.44140625" style="128" bestFit="1" customWidth="1"/>
    <col min="14089" max="14089" width="13.5546875" style="128" bestFit="1" customWidth="1"/>
    <col min="14090" max="14090" width="9.109375" style="128"/>
    <col min="14091" max="14091" width="27.44140625" style="128" customWidth="1"/>
    <col min="14092" max="14092" width="10.5546875" style="128" customWidth="1"/>
    <col min="14093" max="14093" width="11" style="128" customWidth="1"/>
    <col min="14094" max="14094" width="9.6640625" style="128" customWidth="1"/>
    <col min="14095" max="14336" width="9.109375" style="128"/>
    <col min="14337" max="14337" width="7.44140625" style="128" bestFit="1" customWidth="1"/>
    <col min="14338" max="14338" width="35.88671875" style="128" bestFit="1" customWidth="1"/>
    <col min="14339" max="14339" width="4.5546875" style="128" customWidth="1"/>
    <col min="14340" max="14340" width="16.6640625" style="128" bestFit="1" customWidth="1"/>
    <col min="14341" max="14341" width="4.33203125" style="128" customWidth="1"/>
    <col min="14342" max="14342" width="8.88671875" style="128" bestFit="1" customWidth="1"/>
    <col min="14343" max="14343" width="8.44140625" style="128" bestFit="1" customWidth="1"/>
    <col min="14344" max="14344" width="10.44140625" style="128" bestFit="1" customWidth="1"/>
    <col min="14345" max="14345" width="13.5546875" style="128" bestFit="1" customWidth="1"/>
    <col min="14346" max="14346" width="9.109375" style="128"/>
    <col min="14347" max="14347" width="27.44140625" style="128" customWidth="1"/>
    <col min="14348" max="14348" width="10.5546875" style="128" customWidth="1"/>
    <col min="14349" max="14349" width="11" style="128" customWidth="1"/>
    <col min="14350" max="14350" width="9.6640625" style="128" customWidth="1"/>
    <col min="14351" max="14592" width="9.109375" style="128"/>
    <col min="14593" max="14593" width="7.44140625" style="128" bestFit="1" customWidth="1"/>
    <col min="14594" max="14594" width="35.88671875" style="128" bestFit="1" customWidth="1"/>
    <col min="14595" max="14595" width="4.5546875" style="128" customWidth="1"/>
    <col min="14596" max="14596" width="16.6640625" style="128" bestFit="1" customWidth="1"/>
    <col min="14597" max="14597" width="4.33203125" style="128" customWidth="1"/>
    <col min="14598" max="14598" width="8.88671875" style="128" bestFit="1" customWidth="1"/>
    <col min="14599" max="14599" width="8.44140625" style="128" bestFit="1" customWidth="1"/>
    <col min="14600" max="14600" width="10.44140625" style="128" bestFit="1" customWidth="1"/>
    <col min="14601" max="14601" width="13.5546875" style="128" bestFit="1" customWidth="1"/>
    <col min="14602" max="14602" width="9.109375" style="128"/>
    <col min="14603" max="14603" width="27.44140625" style="128" customWidth="1"/>
    <col min="14604" max="14604" width="10.5546875" style="128" customWidth="1"/>
    <col min="14605" max="14605" width="11" style="128" customWidth="1"/>
    <col min="14606" max="14606" width="9.6640625" style="128" customWidth="1"/>
    <col min="14607" max="14848" width="9.109375" style="128"/>
    <col min="14849" max="14849" width="7.44140625" style="128" bestFit="1" customWidth="1"/>
    <col min="14850" max="14850" width="35.88671875" style="128" bestFit="1" customWidth="1"/>
    <col min="14851" max="14851" width="4.5546875" style="128" customWidth="1"/>
    <col min="14852" max="14852" width="16.6640625" style="128" bestFit="1" customWidth="1"/>
    <col min="14853" max="14853" width="4.33203125" style="128" customWidth="1"/>
    <col min="14854" max="14854" width="8.88671875" style="128" bestFit="1" customWidth="1"/>
    <col min="14855" max="14855" width="8.44140625" style="128" bestFit="1" customWidth="1"/>
    <col min="14856" max="14856" width="10.44140625" style="128" bestFit="1" customWidth="1"/>
    <col min="14857" max="14857" width="13.5546875" style="128" bestFit="1" customWidth="1"/>
    <col min="14858" max="14858" width="9.109375" style="128"/>
    <col min="14859" max="14859" width="27.44140625" style="128" customWidth="1"/>
    <col min="14860" max="14860" width="10.5546875" style="128" customWidth="1"/>
    <col min="14861" max="14861" width="11" style="128" customWidth="1"/>
    <col min="14862" max="14862" width="9.6640625" style="128" customWidth="1"/>
    <col min="14863" max="15104" width="9.109375" style="128"/>
    <col min="15105" max="15105" width="7.44140625" style="128" bestFit="1" customWidth="1"/>
    <col min="15106" max="15106" width="35.88671875" style="128" bestFit="1" customWidth="1"/>
    <col min="15107" max="15107" width="4.5546875" style="128" customWidth="1"/>
    <col min="15108" max="15108" width="16.6640625" style="128" bestFit="1" customWidth="1"/>
    <col min="15109" max="15109" width="4.33203125" style="128" customWidth="1"/>
    <col min="15110" max="15110" width="8.88671875" style="128" bestFit="1" customWidth="1"/>
    <col min="15111" max="15111" width="8.44140625" style="128" bestFit="1" customWidth="1"/>
    <col min="15112" max="15112" width="10.44140625" style="128" bestFit="1" customWidth="1"/>
    <col min="15113" max="15113" width="13.5546875" style="128" bestFit="1" customWidth="1"/>
    <col min="15114" max="15114" width="9.109375" style="128"/>
    <col min="15115" max="15115" width="27.44140625" style="128" customWidth="1"/>
    <col min="15116" max="15116" width="10.5546875" style="128" customWidth="1"/>
    <col min="15117" max="15117" width="11" style="128" customWidth="1"/>
    <col min="15118" max="15118" width="9.6640625" style="128" customWidth="1"/>
    <col min="15119" max="15360" width="9.109375" style="128"/>
    <col min="15361" max="15361" width="7.44140625" style="128" bestFit="1" customWidth="1"/>
    <col min="15362" max="15362" width="35.88671875" style="128" bestFit="1" customWidth="1"/>
    <col min="15363" max="15363" width="4.5546875" style="128" customWidth="1"/>
    <col min="15364" max="15364" width="16.6640625" style="128" bestFit="1" customWidth="1"/>
    <col min="15365" max="15365" width="4.33203125" style="128" customWidth="1"/>
    <col min="15366" max="15366" width="8.88671875" style="128" bestFit="1" customWidth="1"/>
    <col min="15367" max="15367" width="8.44140625" style="128" bestFit="1" customWidth="1"/>
    <col min="15368" max="15368" width="10.44140625" style="128" bestFit="1" customWidth="1"/>
    <col min="15369" max="15369" width="13.5546875" style="128" bestFit="1" customWidth="1"/>
    <col min="15370" max="15370" width="9.109375" style="128"/>
    <col min="15371" max="15371" width="27.44140625" style="128" customWidth="1"/>
    <col min="15372" max="15372" width="10.5546875" style="128" customWidth="1"/>
    <col min="15373" max="15373" width="11" style="128" customWidth="1"/>
    <col min="15374" max="15374" width="9.6640625" style="128" customWidth="1"/>
    <col min="15375" max="15616" width="9.109375" style="128"/>
    <col min="15617" max="15617" width="7.44140625" style="128" bestFit="1" customWidth="1"/>
    <col min="15618" max="15618" width="35.88671875" style="128" bestFit="1" customWidth="1"/>
    <col min="15619" max="15619" width="4.5546875" style="128" customWidth="1"/>
    <col min="15620" max="15620" width="16.6640625" style="128" bestFit="1" customWidth="1"/>
    <col min="15621" max="15621" width="4.33203125" style="128" customWidth="1"/>
    <col min="15622" max="15622" width="8.88671875" style="128" bestFit="1" customWidth="1"/>
    <col min="15623" max="15623" width="8.44140625" style="128" bestFit="1" customWidth="1"/>
    <col min="15624" max="15624" width="10.44140625" style="128" bestFit="1" customWidth="1"/>
    <col min="15625" max="15625" width="13.5546875" style="128" bestFit="1" customWidth="1"/>
    <col min="15626" max="15626" width="9.109375" style="128"/>
    <col min="15627" max="15627" width="27.44140625" style="128" customWidth="1"/>
    <col min="15628" max="15628" width="10.5546875" style="128" customWidth="1"/>
    <col min="15629" max="15629" width="11" style="128" customWidth="1"/>
    <col min="15630" max="15630" width="9.6640625" style="128" customWidth="1"/>
    <col min="15631" max="15872" width="9.109375" style="128"/>
    <col min="15873" max="15873" width="7.44140625" style="128" bestFit="1" customWidth="1"/>
    <col min="15874" max="15874" width="35.88671875" style="128" bestFit="1" customWidth="1"/>
    <col min="15875" max="15875" width="4.5546875" style="128" customWidth="1"/>
    <col min="15876" max="15876" width="16.6640625" style="128" bestFit="1" customWidth="1"/>
    <col min="15877" max="15877" width="4.33203125" style="128" customWidth="1"/>
    <col min="15878" max="15878" width="8.88671875" style="128" bestFit="1" customWidth="1"/>
    <col min="15879" max="15879" width="8.44140625" style="128" bestFit="1" customWidth="1"/>
    <col min="15880" max="15880" width="10.44140625" style="128" bestFit="1" customWidth="1"/>
    <col min="15881" max="15881" width="13.5546875" style="128" bestFit="1" customWidth="1"/>
    <col min="15882" max="15882" width="9.109375" style="128"/>
    <col min="15883" max="15883" width="27.44140625" style="128" customWidth="1"/>
    <col min="15884" max="15884" width="10.5546875" style="128" customWidth="1"/>
    <col min="15885" max="15885" width="11" style="128" customWidth="1"/>
    <col min="15886" max="15886" width="9.6640625" style="128" customWidth="1"/>
    <col min="15887" max="16128" width="9.109375" style="128"/>
    <col min="16129" max="16129" width="7.44140625" style="128" bestFit="1" customWidth="1"/>
    <col min="16130" max="16130" width="35.88671875" style="128" bestFit="1" customWidth="1"/>
    <col min="16131" max="16131" width="4.5546875" style="128" customWidth="1"/>
    <col min="16132" max="16132" width="16.6640625" style="128" bestFit="1" customWidth="1"/>
    <col min="16133" max="16133" width="4.33203125" style="128" customWidth="1"/>
    <col min="16134" max="16134" width="8.88671875" style="128" bestFit="1" customWidth="1"/>
    <col min="16135" max="16135" width="8.44140625" style="128" bestFit="1" customWidth="1"/>
    <col min="16136" max="16136" width="10.44140625" style="128" bestFit="1" customWidth="1"/>
    <col min="16137" max="16137" width="13.5546875" style="128" bestFit="1" customWidth="1"/>
    <col min="16138" max="16138" width="9.109375" style="128"/>
    <col min="16139" max="16139" width="27.44140625" style="128" customWidth="1"/>
    <col min="16140" max="16140" width="10.5546875" style="128" customWidth="1"/>
    <col min="16141" max="16141" width="11" style="128" customWidth="1"/>
    <col min="16142" max="16142" width="9.6640625" style="128" customWidth="1"/>
    <col min="16143" max="16384" width="9.109375" style="128"/>
  </cols>
  <sheetData>
    <row r="1" spans="1:11" x14ac:dyDescent="0.25">
      <c r="A1" s="127"/>
      <c r="B1" s="127"/>
      <c r="C1" s="127"/>
      <c r="D1" s="127"/>
      <c r="E1" s="127"/>
      <c r="F1" s="127"/>
      <c r="G1" s="127"/>
      <c r="H1" s="127"/>
      <c r="I1" s="127"/>
      <c r="J1" s="127"/>
    </row>
    <row r="2" spans="1:11" ht="15.6" x14ac:dyDescent="0.3">
      <c r="A2" s="129"/>
      <c r="B2" s="130" t="s">
        <v>82</v>
      </c>
      <c r="C2" s="131" t="str">
        <f>'Abt (3)'!A1</f>
        <v>ROSHNABAD BARRAGE</v>
      </c>
      <c r="D2" s="131"/>
      <c r="E2" s="132"/>
      <c r="I2" s="127"/>
      <c r="J2" s="127"/>
    </row>
    <row r="3" spans="1:11" x14ac:dyDescent="0.25">
      <c r="A3" s="127"/>
      <c r="B3" s="133" t="s">
        <v>83</v>
      </c>
      <c r="C3" s="133"/>
      <c r="E3" s="133"/>
      <c r="F3" s="133"/>
      <c r="G3" s="133"/>
      <c r="H3" s="133"/>
      <c r="I3" s="127"/>
      <c r="J3" s="127"/>
      <c r="K3" s="128">
        <f>2.7*22</f>
        <v>59.400000000000006</v>
      </c>
    </row>
    <row r="4" spans="1:11" ht="20.25" customHeight="1" x14ac:dyDescent="0.25">
      <c r="A4" s="134">
        <v>1</v>
      </c>
      <c r="B4" s="137" t="s">
        <v>84</v>
      </c>
      <c r="C4" s="134" t="s">
        <v>85</v>
      </c>
      <c r="D4" s="138">
        <v>4.4000000000000004</v>
      </c>
      <c r="E4" s="134" t="s">
        <v>86</v>
      </c>
      <c r="J4" s="135"/>
      <c r="K4" s="136"/>
    </row>
    <row r="5" spans="1:11" ht="21.75" customHeight="1" x14ac:dyDescent="0.25">
      <c r="A5" s="134">
        <v>2</v>
      </c>
      <c r="B5" s="137" t="s">
        <v>87</v>
      </c>
      <c r="C5" s="134" t="s">
        <v>85</v>
      </c>
      <c r="D5" s="138">
        <v>3</v>
      </c>
      <c r="E5" s="134" t="s">
        <v>86</v>
      </c>
      <c r="J5" s="135"/>
      <c r="K5" s="136"/>
    </row>
    <row r="6" spans="1:11" ht="24" customHeight="1" x14ac:dyDescent="0.25">
      <c r="A6" s="134">
        <v>3</v>
      </c>
      <c r="B6" s="137" t="s">
        <v>88</v>
      </c>
      <c r="C6" s="134" t="s">
        <v>85</v>
      </c>
      <c r="D6" s="139">
        <f>D5</f>
        <v>3</v>
      </c>
      <c r="E6" s="134" t="s">
        <v>86</v>
      </c>
      <c r="I6" s="128" t="s">
        <v>89</v>
      </c>
      <c r="J6" s="135"/>
      <c r="K6" s="136"/>
    </row>
    <row r="7" spans="1:11" ht="23.25" customHeight="1" x14ac:dyDescent="0.25">
      <c r="A7" s="134">
        <v>4</v>
      </c>
      <c r="B7" s="137" t="s">
        <v>90</v>
      </c>
      <c r="C7" s="134" t="s">
        <v>85</v>
      </c>
      <c r="D7" s="139">
        <v>1</v>
      </c>
      <c r="E7" s="134" t="s">
        <v>86</v>
      </c>
      <c r="J7" s="135"/>
    </row>
    <row r="8" spans="1:11" ht="24" customHeight="1" x14ac:dyDescent="0.25">
      <c r="A8" s="134">
        <v>5</v>
      </c>
      <c r="B8" s="137" t="s">
        <v>91</v>
      </c>
      <c r="C8" s="134" t="s">
        <v>85</v>
      </c>
      <c r="D8" s="139">
        <v>2</v>
      </c>
      <c r="E8" s="134" t="s">
        <v>86</v>
      </c>
      <c r="J8" s="135"/>
    </row>
    <row r="9" spans="1:11" ht="20.25" customHeight="1" x14ac:dyDescent="0.25">
      <c r="A9" s="134">
        <v>6</v>
      </c>
      <c r="B9" s="137" t="s">
        <v>92</v>
      </c>
      <c r="C9" s="134" t="s">
        <v>85</v>
      </c>
      <c r="D9" s="138">
        <v>10</v>
      </c>
      <c r="E9" s="134" t="s">
        <v>93</v>
      </c>
      <c r="J9" s="135"/>
    </row>
    <row r="10" spans="1:11" ht="19.5" customHeight="1" x14ac:dyDescent="0.25">
      <c r="A10" s="134">
        <v>7</v>
      </c>
      <c r="B10" s="137" t="s">
        <v>94</v>
      </c>
      <c r="C10" s="134" t="s">
        <v>85</v>
      </c>
      <c r="D10" s="140">
        <v>1</v>
      </c>
      <c r="E10" s="134" t="s">
        <v>95</v>
      </c>
      <c r="J10" s="135"/>
    </row>
    <row r="11" spans="1:11" ht="19.5" customHeight="1" x14ac:dyDescent="0.25">
      <c r="A11" s="134">
        <v>8</v>
      </c>
      <c r="B11" s="134" t="s">
        <v>96</v>
      </c>
      <c r="C11" s="134" t="s">
        <v>85</v>
      </c>
      <c r="D11" s="138">
        <v>1</v>
      </c>
      <c r="E11" s="134"/>
      <c r="J11" s="135"/>
    </row>
    <row r="12" spans="1:11" ht="19.5" customHeight="1" x14ac:dyDescent="0.25">
      <c r="A12" s="134">
        <v>9</v>
      </c>
      <c r="B12" s="134" t="s">
        <v>97</v>
      </c>
      <c r="C12" s="134" t="s">
        <v>85</v>
      </c>
      <c r="D12" s="138">
        <v>422</v>
      </c>
      <c r="E12" s="134" t="s">
        <v>86</v>
      </c>
      <c r="J12" s="135"/>
    </row>
    <row r="13" spans="1:11" ht="19.5" customHeight="1" x14ac:dyDescent="0.25">
      <c r="A13" s="134">
        <v>10</v>
      </c>
      <c r="B13" s="134" t="s">
        <v>98</v>
      </c>
      <c r="C13" s="134" t="s">
        <v>85</v>
      </c>
      <c r="D13" s="138">
        <f>D12-D5</f>
        <v>419</v>
      </c>
      <c r="E13" s="134" t="s">
        <v>86</v>
      </c>
      <c r="J13" s="135"/>
    </row>
    <row r="14" spans="1:11" ht="19.5" customHeight="1" x14ac:dyDescent="0.25">
      <c r="A14" s="134">
        <v>11</v>
      </c>
      <c r="B14" s="134" t="s">
        <v>99</v>
      </c>
      <c r="C14" s="134" t="s">
        <v>85</v>
      </c>
      <c r="D14" s="138">
        <v>422</v>
      </c>
      <c r="E14" s="134" t="s">
        <v>86</v>
      </c>
      <c r="J14" s="135"/>
    </row>
    <row r="15" spans="1:11" ht="19.5" customHeight="1" x14ac:dyDescent="0.25">
      <c r="A15" s="134">
        <v>12</v>
      </c>
      <c r="B15" s="134" t="s">
        <v>100</v>
      </c>
      <c r="C15" s="134" t="s">
        <v>85</v>
      </c>
      <c r="D15" s="138">
        <v>423.7</v>
      </c>
      <c r="E15" s="134" t="s">
        <v>86</v>
      </c>
      <c r="J15" s="135"/>
    </row>
    <row r="16" spans="1:11" ht="19.5" customHeight="1" x14ac:dyDescent="0.25">
      <c r="A16" s="134">
        <v>13</v>
      </c>
      <c r="B16" s="134" t="s">
        <v>101</v>
      </c>
      <c r="C16" s="134" t="s">
        <v>85</v>
      </c>
      <c r="D16" s="138">
        <v>1</v>
      </c>
      <c r="E16" s="134" t="s">
        <v>86</v>
      </c>
      <c r="J16" s="135"/>
    </row>
    <row r="17" spans="1:11" ht="19.5" customHeight="1" x14ac:dyDescent="0.25">
      <c r="I17" s="135"/>
      <c r="J17" s="135"/>
    </row>
    <row r="18" spans="1:11" ht="14.4" thickBot="1" x14ac:dyDescent="0.3">
      <c r="I18" s="135"/>
      <c r="J18" s="135"/>
    </row>
    <row r="19" spans="1:11" ht="30.75" customHeight="1" thickBot="1" x14ac:dyDescent="0.3">
      <c r="A19" s="1105" t="s">
        <v>102</v>
      </c>
      <c r="B19" s="141" t="s">
        <v>103</v>
      </c>
      <c r="C19" s="134"/>
      <c r="D19" s="1108" t="str">
        <f>IF(D10&gt;0,"Vertical Gate","Radial Gate")</f>
        <v>Vertical Gate</v>
      </c>
      <c r="E19" s="1109"/>
      <c r="F19" s="1109"/>
      <c r="G19" s="1110"/>
      <c r="H19" s="142"/>
      <c r="I19" s="135"/>
      <c r="J19" s="135"/>
    </row>
    <row r="20" spans="1:11" ht="30.75" customHeight="1" x14ac:dyDescent="0.25">
      <c r="A20" s="1106"/>
      <c r="B20" s="143" t="s">
        <v>104</v>
      </c>
      <c r="C20" s="144"/>
      <c r="D20" s="145"/>
      <c r="E20" s="146"/>
      <c r="F20" s="146"/>
      <c r="G20" s="147"/>
      <c r="H20" s="148"/>
      <c r="I20" s="135"/>
      <c r="J20" s="135"/>
      <c r="K20" s="136"/>
    </row>
    <row r="21" spans="1:11" ht="30.75" customHeight="1" x14ac:dyDescent="0.25">
      <c r="A21" s="1106"/>
      <c r="B21" s="149" t="s">
        <v>105</v>
      </c>
      <c r="C21" s="150" t="s">
        <v>85</v>
      </c>
      <c r="D21" s="151">
        <f>D4</f>
        <v>4.4000000000000004</v>
      </c>
      <c r="E21" s="152" t="s">
        <v>106</v>
      </c>
      <c r="F21" s="152">
        <v>1</v>
      </c>
      <c r="G21" s="153" t="s">
        <v>85</v>
      </c>
      <c r="H21" s="148">
        <f>D21+F21</f>
        <v>5.4</v>
      </c>
      <c r="I21" s="135" t="s">
        <v>86</v>
      </c>
      <c r="J21" s="135"/>
      <c r="K21" s="136"/>
    </row>
    <row r="22" spans="1:11" ht="30.75" customHeight="1" x14ac:dyDescent="0.25">
      <c r="A22" s="1106"/>
      <c r="B22" s="149" t="s">
        <v>107</v>
      </c>
      <c r="C22" s="150" t="s">
        <v>85</v>
      </c>
      <c r="D22" s="154">
        <f>D6</f>
        <v>3</v>
      </c>
      <c r="E22" s="152" t="s">
        <v>106</v>
      </c>
      <c r="F22" s="152">
        <v>0.2</v>
      </c>
      <c r="G22" s="153" t="s">
        <v>85</v>
      </c>
      <c r="H22" s="155">
        <f>D22+F22</f>
        <v>3.2</v>
      </c>
      <c r="I22" s="135" t="s">
        <v>86</v>
      </c>
      <c r="J22" s="135"/>
      <c r="K22" s="136"/>
    </row>
    <row r="23" spans="1:11" ht="30.75" customHeight="1" x14ac:dyDescent="0.25">
      <c r="A23" s="1106"/>
      <c r="B23" s="149" t="s">
        <v>108</v>
      </c>
      <c r="C23" s="150" t="s">
        <v>85</v>
      </c>
      <c r="D23" s="156">
        <f>D12</f>
        <v>422</v>
      </c>
      <c r="E23" s="157" t="s">
        <v>109</v>
      </c>
      <c r="F23" s="158">
        <f>D13</f>
        <v>419</v>
      </c>
      <c r="G23" s="159" t="s">
        <v>85</v>
      </c>
      <c r="H23" s="160">
        <f>D23-F23</f>
        <v>3</v>
      </c>
      <c r="I23" s="135" t="s">
        <v>86</v>
      </c>
      <c r="J23" s="135"/>
      <c r="K23" s="136"/>
    </row>
    <row r="24" spans="1:11" ht="30.75" customHeight="1" thickBot="1" x14ac:dyDescent="0.3">
      <c r="A24" s="1107"/>
      <c r="B24" s="161" t="s">
        <v>110</v>
      </c>
      <c r="C24" s="162" t="s">
        <v>85</v>
      </c>
      <c r="D24" s="163">
        <f>0.069*(H21^2*H22*H23)^0.716</f>
        <v>3.8989095272284588</v>
      </c>
      <c r="E24" s="164"/>
      <c r="F24" s="164"/>
      <c r="G24" s="165"/>
      <c r="H24" s="166">
        <f>D24</f>
        <v>3.8989095272284588</v>
      </c>
      <c r="I24" s="135" t="s">
        <v>111</v>
      </c>
      <c r="J24" s="135"/>
      <c r="K24" s="136"/>
    </row>
    <row r="25" spans="1:11" ht="30.75" customHeight="1" x14ac:dyDescent="0.25">
      <c r="A25" s="167">
        <v>1</v>
      </c>
      <c r="B25" s="168" t="s">
        <v>112</v>
      </c>
      <c r="C25" s="169" t="s">
        <v>85</v>
      </c>
      <c r="D25" s="170">
        <f>D24</f>
        <v>3.8989095272284588</v>
      </c>
      <c r="E25" s="170" t="s">
        <v>113</v>
      </c>
      <c r="F25" s="170">
        <f>D10</f>
        <v>1</v>
      </c>
      <c r="G25" s="171" t="s">
        <v>114</v>
      </c>
      <c r="H25" s="170">
        <f>D25*F25</f>
        <v>3.8989095272284588</v>
      </c>
      <c r="I25" s="135" t="s">
        <v>111</v>
      </c>
      <c r="J25" s="135"/>
      <c r="K25" s="136"/>
    </row>
    <row r="26" spans="1:11" ht="30.75" customHeight="1" x14ac:dyDescent="0.25">
      <c r="A26" s="134"/>
      <c r="B26" s="172" t="s">
        <v>115</v>
      </c>
      <c r="C26" s="173" t="s">
        <v>85</v>
      </c>
      <c r="D26" s="174">
        <f>H25</f>
        <v>3.8989095272284588</v>
      </c>
      <c r="E26" s="174" t="s">
        <v>113</v>
      </c>
      <c r="F26" s="175">
        <v>0.32</v>
      </c>
      <c r="G26" s="173" t="s">
        <v>114</v>
      </c>
      <c r="H26" s="176">
        <f>H25*F26</f>
        <v>1.2476510487131069</v>
      </c>
      <c r="I26" s="135" t="s">
        <v>111</v>
      </c>
      <c r="J26" s="185">
        <f>H26+H25</f>
        <v>5.1465605759415656</v>
      </c>
      <c r="K26" s="136"/>
    </row>
    <row r="27" spans="1:11" ht="24" customHeight="1" x14ac:dyDescent="0.25">
      <c r="I27" s="135"/>
      <c r="J27" s="185">
        <f>H34+H35+H36</f>
        <v>5.2830474569678607</v>
      </c>
      <c r="K27" s="136"/>
    </row>
    <row r="28" spans="1:11" ht="44.25" customHeight="1" thickBot="1" x14ac:dyDescent="0.3">
      <c r="A28" s="1111" t="s">
        <v>116</v>
      </c>
      <c r="B28" s="178" t="s">
        <v>117</v>
      </c>
      <c r="C28" s="179"/>
      <c r="D28" s="1113" t="str">
        <f>CONCATENATE(D11," Set of stoplog gate")</f>
        <v>1 Set of stoplog gate</v>
      </c>
      <c r="E28" s="1114"/>
      <c r="F28" s="1114"/>
      <c r="G28" s="1114"/>
      <c r="H28" s="1115"/>
      <c r="I28" s="135"/>
      <c r="J28" s="185">
        <f>H45</f>
        <v>1.1355456003281494</v>
      </c>
      <c r="K28" s="180">
        <f>SUM(J26:J28)</f>
        <v>11.565153633237575</v>
      </c>
    </row>
    <row r="29" spans="1:11" ht="33.75" customHeight="1" x14ac:dyDescent="0.25">
      <c r="A29" s="1112"/>
      <c r="B29" s="181" t="s">
        <v>118</v>
      </c>
      <c r="C29" s="182"/>
      <c r="D29" s="134"/>
      <c r="E29" s="134"/>
      <c r="F29" s="134"/>
      <c r="G29" s="134"/>
      <c r="H29" s="134"/>
      <c r="I29" s="135"/>
      <c r="J29" s="185">
        <f>D53</f>
        <v>8.8880000000000017</v>
      </c>
      <c r="K29" s="136"/>
    </row>
    <row r="30" spans="1:11" ht="38.25" customHeight="1" x14ac:dyDescent="0.25">
      <c r="A30" s="1112"/>
      <c r="B30" s="137" t="s">
        <v>119</v>
      </c>
      <c r="C30" s="134" t="s">
        <v>85</v>
      </c>
      <c r="D30" s="183">
        <f>D4</f>
        <v>4.4000000000000004</v>
      </c>
      <c r="E30" s="183" t="s">
        <v>106</v>
      </c>
      <c r="F30" s="183">
        <v>0.65</v>
      </c>
      <c r="G30" s="134" t="s">
        <v>85</v>
      </c>
      <c r="H30" s="134">
        <f>D30+F30</f>
        <v>5.0500000000000007</v>
      </c>
      <c r="I30" s="135" t="s">
        <v>86</v>
      </c>
      <c r="J30" s="185">
        <f>SUM(J26:J29)</f>
        <v>20.453153633237577</v>
      </c>
      <c r="K30" s="136"/>
    </row>
    <row r="31" spans="1:11" ht="28.5" customHeight="1" x14ac:dyDescent="0.25">
      <c r="A31" s="1112"/>
      <c r="B31" s="137" t="s">
        <v>120</v>
      </c>
      <c r="C31" s="134" t="s">
        <v>85</v>
      </c>
      <c r="D31" s="139">
        <f>D6</f>
        <v>3</v>
      </c>
      <c r="E31" s="183" t="s">
        <v>106</v>
      </c>
      <c r="F31" s="183">
        <v>0.2</v>
      </c>
      <c r="G31" s="134" t="s">
        <v>85</v>
      </c>
      <c r="H31" s="134">
        <f>D31+F31</f>
        <v>3.2</v>
      </c>
      <c r="I31" s="135" t="s">
        <v>86</v>
      </c>
      <c r="J31" s="135"/>
      <c r="K31" s="136"/>
    </row>
    <row r="32" spans="1:11" ht="29.25" customHeight="1" x14ac:dyDescent="0.25">
      <c r="A32" s="1112"/>
      <c r="B32" s="137" t="s">
        <v>121</v>
      </c>
      <c r="C32" s="134" t="s">
        <v>85</v>
      </c>
      <c r="D32" s="139">
        <f>$D$12</f>
        <v>422</v>
      </c>
      <c r="E32" s="183" t="s">
        <v>109</v>
      </c>
      <c r="F32" s="139">
        <f>D13</f>
        <v>419</v>
      </c>
      <c r="G32" s="134" t="s">
        <v>85</v>
      </c>
      <c r="H32" s="134">
        <f>D6</f>
        <v>3</v>
      </c>
      <c r="I32" s="135" t="s">
        <v>86</v>
      </c>
      <c r="J32" s="135"/>
      <c r="K32" s="136"/>
    </row>
    <row r="33" spans="1:15" ht="13.8" x14ac:dyDescent="0.25">
      <c r="A33" s="134"/>
      <c r="B33" s="137" t="s">
        <v>122</v>
      </c>
      <c r="C33" s="134" t="s">
        <v>85</v>
      </c>
      <c r="D33" s="184">
        <f>0.0578*(H30^2*H31*H32)^0.716</f>
        <v>2.9672032413637899</v>
      </c>
      <c r="E33" s="185"/>
      <c r="F33" s="185"/>
      <c r="G33" s="186" t="s">
        <v>111</v>
      </c>
      <c r="H33" s="187"/>
      <c r="I33" s="135"/>
      <c r="J33" s="135"/>
      <c r="K33" s="136"/>
    </row>
    <row r="34" spans="1:15" ht="13.8" x14ac:dyDescent="0.25">
      <c r="A34" s="188"/>
      <c r="B34" s="189" t="s">
        <v>123</v>
      </c>
      <c r="C34" s="188" t="s">
        <v>85</v>
      </c>
      <c r="D34" s="190">
        <v>1</v>
      </c>
      <c r="E34" s="188" t="s">
        <v>124</v>
      </c>
      <c r="F34" s="191">
        <f>D33</f>
        <v>2.9672032413637899</v>
      </c>
      <c r="G34" s="188" t="s">
        <v>85</v>
      </c>
      <c r="H34" s="192">
        <f>D34*F34</f>
        <v>2.9672032413637899</v>
      </c>
      <c r="I34" s="135" t="s">
        <v>111</v>
      </c>
      <c r="J34" s="135"/>
      <c r="K34" s="136"/>
    </row>
    <row r="35" spans="1:15" ht="15.75" customHeight="1" x14ac:dyDescent="0.25">
      <c r="A35" s="193"/>
      <c r="B35" s="193" t="s">
        <v>125</v>
      </c>
      <c r="C35" s="173" t="s">
        <v>85</v>
      </c>
      <c r="D35" s="194">
        <v>1</v>
      </c>
      <c r="E35" s="173" t="s">
        <v>113</v>
      </c>
      <c r="F35" s="174">
        <f>(D33*0.18)</f>
        <v>0.53409658344548216</v>
      </c>
      <c r="G35" s="173" t="s">
        <v>85</v>
      </c>
      <c r="H35" s="195">
        <f>D35*F35</f>
        <v>0.53409658344548216</v>
      </c>
      <c r="I35" s="135" t="s">
        <v>111</v>
      </c>
      <c r="J35" s="135"/>
      <c r="K35" s="136"/>
    </row>
    <row r="36" spans="1:15" ht="13.8" x14ac:dyDescent="0.25">
      <c r="A36" s="196"/>
      <c r="B36" s="196" t="s">
        <v>126</v>
      </c>
      <c r="C36" s="197" t="s">
        <v>114</v>
      </c>
      <c r="D36" s="198">
        <f>H26</f>
        <v>1.2476510487131069</v>
      </c>
      <c r="E36" s="197" t="s">
        <v>127</v>
      </c>
      <c r="F36" s="199">
        <f>H35</f>
        <v>0.53409658344548216</v>
      </c>
      <c r="G36" s="197" t="s">
        <v>114</v>
      </c>
      <c r="H36" s="200">
        <f>D36+F36</f>
        <v>1.7817476321585892</v>
      </c>
      <c r="I36" s="135" t="s">
        <v>111</v>
      </c>
      <c r="J36" s="135"/>
      <c r="K36" s="136"/>
    </row>
    <row r="37" spans="1:15" ht="13.8" x14ac:dyDescent="0.25">
      <c r="A37" s="193"/>
      <c r="B37" s="193" t="s">
        <v>128</v>
      </c>
      <c r="C37" s="173" t="s">
        <v>114</v>
      </c>
      <c r="D37" s="201">
        <f>D11</f>
        <v>1</v>
      </c>
      <c r="E37" s="173"/>
      <c r="F37" s="174" t="s">
        <v>129</v>
      </c>
      <c r="G37" s="173"/>
      <c r="H37" s="202">
        <f>D37</f>
        <v>1</v>
      </c>
      <c r="I37" s="135"/>
      <c r="J37" s="135"/>
      <c r="K37" s="136"/>
    </row>
    <row r="38" spans="1:15" ht="13.5" customHeight="1" x14ac:dyDescent="0.25">
      <c r="I38" s="135"/>
      <c r="J38" s="135"/>
      <c r="K38" s="136"/>
    </row>
    <row r="39" spans="1:15" ht="13.8" x14ac:dyDescent="0.25">
      <c r="I39" s="135"/>
      <c r="J39" s="135"/>
      <c r="K39" s="136"/>
    </row>
    <row r="40" spans="1:15" ht="27.75" customHeight="1" x14ac:dyDescent="0.25">
      <c r="B40" s="203" t="s">
        <v>130</v>
      </c>
      <c r="C40" s="134"/>
      <c r="D40" s="204"/>
      <c r="E40" s="134"/>
      <c r="F40" s="134"/>
      <c r="G40" s="134"/>
      <c r="H40" s="134"/>
      <c r="I40" s="135"/>
      <c r="J40" s="135"/>
      <c r="K40" s="136"/>
    </row>
    <row r="41" spans="1:15" ht="29.25" customHeight="1" x14ac:dyDescent="0.25">
      <c r="B41" s="137" t="s">
        <v>119</v>
      </c>
      <c r="C41" s="134" t="s">
        <v>85</v>
      </c>
      <c r="D41" s="205">
        <f>D4</f>
        <v>4.4000000000000004</v>
      </c>
      <c r="E41" s="183" t="s">
        <v>106</v>
      </c>
      <c r="F41" s="183">
        <v>0.65</v>
      </c>
      <c r="G41" s="134" t="s">
        <v>85</v>
      </c>
      <c r="H41" s="134">
        <f>D41+F41</f>
        <v>5.0500000000000007</v>
      </c>
      <c r="I41" s="135" t="s">
        <v>86</v>
      </c>
      <c r="J41" s="135"/>
      <c r="K41" s="136"/>
    </row>
    <row r="42" spans="1:15" ht="39" customHeight="1" x14ac:dyDescent="0.25">
      <c r="B42" s="137" t="s">
        <v>120</v>
      </c>
      <c r="C42" s="134" t="s">
        <v>85</v>
      </c>
      <c r="D42" s="206">
        <f>D6</f>
        <v>3</v>
      </c>
      <c r="E42" s="183" t="s">
        <v>106</v>
      </c>
      <c r="F42" s="183">
        <v>0.2</v>
      </c>
      <c r="G42" s="134" t="s">
        <v>85</v>
      </c>
      <c r="H42" s="134">
        <f>D42+F42</f>
        <v>3.2</v>
      </c>
      <c r="I42" s="135" t="s">
        <v>86</v>
      </c>
      <c r="J42" s="135"/>
      <c r="K42" s="135"/>
      <c r="L42" s="127"/>
      <c r="M42" s="127"/>
      <c r="N42" s="127"/>
      <c r="O42" s="127"/>
    </row>
    <row r="43" spans="1:15" ht="31.5" customHeight="1" x14ac:dyDescent="0.25">
      <c r="B43" s="137" t="s">
        <v>121</v>
      </c>
      <c r="C43" s="134" t="s">
        <v>85</v>
      </c>
      <c r="D43" s="206">
        <f>$D$12</f>
        <v>422</v>
      </c>
      <c r="E43" s="183" t="s">
        <v>109</v>
      </c>
      <c r="F43" s="139">
        <f>D13</f>
        <v>419</v>
      </c>
      <c r="G43" s="134" t="s">
        <v>85</v>
      </c>
      <c r="H43" s="207">
        <f>D6</f>
        <v>3</v>
      </c>
      <c r="I43" s="135" t="s">
        <v>86</v>
      </c>
      <c r="J43" s="135"/>
      <c r="K43" s="136"/>
    </row>
    <row r="44" spans="1:15" ht="21.75" customHeight="1" x14ac:dyDescent="0.25">
      <c r="B44" s="137" t="s">
        <v>131</v>
      </c>
      <c r="C44" s="134" t="s">
        <v>85</v>
      </c>
      <c r="D44" s="208"/>
      <c r="E44" s="209"/>
      <c r="F44" s="209"/>
      <c r="G44" s="134" t="s">
        <v>85</v>
      </c>
      <c r="H44" s="210">
        <f>D37</f>
        <v>1</v>
      </c>
      <c r="I44" s="135" t="s">
        <v>132</v>
      </c>
      <c r="J44" s="135"/>
      <c r="K44" s="136"/>
    </row>
    <row r="45" spans="1:15" ht="13.8" x14ac:dyDescent="0.25">
      <c r="B45" s="189"/>
      <c r="C45" s="188" t="s">
        <v>85</v>
      </c>
      <c r="D45" s="211"/>
      <c r="E45" s="191"/>
      <c r="F45" s="191"/>
      <c r="G45" s="188" t="s">
        <v>85</v>
      </c>
      <c r="H45" s="191">
        <f>((0.02212*(H41^2*H42*H43)^0.716))/H44</f>
        <v>1.1355456003281494</v>
      </c>
      <c r="I45" s="135" t="s">
        <v>111</v>
      </c>
      <c r="J45" s="135"/>
      <c r="K45" s="136"/>
    </row>
    <row r="46" spans="1:15" ht="13.8" x14ac:dyDescent="0.25">
      <c r="B46" s="212"/>
      <c r="C46" s="213"/>
      <c r="D46" s="214"/>
      <c r="E46" s="215"/>
      <c r="F46" s="215"/>
      <c r="G46" s="213"/>
      <c r="H46" s="216" t="s">
        <v>678</v>
      </c>
      <c r="I46" s="135" t="s">
        <v>111</v>
      </c>
      <c r="J46" s="135"/>
      <c r="K46" s="136"/>
    </row>
    <row r="47" spans="1:15" ht="13.8" x14ac:dyDescent="0.25">
      <c r="I47" s="135"/>
      <c r="J47" s="135"/>
      <c r="K47" s="136"/>
    </row>
    <row r="48" spans="1:15" s="127" customFormat="1" ht="21.75" customHeight="1" x14ac:dyDescent="0.25">
      <c r="A48" s="135"/>
      <c r="B48" s="1098" t="s">
        <v>133</v>
      </c>
      <c r="C48" s="1099"/>
      <c r="D48" s="1099"/>
      <c r="E48" s="1100"/>
      <c r="F48" s="217">
        <f>(H45+H37)*2.5</f>
        <v>5.338864000820374</v>
      </c>
      <c r="G48" s="134" t="s">
        <v>111</v>
      </c>
      <c r="H48" s="128"/>
      <c r="I48" s="128"/>
      <c r="J48" s="135"/>
      <c r="K48" s="136"/>
      <c r="L48" s="128"/>
      <c r="M48" s="128"/>
      <c r="N48" s="128"/>
      <c r="O48" s="128"/>
    </row>
    <row r="49" spans="1:11" ht="44.25" customHeight="1" x14ac:dyDescent="0.25">
      <c r="A49" s="135"/>
      <c r="B49" s="137" t="s">
        <v>134</v>
      </c>
      <c r="C49" s="134"/>
      <c r="D49" s="150">
        <f>(1*2)*(D10+1)*400/1000</f>
        <v>1.6</v>
      </c>
      <c r="E49" s="142"/>
      <c r="F49" s="204"/>
      <c r="G49" s="134" t="s">
        <v>111</v>
      </c>
      <c r="J49" s="135"/>
      <c r="K49" s="136"/>
    </row>
    <row r="50" spans="1:11" ht="27.75" customHeight="1" x14ac:dyDescent="0.25">
      <c r="A50" s="135"/>
      <c r="B50" s="137" t="s">
        <v>135</v>
      </c>
      <c r="C50" s="134"/>
      <c r="D50" s="150">
        <f>(D4+D16)*3*D10*400/1000</f>
        <v>6.4800000000000013</v>
      </c>
      <c r="E50" s="142"/>
      <c r="F50" s="204"/>
      <c r="G50" s="134" t="s">
        <v>111</v>
      </c>
      <c r="J50" s="135"/>
      <c r="K50" s="136"/>
    </row>
    <row r="51" spans="1:11" ht="30" customHeight="1" x14ac:dyDescent="0.25">
      <c r="A51" s="135"/>
      <c r="B51" s="137" t="s">
        <v>136</v>
      </c>
      <c r="C51" s="134"/>
      <c r="D51" s="150">
        <f>0.1*(D49+D50)</f>
        <v>0.80800000000000027</v>
      </c>
      <c r="E51" s="142"/>
      <c r="F51" s="204"/>
      <c r="G51" s="134" t="s">
        <v>111</v>
      </c>
      <c r="J51" s="135"/>
      <c r="K51" s="136"/>
    </row>
    <row r="52" spans="1:11" ht="37.5" customHeight="1" x14ac:dyDescent="0.25">
      <c r="A52" s="135"/>
      <c r="B52" s="137" t="s">
        <v>137</v>
      </c>
      <c r="C52" s="134"/>
      <c r="D52" s="150">
        <v>0</v>
      </c>
      <c r="E52" s="142"/>
      <c r="F52" s="204"/>
      <c r="G52" s="134" t="s">
        <v>111</v>
      </c>
      <c r="J52" s="135"/>
      <c r="K52" s="136"/>
    </row>
    <row r="53" spans="1:11" ht="13.8" x14ac:dyDescent="0.25">
      <c r="A53" s="135"/>
      <c r="B53" s="137" t="s">
        <v>138</v>
      </c>
      <c r="C53" s="134" t="s">
        <v>85</v>
      </c>
      <c r="D53" s="218">
        <f>D49+D50+D51+D52</f>
        <v>8.8880000000000017</v>
      </c>
      <c r="E53" s="204"/>
      <c r="F53" s="219"/>
      <c r="G53" s="134" t="s">
        <v>111</v>
      </c>
      <c r="J53" s="135"/>
      <c r="K53" s="136"/>
    </row>
    <row r="54" spans="1:11" ht="13.8" x14ac:dyDescent="0.25">
      <c r="A54" s="135"/>
      <c r="B54" s="177"/>
      <c r="C54" s="135"/>
      <c r="D54" s="220"/>
      <c r="E54" s="221"/>
      <c r="F54" s="221"/>
      <c r="G54" s="221"/>
      <c r="J54" s="135"/>
      <c r="K54" s="136"/>
    </row>
    <row r="55" spans="1:11" ht="13.8" x14ac:dyDescent="0.25">
      <c r="A55" s="1101" t="str">
        <f>C2</f>
        <v>ROSHNABAD BARRAGE</v>
      </c>
      <c r="B55" s="1101"/>
      <c r="C55" s="1101"/>
      <c r="D55" s="1101"/>
      <c r="E55" s="1101"/>
      <c r="F55" s="1101"/>
      <c r="G55" s="1101"/>
      <c r="H55" s="1101"/>
      <c r="I55" s="1102"/>
      <c r="J55" s="204"/>
      <c r="K55" s="136"/>
    </row>
    <row r="56" spans="1:11" ht="13.8" x14ac:dyDescent="0.25">
      <c r="A56" s="222" t="s">
        <v>139</v>
      </c>
      <c r="B56" s="223" t="s">
        <v>140</v>
      </c>
      <c r="C56" s="222" t="s">
        <v>85</v>
      </c>
      <c r="D56" s="222" t="s">
        <v>8</v>
      </c>
      <c r="E56" s="222"/>
      <c r="F56" s="222" t="s">
        <v>141</v>
      </c>
      <c r="G56" s="224" t="s">
        <v>7</v>
      </c>
      <c r="H56" s="224" t="s">
        <v>9</v>
      </c>
      <c r="I56" s="222" t="s">
        <v>10</v>
      </c>
      <c r="J56" s="134"/>
      <c r="K56" s="136"/>
    </row>
    <row r="57" spans="1:11" ht="13.8" x14ac:dyDescent="0.25">
      <c r="A57" s="134">
        <v>801</v>
      </c>
      <c r="B57" s="225" t="s">
        <v>142</v>
      </c>
      <c r="C57" s="134"/>
      <c r="D57" s="226">
        <f>H26+H35</f>
        <v>1.7817476321585892</v>
      </c>
      <c r="E57" s="226" t="s">
        <v>111</v>
      </c>
      <c r="F57" s="226">
        <f>D57</f>
        <v>1.7817476321585892</v>
      </c>
      <c r="G57" s="226" t="s">
        <v>93</v>
      </c>
      <c r="H57" s="226">
        <v>123776</v>
      </c>
      <c r="I57" s="1030">
        <f>F57*H57</f>
        <v>220537.59491806154</v>
      </c>
      <c r="J57" s="134"/>
      <c r="K57" s="136"/>
    </row>
    <row r="58" spans="1:11" ht="13.8" x14ac:dyDescent="0.25">
      <c r="A58" s="134">
        <v>802</v>
      </c>
      <c r="B58" s="227" t="s">
        <v>143</v>
      </c>
      <c r="C58" s="134"/>
      <c r="D58" s="226"/>
      <c r="E58" s="226"/>
      <c r="F58" s="226"/>
      <c r="G58" s="226" t="s">
        <v>93</v>
      </c>
      <c r="H58" s="226"/>
      <c r="I58" s="1030"/>
      <c r="J58" s="134"/>
      <c r="K58" s="136"/>
    </row>
    <row r="59" spans="1:11" ht="18.75" customHeight="1" x14ac:dyDescent="0.25">
      <c r="A59" s="134">
        <v>803</v>
      </c>
      <c r="B59" s="228" t="s">
        <v>144</v>
      </c>
      <c r="C59" s="134"/>
      <c r="D59" s="226">
        <f>H25</f>
        <v>3.8989095272284588</v>
      </c>
      <c r="E59" s="226" t="s">
        <v>111</v>
      </c>
      <c r="F59" s="226">
        <f>D59</f>
        <v>3.8989095272284588</v>
      </c>
      <c r="G59" s="226" t="s">
        <v>93</v>
      </c>
      <c r="H59" s="226">
        <v>130139</v>
      </c>
      <c r="I59" s="1030">
        <f t="shared" ref="I59:I67" si="0">F59*H59</f>
        <v>507400.18696398439</v>
      </c>
      <c r="J59" s="134"/>
      <c r="K59" s="136"/>
    </row>
    <row r="60" spans="1:11" ht="13.8" x14ac:dyDescent="0.25">
      <c r="A60" s="134">
        <v>804</v>
      </c>
      <c r="B60" s="225" t="s">
        <v>145</v>
      </c>
      <c r="C60" s="134"/>
      <c r="D60" s="226">
        <f>H34</f>
        <v>2.9672032413637899</v>
      </c>
      <c r="E60" s="226" t="s">
        <v>111</v>
      </c>
      <c r="F60" s="226">
        <f>D60</f>
        <v>2.9672032413637899</v>
      </c>
      <c r="G60" s="226" t="s">
        <v>93</v>
      </c>
      <c r="H60" s="226">
        <v>135875</v>
      </c>
      <c r="I60" s="1030">
        <f>F60*H60</f>
        <v>403168.74042030494</v>
      </c>
      <c r="J60" s="134"/>
      <c r="K60" s="136"/>
    </row>
    <row r="61" spans="1:11" ht="13.8" x14ac:dyDescent="0.25">
      <c r="A61" s="134">
        <v>805</v>
      </c>
      <c r="B61" s="227" t="s">
        <v>146</v>
      </c>
      <c r="C61" s="134"/>
      <c r="D61" s="226"/>
      <c r="E61" s="226" t="s">
        <v>111</v>
      </c>
      <c r="F61" s="226"/>
      <c r="G61" s="226" t="s">
        <v>93</v>
      </c>
      <c r="H61" s="226"/>
      <c r="I61" s="1030"/>
      <c r="J61" s="134"/>
      <c r="K61" s="136"/>
    </row>
    <row r="62" spans="1:11" ht="13.8" x14ac:dyDescent="0.25">
      <c r="A62" s="134">
        <v>806</v>
      </c>
      <c r="B62" s="225" t="s">
        <v>147</v>
      </c>
      <c r="C62" s="134"/>
      <c r="D62" s="226">
        <f>ROUND(2.5*D59,2)</f>
        <v>9.75</v>
      </c>
      <c r="E62" s="226" t="s">
        <v>111</v>
      </c>
      <c r="F62" s="226">
        <v>0</v>
      </c>
      <c r="G62" s="226" t="s">
        <v>93</v>
      </c>
      <c r="H62" s="226">
        <v>40556</v>
      </c>
      <c r="I62" s="1030">
        <f t="shared" si="0"/>
        <v>0</v>
      </c>
      <c r="J62" s="134"/>
      <c r="K62" s="136"/>
    </row>
    <row r="63" spans="1:11" ht="13.8" x14ac:dyDescent="0.25">
      <c r="A63" s="134">
        <v>806</v>
      </c>
      <c r="B63" s="227" t="s">
        <v>148</v>
      </c>
      <c r="C63" s="134"/>
      <c r="D63" s="226"/>
      <c r="E63" s="226" t="s">
        <v>111</v>
      </c>
      <c r="F63" s="226"/>
      <c r="G63" s="226" t="s">
        <v>93</v>
      </c>
      <c r="H63" s="226"/>
      <c r="I63" s="1030"/>
      <c r="J63" s="134"/>
      <c r="K63" s="136"/>
    </row>
    <row r="64" spans="1:11" ht="13.8" x14ac:dyDescent="0.25">
      <c r="A64" s="134">
        <v>808</v>
      </c>
      <c r="B64" s="227" t="s">
        <v>149</v>
      </c>
      <c r="C64" s="134"/>
      <c r="D64" s="226"/>
      <c r="E64" s="226"/>
      <c r="F64" s="226"/>
      <c r="G64" s="226" t="s">
        <v>93</v>
      </c>
      <c r="H64" s="226"/>
      <c r="I64" s="1030"/>
      <c r="J64" s="134"/>
      <c r="K64" s="136"/>
    </row>
    <row r="65" spans="1:11" ht="13.8" x14ac:dyDescent="0.25">
      <c r="A65" s="134">
        <v>809</v>
      </c>
      <c r="B65" s="225" t="s">
        <v>150</v>
      </c>
      <c r="C65" s="134"/>
      <c r="D65" s="226">
        <v>0</v>
      </c>
      <c r="E65" s="226" t="s">
        <v>111</v>
      </c>
      <c r="F65" s="226">
        <v>0</v>
      </c>
      <c r="G65" s="226" t="s">
        <v>93</v>
      </c>
      <c r="H65" s="226">
        <v>190592</v>
      </c>
      <c r="I65" s="1030">
        <f t="shared" si="0"/>
        <v>0</v>
      </c>
      <c r="J65" s="134"/>
      <c r="K65" s="136"/>
    </row>
    <row r="66" spans="1:11" ht="13.8" x14ac:dyDescent="0.25">
      <c r="A66" s="134">
        <v>810</v>
      </c>
      <c r="B66" s="225" t="s">
        <v>151</v>
      </c>
      <c r="C66" s="134"/>
      <c r="D66" s="226">
        <f>H45</f>
        <v>1.1355456003281494</v>
      </c>
      <c r="E66" s="226" t="s">
        <v>111</v>
      </c>
      <c r="F66" s="226">
        <f>D66</f>
        <v>1.1355456003281494</v>
      </c>
      <c r="G66" s="226" t="s">
        <v>93</v>
      </c>
      <c r="H66" s="226">
        <v>160575</v>
      </c>
      <c r="I66" s="1030">
        <f t="shared" si="0"/>
        <v>182340.23477269261</v>
      </c>
      <c r="J66" s="134"/>
      <c r="K66" s="136"/>
    </row>
    <row r="67" spans="1:11" ht="13.8" x14ac:dyDescent="0.25">
      <c r="A67" s="134">
        <v>811</v>
      </c>
      <c r="B67" s="225" t="s">
        <v>152</v>
      </c>
      <c r="C67" s="134"/>
      <c r="D67" s="226">
        <f>D53</f>
        <v>8.8880000000000017</v>
      </c>
      <c r="E67" s="226" t="s">
        <v>111</v>
      </c>
      <c r="F67" s="226">
        <f>D67</f>
        <v>8.8880000000000017</v>
      </c>
      <c r="G67" s="226" t="s">
        <v>93</v>
      </c>
      <c r="H67" s="226">
        <v>101797</v>
      </c>
      <c r="I67" s="1030">
        <f t="shared" si="0"/>
        <v>904771.73600000015</v>
      </c>
      <c r="J67" s="134"/>
      <c r="K67" s="128">
        <f>730.8*79878</f>
        <v>58374842.399999999</v>
      </c>
    </row>
    <row r="68" spans="1:11" ht="13.8" x14ac:dyDescent="0.25">
      <c r="A68" s="134">
        <v>812</v>
      </c>
      <c r="B68" s="227" t="s">
        <v>153</v>
      </c>
      <c r="C68" s="134"/>
      <c r="D68" s="226">
        <v>40</v>
      </c>
      <c r="E68" s="226" t="s">
        <v>111</v>
      </c>
      <c r="F68" s="226">
        <v>40</v>
      </c>
      <c r="G68" s="226" t="s">
        <v>93</v>
      </c>
      <c r="H68" s="226">
        <v>52645</v>
      </c>
      <c r="I68" s="1030">
        <f>D68*H68</f>
        <v>2105800</v>
      </c>
      <c r="J68" s="134"/>
      <c r="K68" s="136"/>
    </row>
    <row r="69" spans="1:11" ht="13.8" x14ac:dyDescent="0.25">
      <c r="A69" s="134">
        <v>813</v>
      </c>
      <c r="B69" s="227" t="s">
        <v>154</v>
      </c>
      <c r="C69" s="134"/>
      <c r="D69" s="226"/>
      <c r="E69" s="226" t="s">
        <v>111</v>
      </c>
      <c r="F69" s="226"/>
      <c r="G69" s="226" t="s">
        <v>93</v>
      </c>
      <c r="H69" s="226">
        <v>139425</v>
      </c>
      <c r="I69" s="226"/>
      <c r="J69" s="134"/>
    </row>
    <row r="70" spans="1:11" ht="13.8" x14ac:dyDescent="0.25">
      <c r="A70" s="134">
        <v>814</v>
      </c>
      <c r="B70" s="227" t="s">
        <v>155</v>
      </c>
      <c r="C70" s="134"/>
      <c r="D70" s="226"/>
      <c r="E70" s="226" t="s">
        <v>111</v>
      </c>
      <c r="F70" s="226"/>
      <c r="G70" s="226" t="s">
        <v>93</v>
      </c>
      <c r="H70" s="226">
        <v>85820</v>
      </c>
      <c r="I70" s="226"/>
      <c r="J70" s="134"/>
    </row>
    <row r="71" spans="1:11" ht="13.8" x14ac:dyDescent="0.25">
      <c r="A71" s="134">
        <v>815</v>
      </c>
      <c r="B71" s="229" t="s">
        <v>156</v>
      </c>
      <c r="C71" s="134"/>
      <c r="D71" s="226"/>
      <c r="E71" s="226" t="s">
        <v>111</v>
      </c>
      <c r="F71" s="226"/>
      <c r="G71" s="226" t="s">
        <v>93</v>
      </c>
      <c r="H71" s="226"/>
      <c r="I71" s="226"/>
      <c r="J71" s="134"/>
    </row>
    <row r="72" spans="1:11" ht="13.8" x14ac:dyDescent="0.25">
      <c r="A72" s="134">
        <v>816</v>
      </c>
      <c r="B72" s="227" t="s">
        <v>157</v>
      </c>
      <c r="C72" s="134"/>
      <c r="D72" s="226"/>
      <c r="E72" s="226" t="s">
        <v>86</v>
      </c>
      <c r="F72" s="226"/>
      <c r="G72" s="226" t="s">
        <v>93</v>
      </c>
      <c r="H72" s="226">
        <v>6550</v>
      </c>
      <c r="I72" s="226"/>
      <c r="J72" s="134"/>
    </row>
    <row r="73" spans="1:11" ht="14.4" x14ac:dyDescent="0.25">
      <c r="A73" s="134"/>
      <c r="B73" s="137" t="s">
        <v>158</v>
      </c>
      <c r="C73" s="134"/>
      <c r="D73" s="230">
        <f>SUM(D57:D68)</f>
        <v>68.421406001078992</v>
      </c>
      <c r="E73" s="1103" t="s">
        <v>159</v>
      </c>
      <c r="F73" s="1103"/>
      <c r="G73" s="1103"/>
      <c r="H73" s="1104">
        <f>SUM(I57:I72)</f>
        <v>4324018.4930750439</v>
      </c>
      <c r="I73" s="1104"/>
      <c r="K73" s="128">
        <f>I74/((D4*D5)*D10)*10000000/100000</f>
        <v>3.2757715856629122</v>
      </c>
    </row>
    <row r="74" spans="1:11" ht="13.8" x14ac:dyDescent="0.25">
      <c r="A74" s="134"/>
      <c r="B74" s="137"/>
      <c r="C74" s="134"/>
      <c r="D74" s="150"/>
      <c r="E74" s="231"/>
      <c r="F74" s="231"/>
      <c r="G74" s="231"/>
      <c r="H74" s="231"/>
      <c r="I74" s="232">
        <f>H73/10000000</f>
        <v>0.43240184930750442</v>
      </c>
    </row>
    <row r="75" spans="1:11" ht="13.8" x14ac:dyDescent="0.25">
      <c r="I75" s="204" t="s">
        <v>160</v>
      </c>
    </row>
    <row r="76" spans="1:11" x14ac:dyDescent="0.25">
      <c r="A76" s="127"/>
      <c r="B76" s="127"/>
      <c r="C76" s="127"/>
      <c r="D76" s="127"/>
      <c r="E76" s="127"/>
      <c r="F76" s="127"/>
      <c r="G76" s="127"/>
      <c r="H76" s="127"/>
      <c r="I76" s="127"/>
      <c r="J76" s="127"/>
    </row>
  </sheetData>
  <customSheetViews>
    <customSheetView guid="{5161B42F-120B-436B-80F4-9BB578173AD5}" scale="60" showPageBreaks="1" fitToPage="1" printArea="1" view="pageBreakPreview" topLeftCell="A49">
      <selection activeCell="F86" sqref="F85:F86"/>
      <pageMargins left="0.7" right="0.7" top="0.75" bottom="0.75" header="0.3" footer="0.3"/>
      <pageSetup paperSize="9" scale="84" fitToHeight="0" orientation="portrait" r:id="rId1"/>
    </customSheetView>
  </customSheetViews>
  <mergeCells count="8">
    <mergeCell ref="B48:E48"/>
    <mergeCell ref="A55:I55"/>
    <mergeCell ref="E73:G73"/>
    <mergeCell ref="H73:I73"/>
    <mergeCell ref="A19:A24"/>
    <mergeCell ref="D19:G19"/>
    <mergeCell ref="A28:A32"/>
    <mergeCell ref="D28:H28"/>
  </mergeCells>
  <conditionalFormatting sqref="B57">
    <cfRule type="colorScale" priority="3">
      <colorScale>
        <cfvo type="formula" val="$D$57&gt;0"/>
        <cfvo type="max"/>
        <color rgb="FFFF7128"/>
        <color rgb="FFFFEF9C"/>
      </colorScale>
    </cfRule>
    <cfRule type="expression" priority="4" stopIfTrue="1">
      <formula>$D$57&gt;0</formula>
    </cfRule>
  </conditionalFormatting>
  <conditionalFormatting sqref="B76">
    <cfRule type="expression" dxfId="3" priority="1" stopIfTrue="1">
      <formula>if+$D$76&gt;0</formula>
    </cfRule>
  </conditionalFormatting>
  <conditionalFormatting sqref="D57:D73">
    <cfRule type="cellIs" dxfId="2" priority="7" stopIfTrue="1" operator="greaterThan">
      <formula>0</formula>
    </cfRule>
  </conditionalFormatting>
  <conditionalFormatting sqref="F57:F72">
    <cfRule type="cellIs" dxfId="1" priority="6" stopIfTrue="1" operator="greaterThan">
      <formula>0</formula>
    </cfRule>
  </conditionalFormatting>
  <conditionalFormatting sqref="I57:I72">
    <cfRule type="cellIs" dxfId="0" priority="5" stopIfTrue="1" operator="greaterThan">
      <formula>0</formula>
    </cfRule>
  </conditionalFormatting>
  <pageMargins left="0.7" right="0.7" top="0.75" bottom="0.75" header="0.3" footer="0.3"/>
  <pageSetup paperSize="9" scale="81" fitToHeight="0"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W128"/>
  <sheetViews>
    <sheetView view="pageBreakPreview" topLeftCell="A5" zoomScale="70" zoomScaleNormal="85" zoomScaleSheetLayoutView="70" workbookViewId="0">
      <selection activeCell="J24" sqref="J24"/>
    </sheetView>
  </sheetViews>
  <sheetFormatPr defaultRowHeight="14.4" x14ac:dyDescent="0.3"/>
  <cols>
    <col min="1" max="1" width="5.33203125" style="233" customWidth="1"/>
    <col min="2" max="2" width="36" style="233" customWidth="1"/>
    <col min="3" max="3" width="5.6640625" style="233" customWidth="1"/>
    <col min="4" max="4" width="9.6640625" style="233" customWidth="1"/>
    <col min="5" max="5" width="7.6640625" style="233" customWidth="1"/>
    <col min="6" max="6" width="8.6640625" style="233" customWidth="1"/>
    <col min="7" max="7" width="11.88671875" style="233" customWidth="1"/>
    <col min="8" max="8" width="6.5546875" style="233" bestFit="1" customWidth="1"/>
    <col min="9" max="10" width="8.88671875" style="233"/>
    <col min="11" max="11" width="10.33203125" style="233" bestFit="1" customWidth="1"/>
    <col min="12" max="256" width="8.88671875" style="233"/>
    <col min="257" max="257" width="5.33203125" style="233" customWidth="1"/>
    <col min="258" max="258" width="39.88671875" style="233" customWidth="1"/>
    <col min="259" max="259" width="5.6640625" style="233" customWidth="1"/>
    <col min="260" max="262" width="9.6640625" style="233" customWidth="1"/>
    <col min="263" max="263" width="15.109375" style="233" customWidth="1"/>
    <col min="264" max="264" width="6.5546875" style="233" bestFit="1" customWidth="1"/>
    <col min="265" max="266" width="8.88671875" style="233"/>
    <col min="267" max="267" width="10.33203125" style="233" bestFit="1" customWidth="1"/>
    <col min="268" max="512" width="8.88671875" style="233"/>
    <col min="513" max="513" width="5.33203125" style="233" customWidth="1"/>
    <col min="514" max="514" width="39.88671875" style="233" customWidth="1"/>
    <col min="515" max="515" width="5.6640625" style="233" customWidth="1"/>
    <col min="516" max="518" width="9.6640625" style="233" customWidth="1"/>
    <col min="519" max="519" width="15.109375" style="233" customWidth="1"/>
    <col min="520" max="520" width="6.5546875" style="233" bestFit="1" customWidth="1"/>
    <col min="521" max="522" width="8.88671875" style="233"/>
    <col min="523" max="523" width="10.33203125" style="233" bestFit="1" customWidth="1"/>
    <col min="524" max="768" width="8.88671875" style="233"/>
    <col min="769" max="769" width="5.33203125" style="233" customWidth="1"/>
    <col min="770" max="770" width="39.88671875" style="233" customWidth="1"/>
    <col min="771" max="771" width="5.6640625" style="233" customWidth="1"/>
    <col min="772" max="774" width="9.6640625" style="233" customWidth="1"/>
    <col min="775" max="775" width="15.109375" style="233" customWidth="1"/>
    <col min="776" max="776" width="6.5546875" style="233" bestFit="1" customWidth="1"/>
    <col min="777" max="778" width="8.88671875" style="233"/>
    <col min="779" max="779" width="10.33203125" style="233" bestFit="1" customWidth="1"/>
    <col min="780" max="1024" width="8.88671875" style="233"/>
    <col min="1025" max="1025" width="5.33203125" style="233" customWidth="1"/>
    <col min="1026" max="1026" width="39.88671875" style="233" customWidth="1"/>
    <col min="1027" max="1027" width="5.6640625" style="233" customWidth="1"/>
    <col min="1028" max="1030" width="9.6640625" style="233" customWidth="1"/>
    <col min="1031" max="1031" width="15.109375" style="233" customWidth="1"/>
    <col min="1032" max="1032" width="6.5546875" style="233" bestFit="1" customWidth="1"/>
    <col min="1033" max="1034" width="8.88671875" style="233"/>
    <col min="1035" max="1035" width="10.33203125" style="233" bestFit="1" customWidth="1"/>
    <col min="1036" max="1280" width="8.88671875" style="233"/>
    <col min="1281" max="1281" width="5.33203125" style="233" customWidth="1"/>
    <col min="1282" max="1282" width="39.88671875" style="233" customWidth="1"/>
    <col min="1283" max="1283" width="5.6640625" style="233" customWidth="1"/>
    <col min="1284" max="1286" width="9.6640625" style="233" customWidth="1"/>
    <col min="1287" max="1287" width="15.109375" style="233" customWidth="1"/>
    <col min="1288" max="1288" width="6.5546875" style="233" bestFit="1" customWidth="1"/>
    <col min="1289" max="1290" width="8.88671875" style="233"/>
    <col min="1291" max="1291" width="10.33203125" style="233" bestFit="1" customWidth="1"/>
    <col min="1292" max="1536" width="8.88671875" style="233"/>
    <col min="1537" max="1537" width="5.33203125" style="233" customWidth="1"/>
    <col min="1538" max="1538" width="39.88671875" style="233" customWidth="1"/>
    <col min="1539" max="1539" width="5.6640625" style="233" customWidth="1"/>
    <col min="1540" max="1542" width="9.6640625" style="233" customWidth="1"/>
    <col min="1543" max="1543" width="15.109375" style="233" customWidth="1"/>
    <col min="1544" max="1544" width="6.5546875" style="233" bestFit="1" customWidth="1"/>
    <col min="1545" max="1546" width="8.88671875" style="233"/>
    <col min="1547" max="1547" width="10.33203125" style="233" bestFit="1" customWidth="1"/>
    <col min="1548" max="1792" width="8.88671875" style="233"/>
    <col min="1793" max="1793" width="5.33203125" style="233" customWidth="1"/>
    <col min="1794" max="1794" width="39.88671875" style="233" customWidth="1"/>
    <col min="1795" max="1795" width="5.6640625" style="233" customWidth="1"/>
    <col min="1796" max="1798" width="9.6640625" style="233" customWidth="1"/>
    <col min="1799" max="1799" width="15.109375" style="233" customWidth="1"/>
    <col min="1800" max="1800" width="6.5546875" style="233" bestFit="1" customWidth="1"/>
    <col min="1801" max="1802" width="8.88671875" style="233"/>
    <col min="1803" max="1803" width="10.33203125" style="233" bestFit="1" customWidth="1"/>
    <col min="1804" max="2048" width="8.88671875" style="233"/>
    <col min="2049" max="2049" width="5.33203125" style="233" customWidth="1"/>
    <col min="2050" max="2050" width="39.88671875" style="233" customWidth="1"/>
    <col min="2051" max="2051" width="5.6640625" style="233" customWidth="1"/>
    <col min="2052" max="2054" width="9.6640625" style="233" customWidth="1"/>
    <col min="2055" max="2055" width="15.109375" style="233" customWidth="1"/>
    <col min="2056" max="2056" width="6.5546875" style="233" bestFit="1" customWidth="1"/>
    <col min="2057" max="2058" width="8.88671875" style="233"/>
    <col min="2059" max="2059" width="10.33203125" style="233" bestFit="1" customWidth="1"/>
    <col min="2060" max="2304" width="8.88671875" style="233"/>
    <col min="2305" max="2305" width="5.33203125" style="233" customWidth="1"/>
    <col min="2306" max="2306" width="39.88671875" style="233" customWidth="1"/>
    <col min="2307" max="2307" width="5.6640625" style="233" customWidth="1"/>
    <col min="2308" max="2310" width="9.6640625" style="233" customWidth="1"/>
    <col min="2311" max="2311" width="15.109375" style="233" customWidth="1"/>
    <col min="2312" max="2312" width="6.5546875" style="233" bestFit="1" customWidth="1"/>
    <col min="2313" max="2314" width="8.88671875" style="233"/>
    <col min="2315" max="2315" width="10.33203125" style="233" bestFit="1" customWidth="1"/>
    <col min="2316" max="2560" width="8.88671875" style="233"/>
    <col min="2561" max="2561" width="5.33203125" style="233" customWidth="1"/>
    <col min="2562" max="2562" width="39.88671875" style="233" customWidth="1"/>
    <col min="2563" max="2563" width="5.6640625" style="233" customWidth="1"/>
    <col min="2564" max="2566" width="9.6640625" style="233" customWidth="1"/>
    <col min="2567" max="2567" width="15.109375" style="233" customWidth="1"/>
    <col min="2568" max="2568" width="6.5546875" style="233" bestFit="1" customWidth="1"/>
    <col min="2569" max="2570" width="8.88671875" style="233"/>
    <col min="2571" max="2571" width="10.33203125" style="233" bestFit="1" customWidth="1"/>
    <col min="2572" max="2816" width="8.88671875" style="233"/>
    <col min="2817" max="2817" width="5.33203125" style="233" customWidth="1"/>
    <col min="2818" max="2818" width="39.88671875" style="233" customWidth="1"/>
    <col min="2819" max="2819" width="5.6640625" style="233" customWidth="1"/>
    <col min="2820" max="2822" width="9.6640625" style="233" customWidth="1"/>
    <col min="2823" max="2823" width="15.109375" style="233" customWidth="1"/>
    <col min="2824" max="2824" width="6.5546875" style="233" bestFit="1" customWidth="1"/>
    <col min="2825" max="2826" width="8.88671875" style="233"/>
    <col min="2827" max="2827" width="10.33203125" style="233" bestFit="1" customWidth="1"/>
    <col min="2828" max="3072" width="8.88671875" style="233"/>
    <col min="3073" max="3073" width="5.33203125" style="233" customWidth="1"/>
    <col min="3074" max="3074" width="39.88671875" style="233" customWidth="1"/>
    <col min="3075" max="3075" width="5.6640625" style="233" customWidth="1"/>
    <col min="3076" max="3078" width="9.6640625" style="233" customWidth="1"/>
    <col min="3079" max="3079" width="15.109375" style="233" customWidth="1"/>
    <col min="3080" max="3080" width="6.5546875" style="233" bestFit="1" customWidth="1"/>
    <col min="3081" max="3082" width="8.88671875" style="233"/>
    <col min="3083" max="3083" width="10.33203125" style="233" bestFit="1" customWidth="1"/>
    <col min="3084" max="3328" width="8.88671875" style="233"/>
    <col min="3329" max="3329" width="5.33203125" style="233" customWidth="1"/>
    <col min="3330" max="3330" width="39.88671875" style="233" customWidth="1"/>
    <col min="3331" max="3331" width="5.6640625" style="233" customWidth="1"/>
    <col min="3332" max="3334" width="9.6640625" style="233" customWidth="1"/>
    <col min="3335" max="3335" width="15.109375" style="233" customWidth="1"/>
    <col min="3336" max="3336" width="6.5546875" style="233" bestFit="1" customWidth="1"/>
    <col min="3337" max="3338" width="8.88671875" style="233"/>
    <col min="3339" max="3339" width="10.33203125" style="233" bestFit="1" customWidth="1"/>
    <col min="3340" max="3584" width="8.88671875" style="233"/>
    <col min="3585" max="3585" width="5.33203125" style="233" customWidth="1"/>
    <col min="3586" max="3586" width="39.88671875" style="233" customWidth="1"/>
    <col min="3587" max="3587" width="5.6640625" style="233" customWidth="1"/>
    <col min="3588" max="3590" width="9.6640625" style="233" customWidth="1"/>
    <col min="3591" max="3591" width="15.109375" style="233" customWidth="1"/>
    <col min="3592" max="3592" width="6.5546875" style="233" bestFit="1" customWidth="1"/>
    <col min="3593" max="3594" width="8.88671875" style="233"/>
    <col min="3595" max="3595" width="10.33203125" style="233" bestFit="1" customWidth="1"/>
    <col min="3596" max="3840" width="8.88671875" style="233"/>
    <col min="3841" max="3841" width="5.33203125" style="233" customWidth="1"/>
    <col min="3842" max="3842" width="39.88671875" style="233" customWidth="1"/>
    <col min="3843" max="3843" width="5.6640625" style="233" customWidth="1"/>
    <col min="3844" max="3846" width="9.6640625" style="233" customWidth="1"/>
    <col min="3847" max="3847" width="15.109375" style="233" customWidth="1"/>
    <col min="3848" max="3848" width="6.5546875" style="233" bestFit="1" customWidth="1"/>
    <col min="3849" max="3850" width="8.88671875" style="233"/>
    <col min="3851" max="3851" width="10.33203125" style="233" bestFit="1" customWidth="1"/>
    <col min="3852" max="4096" width="8.88671875" style="233"/>
    <col min="4097" max="4097" width="5.33203125" style="233" customWidth="1"/>
    <col min="4098" max="4098" width="39.88671875" style="233" customWidth="1"/>
    <col min="4099" max="4099" width="5.6640625" style="233" customWidth="1"/>
    <col min="4100" max="4102" width="9.6640625" style="233" customWidth="1"/>
    <col min="4103" max="4103" width="15.109375" style="233" customWidth="1"/>
    <col min="4104" max="4104" width="6.5546875" style="233" bestFit="1" customWidth="1"/>
    <col min="4105" max="4106" width="8.88671875" style="233"/>
    <col min="4107" max="4107" width="10.33203125" style="233" bestFit="1" customWidth="1"/>
    <col min="4108" max="4352" width="8.88671875" style="233"/>
    <col min="4353" max="4353" width="5.33203125" style="233" customWidth="1"/>
    <col min="4354" max="4354" width="39.88671875" style="233" customWidth="1"/>
    <col min="4355" max="4355" width="5.6640625" style="233" customWidth="1"/>
    <col min="4356" max="4358" width="9.6640625" style="233" customWidth="1"/>
    <col min="4359" max="4359" width="15.109375" style="233" customWidth="1"/>
    <col min="4360" max="4360" width="6.5546875" style="233" bestFit="1" customWidth="1"/>
    <col min="4361" max="4362" width="8.88671875" style="233"/>
    <col min="4363" max="4363" width="10.33203125" style="233" bestFit="1" customWidth="1"/>
    <col min="4364" max="4608" width="8.88671875" style="233"/>
    <col min="4609" max="4609" width="5.33203125" style="233" customWidth="1"/>
    <col min="4610" max="4610" width="39.88671875" style="233" customWidth="1"/>
    <col min="4611" max="4611" width="5.6640625" style="233" customWidth="1"/>
    <col min="4612" max="4614" width="9.6640625" style="233" customWidth="1"/>
    <col min="4615" max="4615" width="15.109375" style="233" customWidth="1"/>
    <col min="4616" max="4616" width="6.5546875" style="233" bestFit="1" customWidth="1"/>
    <col min="4617" max="4618" width="8.88671875" style="233"/>
    <col min="4619" max="4619" width="10.33203125" style="233" bestFit="1" customWidth="1"/>
    <col min="4620" max="4864" width="8.88671875" style="233"/>
    <col min="4865" max="4865" width="5.33203125" style="233" customWidth="1"/>
    <col min="4866" max="4866" width="39.88671875" style="233" customWidth="1"/>
    <col min="4867" max="4867" width="5.6640625" style="233" customWidth="1"/>
    <col min="4868" max="4870" width="9.6640625" style="233" customWidth="1"/>
    <col min="4871" max="4871" width="15.109375" style="233" customWidth="1"/>
    <col min="4872" max="4872" width="6.5546875" style="233" bestFit="1" customWidth="1"/>
    <col min="4873" max="4874" width="8.88671875" style="233"/>
    <col min="4875" max="4875" width="10.33203125" style="233" bestFit="1" customWidth="1"/>
    <col min="4876" max="5120" width="8.88671875" style="233"/>
    <col min="5121" max="5121" width="5.33203125" style="233" customWidth="1"/>
    <col min="5122" max="5122" width="39.88671875" style="233" customWidth="1"/>
    <col min="5123" max="5123" width="5.6640625" style="233" customWidth="1"/>
    <col min="5124" max="5126" width="9.6640625" style="233" customWidth="1"/>
    <col min="5127" max="5127" width="15.109375" style="233" customWidth="1"/>
    <col min="5128" max="5128" width="6.5546875" style="233" bestFit="1" customWidth="1"/>
    <col min="5129" max="5130" width="8.88671875" style="233"/>
    <col min="5131" max="5131" width="10.33203125" style="233" bestFit="1" customWidth="1"/>
    <col min="5132" max="5376" width="8.88671875" style="233"/>
    <col min="5377" max="5377" width="5.33203125" style="233" customWidth="1"/>
    <col min="5378" max="5378" width="39.88671875" style="233" customWidth="1"/>
    <col min="5379" max="5379" width="5.6640625" style="233" customWidth="1"/>
    <col min="5380" max="5382" width="9.6640625" style="233" customWidth="1"/>
    <col min="5383" max="5383" width="15.109375" style="233" customWidth="1"/>
    <col min="5384" max="5384" width="6.5546875" style="233" bestFit="1" customWidth="1"/>
    <col min="5385" max="5386" width="8.88671875" style="233"/>
    <col min="5387" max="5387" width="10.33203125" style="233" bestFit="1" customWidth="1"/>
    <col min="5388" max="5632" width="8.88671875" style="233"/>
    <col min="5633" max="5633" width="5.33203125" style="233" customWidth="1"/>
    <col min="5634" max="5634" width="39.88671875" style="233" customWidth="1"/>
    <col min="5635" max="5635" width="5.6640625" style="233" customWidth="1"/>
    <col min="5636" max="5638" width="9.6640625" style="233" customWidth="1"/>
    <col min="5639" max="5639" width="15.109375" style="233" customWidth="1"/>
    <col min="5640" max="5640" width="6.5546875" style="233" bestFit="1" customWidth="1"/>
    <col min="5641" max="5642" width="8.88671875" style="233"/>
    <col min="5643" max="5643" width="10.33203125" style="233" bestFit="1" customWidth="1"/>
    <col min="5644" max="5888" width="8.88671875" style="233"/>
    <col min="5889" max="5889" width="5.33203125" style="233" customWidth="1"/>
    <col min="5890" max="5890" width="39.88671875" style="233" customWidth="1"/>
    <col min="5891" max="5891" width="5.6640625" style="233" customWidth="1"/>
    <col min="5892" max="5894" width="9.6640625" style="233" customWidth="1"/>
    <col min="5895" max="5895" width="15.109375" style="233" customWidth="1"/>
    <col min="5896" max="5896" width="6.5546875" style="233" bestFit="1" customWidth="1"/>
    <col min="5897" max="5898" width="8.88671875" style="233"/>
    <col min="5899" max="5899" width="10.33203125" style="233" bestFit="1" customWidth="1"/>
    <col min="5900" max="6144" width="8.88671875" style="233"/>
    <col min="6145" max="6145" width="5.33203125" style="233" customWidth="1"/>
    <col min="6146" max="6146" width="39.88671875" style="233" customWidth="1"/>
    <col min="6147" max="6147" width="5.6640625" style="233" customWidth="1"/>
    <col min="6148" max="6150" width="9.6640625" style="233" customWidth="1"/>
    <col min="6151" max="6151" width="15.109375" style="233" customWidth="1"/>
    <col min="6152" max="6152" width="6.5546875" style="233" bestFit="1" customWidth="1"/>
    <col min="6153" max="6154" width="8.88671875" style="233"/>
    <col min="6155" max="6155" width="10.33203125" style="233" bestFit="1" customWidth="1"/>
    <col min="6156" max="6400" width="8.88671875" style="233"/>
    <col min="6401" max="6401" width="5.33203125" style="233" customWidth="1"/>
    <col min="6402" max="6402" width="39.88671875" style="233" customWidth="1"/>
    <col min="6403" max="6403" width="5.6640625" style="233" customWidth="1"/>
    <col min="6404" max="6406" width="9.6640625" style="233" customWidth="1"/>
    <col min="6407" max="6407" width="15.109375" style="233" customWidth="1"/>
    <col min="6408" max="6408" width="6.5546875" style="233" bestFit="1" customWidth="1"/>
    <col min="6409" max="6410" width="8.88671875" style="233"/>
    <col min="6411" max="6411" width="10.33203125" style="233" bestFit="1" customWidth="1"/>
    <col min="6412" max="6656" width="8.88671875" style="233"/>
    <col min="6657" max="6657" width="5.33203125" style="233" customWidth="1"/>
    <col min="6658" max="6658" width="39.88671875" style="233" customWidth="1"/>
    <col min="6659" max="6659" width="5.6640625" style="233" customWidth="1"/>
    <col min="6660" max="6662" width="9.6640625" style="233" customWidth="1"/>
    <col min="6663" max="6663" width="15.109375" style="233" customWidth="1"/>
    <col min="6664" max="6664" width="6.5546875" style="233" bestFit="1" customWidth="1"/>
    <col min="6665" max="6666" width="8.88671875" style="233"/>
    <col min="6667" max="6667" width="10.33203125" style="233" bestFit="1" customWidth="1"/>
    <col min="6668" max="6912" width="8.88671875" style="233"/>
    <col min="6913" max="6913" width="5.33203125" style="233" customWidth="1"/>
    <col min="6914" max="6914" width="39.88671875" style="233" customWidth="1"/>
    <col min="6915" max="6915" width="5.6640625" style="233" customWidth="1"/>
    <col min="6916" max="6918" width="9.6640625" style="233" customWidth="1"/>
    <col min="6919" max="6919" width="15.109375" style="233" customWidth="1"/>
    <col min="6920" max="6920" width="6.5546875" style="233" bestFit="1" customWidth="1"/>
    <col min="6921" max="6922" width="8.88671875" style="233"/>
    <col min="6923" max="6923" width="10.33203125" style="233" bestFit="1" customWidth="1"/>
    <col min="6924" max="7168" width="8.88671875" style="233"/>
    <col min="7169" max="7169" width="5.33203125" style="233" customWidth="1"/>
    <col min="7170" max="7170" width="39.88671875" style="233" customWidth="1"/>
    <col min="7171" max="7171" width="5.6640625" style="233" customWidth="1"/>
    <col min="7172" max="7174" width="9.6640625" style="233" customWidth="1"/>
    <col min="7175" max="7175" width="15.109375" style="233" customWidth="1"/>
    <col min="7176" max="7176" width="6.5546875" style="233" bestFit="1" customWidth="1"/>
    <col min="7177" max="7178" width="8.88671875" style="233"/>
    <col min="7179" max="7179" width="10.33203125" style="233" bestFit="1" customWidth="1"/>
    <col min="7180" max="7424" width="8.88671875" style="233"/>
    <col min="7425" max="7425" width="5.33203125" style="233" customWidth="1"/>
    <col min="7426" max="7426" width="39.88671875" style="233" customWidth="1"/>
    <col min="7427" max="7427" width="5.6640625" style="233" customWidth="1"/>
    <col min="7428" max="7430" width="9.6640625" style="233" customWidth="1"/>
    <col min="7431" max="7431" width="15.109375" style="233" customWidth="1"/>
    <col min="7432" max="7432" width="6.5546875" style="233" bestFit="1" customWidth="1"/>
    <col min="7433" max="7434" width="8.88671875" style="233"/>
    <col min="7435" max="7435" width="10.33203125" style="233" bestFit="1" customWidth="1"/>
    <col min="7436" max="7680" width="8.88671875" style="233"/>
    <col min="7681" max="7681" width="5.33203125" style="233" customWidth="1"/>
    <col min="7682" max="7682" width="39.88671875" style="233" customWidth="1"/>
    <col min="7683" max="7683" width="5.6640625" style="233" customWidth="1"/>
    <col min="7684" max="7686" width="9.6640625" style="233" customWidth="1"/>
    <col min="7687" max="7687" width="15.109375" style="233" customWidth="1"/>
    <col min="7688" max="7688" width="6.5546875" style="233" bestFit="1" customWidth="1"/>
    <col min="7689" max="7690" width="8.88671875" style="233"/>
    <col min="7691" max="7691" width="10.33203125" style="233" bestFit="1" customWidth="1"/>
    <col min="7692" max="7936" width="8.88671875" style="233"/>
    <col min="7937" max="7937" width="5.33203125" style="233" customWidth="1"/>
    <col min="7938" max="7938" width="39.88671875" style="233" customWidth="1"/>
    <col min="7939" max="7939" width="5.6640625" style="233" customWidth="1"/>
    <col min="7940" max="7942" width="9.6640625" style="233" customWidth="1"/>
    <col min="7943" max="7943" width="15.109375" style="233" customWidth="1"/>
    <col min="7944" max="7944" width="6.5546875" style="233" bestFit="1" customWidth="1"/>
    <col min="7945" max="7946" width="8.88671875" style="233"/>
    <col min="7947" max="7947" width="10.33203125" style="233" bestFit="1" customWidth="1"/>
    <col min="7948" max="8192" width="8.88671875" style="233"/>
    <col min="8193" max="8193" width="5.33203125" style="233" customWidth="1"/>
    <col min="8194" max="8194" width="39.88671875" style="233" customWidth="1"/>
    <col min="8195" max="8195" width="5.6640625" style="233" customWidth="1"/>
    <col min="8196" max="8198" width="9.6640625" style="233" customWidth="1"/>
    <col min="8199" max="8199" width="15.109375" style="233" customWidth="1"/>
    <col min="8200" max="8200" width="6.5546875" style="233" bestFit="1" customWidth="1"/>
    <col min="8201" max="8202" width="8.88671875" style="233"/>
    <col min="8203" max="8203" width="10.33203125" style="233" bestFit="1" customWidth="1"/>
    <col min="8204" max="8448" width="8.88671875" style="233"/>
    <col min="8449" max="8449" width="5.33203125" style="233" customWidth="1"/>
    <col min="8450" max="8450" width="39.88671875" style="233" customWidth="1"/>
    <col min="8451" max="8451" width="5.6640625" style="233" customWidth="1"/>
    <col min="8452" max="8454" width="9.6640625" style="233" customWidth="1"/>
    <col min="8455" max="8455" width="15.109375" style="233" customWidth="1"/>
    <col min="8456" max="8456" width="6.5546875" style="233" bestFit="1" customWidth="1"/>
    <col min="8457" max="8458" width="8.88671875" style="233"/>
    <col min="8459" max="8459" width="10.33203125" style="233" bestFit="1" customWidth="1"/>
    <col min="8460" max="8704" width="8.88671875" style="233"/>
    <col min="8705" max="8705" width="5.33203125" style="233" customWidth="1"/>
    <col min="8706" max="8706" width="39.88671875" style="233" customWidth="1"/>
    <col min="8707" max="8707" width="5.6640625" style="233" customWidth="1"/>
    <col min="8708" max="8710" width="9.6640625" style="233" customWidth="1"/>
    <col min="8711" max="8711" width="15.109375" style="233" customWidth="1"/>
    <col min="8712" max="8712" width="6.5546875" style="233" bestFit="1" customWidth="1"/>
    <col min="8713" max="8714" width="8.88671875" style="233"/>
    <col min="8715" max="8715" width="10.33203125" style="233" bestFit="1" customWidth="1"/>
    <col min="8716" max="8960" width="8.88671875" style="233"/>
    <col min="8961" max="8961" width="5.33203125" style="233" customWidth="1"/>
    <col min="8962" max="8962" width="39.88671875" style="233" customWidth="1"/>
    <col min="8963" max="8963" width="5.6640625" style="233" customWidth="1"/>
    <col min="8964" max="8966" width="9.6640625" style="233" customWidth="1"/>
    <col min="8967" max="8967" width="15.109375" style="233" customWidth="1"/>
    <col min="8968" max="8968" width="6.5546875" style="233" bestFit="1" customWidth="1"/>
    <col min="8969" max="8970" width="8.88671875" style="233"/>
    <col min="8971" max="8971" width="10.33203125" style="233" bestFit="1" customWidth="1"/>
    <col min="8972" max="9216" width="8.88671875" style="233"/>
    <col min="9217" max="9217" width="5.33203125" style="233" customWidth="1"/>
    <col min="9218" max="9218" width="39.88671875" style="233" customWidth="1"/>
    <col min="9219" max="9219" width="5.6640625" style="233" customWidth="1"/>
    <col min="9220" max="9222" width="9.6640625" style="233" customWidth="1"/>
    <col min="9223" max="9223" width="15.109375" style="233" customWidth="1"/>
    <col min="9224" max="9224" width="6.5546875" style="233" bestFit="1" customWidth="1"/>
    <col min="9225" max="9226" width="8.88671875" style="233"/>
    <col min="9227" max="9227" width="10.33203125" style="233" bestFit="1" customWidth="1"/>
    <col min="9228" max="9472" width="8.88671875" style="233"/>
    <col min="9473" max="9473" width="5.33203125" style="233" customWidth="1"/>
    <col min="9474" max="9474" width="39.88671875" style="233" customWidth="1"/>
    <col min="9475" max="9475" width="5.6640625" style="233" customWidth="1"/>
    <col min="9476" max="9478" width="9.6640625" style="233" customWidth="1"/>
    <col min="9479" max="9479" width="15.109375" style="233" customWidth="1"/>
    <col min="9480" max="9480" width="6.5546875" style="233" bestFit="1" customWidth="1"/>
    <col min="9481" max="9482" width="8.88671875" style="233"/>
    <col min="9483" max="9483" width="10.33203125" style="233" bestFit="1" customWidth="1"/>
    <col min="9484" max="9728" width="8.88671875" style="233"/>
    <col min="9729" max="9729" width="5.33203125" style="233" customWidth="1"/>
    <col min="9730" max="9730" width="39.88671875" style="233" customWidth="1"/>
    <col min="9731" max="9731" width="5.6640625" style="233" customWidth="1"/>
    <col min="9732" max="9734" width="9.6640625" style="233" customWidth="1"/>
    <col min="9735" max="9735" width="15.109375" style="233" customWidth="1"/>
    <col min="9736" max="9736" width="6.5546875" style="233" bestFit="1" customWidth="1"/>
    <col min="9737" max="9738" width="8.88671875" style="233"/>
    <col min="9739" max="9739" width="10.33203125" style="233" bestFit="1" customWidth="1"/>
    <col min="9740" max="9984" width="8.88671875" style="233"/>
    <col min="9985" max="9985" width="5.33203125" style="233" customWidth="1"/>
    <col min="9986" max="9986" width="39.88671875" style="233" customWidth="1"/>
    <col min="9987" max="9987" width="5.6640625" style="233" customWidth="1"/>
    <col min="9988" max="9990" width="9.6640625" style="233" customWidth="1"/>
    <col min="9991" max="9991" width="15.109375" style="233" customWidth="1"/>
    <col min="9992" max="9992" width="6.5546875" style="233" bestFit="1" customWidth="1"/>
    <col min="9993" max="9994" width="8.88671875" style="233"/>
    <col min="9995" max="9995" width="10.33203125" style="233" bestFit="1" customWidth="1"/>
    <col min="9996" max="10240" width="8.88671875" style="233"/>
    <col min="10241" max="10241" width="5.33203125" style="233" customWidth="1"/>
    <col min="10242" max="10242" width="39.88671875" style="233" customWidth="1"/>
    <col min="10243" max="10243" width="5.6640625" style="233" customWidth="1"/>
    <col min="10244" max="10246" width="9.6640625" style="233" customWidth="1"/>
    <col min="10247" max="10247" width="15.109375" style="233" customWidth="1"/>
    <col min="10248" max="10248" width="6.5546875" style="233" bestFit="1" customWidth="1"/>
    <col min="10249" max="10250" width="8.88671875" style="233"/>
    <col min="10251" max="10251" width="10.33203125" style="233" bestFit="1" customWidth="1"/>
    <col min="10252" max="10496" width="8.88671875" style="233"/>
    <col min="10497" max="10497" width="5.33203125" style="233" customWidth="1"/>
    <col min="10498" max="10498" width="39.88671875" style="233" customWidth="1"/>
    <col min="10499" max="10499" width="5.6640625" style="233" customWidth="1"/>
    <col min="10500" max="10502" width="9.6640625" style="233" customWidth="1"/>
    <col min="10503" max="10503" width="15.109375" style="233" customWidth="1"/>
    <col min="10504" max="10504" width="6.5546875" style="233" bestFit="1" customWidth="1"/>
    <col min="10505" max="10506" width="8.88671875" style="233"/>
    <col min="10507" max="10507" width="10.33203125" style="233" bestFit="1" customWidth="1"/>
    <col min="10508" max="10752" width="8.88671875" style="233"/>
    <col min="10753" max="10753" width="5.33203125" style="233" customWidth="1"/>
    <col min="10754" max="10754" width="39.88671875" style="233" customWidth="1"/>
    <col min="10755" max="10755" width="5.6640625" style="233" customWidth="1"/>
    <col min="10756" max="10758" width="9.6640625" style="233" customWidth="1"/>
    <col min="10759" max="10759" width="15.109375" style="233" customWidth="1"/>
    <col min="10760" max="10760" width="6.5546875" style="233" bestFit="1" customWidth="1"/>
    <col min="10761" max="10762" width="8.88671875" style="233"/>
    <col min="10763" max="10763" width="10.33203125" style="233" bestFit="1" customWidth="1"/>
    <col min="10764" max="11008" width="8.88671875" style="233"/>
    <col min="11009" max="11009" width="5.33203125" style="233" customWidth="1"/>
    <col min="11010" max="11010" width="39.88671875" style="233" customWidth="1"/>
    <col min="11011" max="11011" width="5.6640625" style="233" customWidth="1"/>
    <col min="11012" max="11014" width="9.6640625" style="233" customWidth="1"/>
    <col min="11015" max="11015" width="15.109375" style="233" customWidth="1"/>
    <col min="11016" max="11016" width="6.5546875" style="233" bestFit="1" customWidth="1"/>
    <col min="11017" max="11018" width="8.88671875" style="233"/>
    <col min="11019" max="11019" width="10.33203125" style="233" bestFit="1" customWidth="1"/>
    <col min="11020" max="11264" width="8.88671875" style="233"/>
    <col min="11265" max="11265" width="5.33203125" style="233" customWidth="1"/>
    <col min="11266" max="11266" width="39.88671875" style="233" customWidth="1"/>
    <col min="11267" max="11267" width="5.6640625" style="233" customWidth="1"/>
    <col min="11268" max="11270" width="9.6640625" style="233" customWidth="1"/>
    <col min="11271" max="11271" width="15.109375" style="233" customWidth="1"/>
    <col min="11272" max="11272" width="6.5546875" style="233" bestFit="1" customWidth="1"/>
    <col min="11273" max="11274" width="8.88671875" style="233"/>
    <col min="11275" max="11275" width="10.33203125" style="233" bestFit="1" customWidth="1"/>
    <col min="11276" max="11520" width="8.88671875" style="233"/>
    <col min="11521" max="11521" width="5.33203125" style="233" customWidth="1"/>
    <col min="11522" max="11522" width="39.88671875" style="233" customWidth="1"/>
    <col min="11523" max="11523" width="5.6640625" style="233" customWidth="1"/>
    <col min="11524" max="11526" width="9.6640625" style="233" customWidth="1"/>
    <col min="11527" max="11527" width="15.109375" style="233" customWidth="1"/>
    <col min="11528" max="11528" width="6.5546875" style="233" bestFit="1" customWidth="1"/>
    <col min="11529" max="11530" width="8.88671875" style="233"/>
    <col min="11531" max="11531" width="10.33203125" style="233" bestFit="1" customWidth="1"/>
    <col min="11532" max="11776" width="8.88671875" style="233"/>
    <col min="11777" max="11777" width="5.33203125" style="233" customWidth="1"/>
    <col min="11778" max="11778" width="39.88671875" style="233" customWidth="1"/>
    <col min="11779" max="11779" width="5.6640625" style="233" customWidth="1"/>
    <col min="11780" max="11782" width="9.6640625" style="233" customWidth="1"/>
    <col min="11783" max="11783" width="15.109375" style="233" customWidth="1"/>
    <col min="11784" max="11784" width="6.5546875" style="233" bestFit="1" customWidth="1"/>
    <col min="11785" max="11786" width="8.88671875" style="233"/>
    <col min="11787" max="11787" width="10.33203125" style="233" bestFit="1" customWidth="1"/>
    <col min="11788" max="12032" width="8.88671875" style="233"/>
    <col min="12033" max="12033" width="5.33203125" style="233" customWidth="1"/>
    <col min="12034" max="12034" width="39.88671875" style="233" customWidth="1"/>
    <col min="12035" max="12035" width="5.6640625" style="233" customWidth="1"/>
    <col min="12036" max="12038" width="9.6640625" style="233" customWidth="1"/>
    <col min="12039" max="12039" width="15.109375" style="233" customWidth="1"/>
    <col min="12040" max="12040" width="6.5546875" style="233" bestFit="1" customWidth="1"/>
    <col min="12041" max="12042" width="8.88671875" style="233"/>
    <col min="12043" max="12043" width="10.33203125" style="233" bestFit="1" customWidth="1"/>
    <col min="12044" max="12288" width="8.88671875" style="233"/>
    <col min="12289" max="12289" width="5.33203125" style="233" customWidth="1"/>
    <col min="12290" max="12290" width="39.88671875" style="233" customWidth="1"/>
    <col min="12291" max="12291" width="5.6640625" style="233" customWidth="1"/>
    <col min="12292" max="12294" width="9.6640625" style="233" customWidth="1"/>
    <col min="12295" max="12295" width="15.109375" style="233" customWidth="1"/>
    <col min="12296" max="12296" width="6.5546875" style="233" bestFit="1" customWidth="1"/>
    <col min="12297" max="12298" width="8.88671875" style="233"/>
    <col min="12299" max="12299" width="10.33203125" style="233" bestFit="1" customWidth="1"/>
    <col min="12300" max="12544" width="8.88671875" style="233"/>
    <col min="12545" max="12545" width="5.33203125" style="233" customWidth="1"/>
    <col min="12546" max="12546" width="39.88671875" style="233" customWidth="1"/>
    <col min="12547" max="12547" width="5.6640625" style="233" customWidth="1"/>
    <col min="12548" max="12550" width="9.6640625" style="233" customWidth="1"/>
    <col min="12551" max="12551" width="15.109375" style="233" customWidth="1"/>
    <col min="12552" max="12552" width="6.5546875" style="233" bestFit="1" customWidth="1"/>
    <col min="12553" max="12554" width="8.88671875" style="233"/>
    <col min="12555" max="12555" width="10.33203125" style="233" bestFit="1" customWidth="1"/>
    <col min="12556" max="12800" width="8.88671875" style="233"/>
    <col min="12801" max="12801" width="5.33203125" style="233" customWidth="1"/>
    <col min="12802" max="12802" width="39.88671875" style="233" customWidth="1"/>
    <col min="12803" max="12803" width="5.6640625" style="233" customWidth="1"/>
    <col min="12804" max="12806" width="9.6640625" style="233" customWidth="1"/>
    <col min="12807" max="12807" width="15.109375" style="233" customWidth="1"/>
    <col min="12808" max="12808" width="6.5546875" style="233" bestFit="1" customWidth="1"/>
    <col min="12809" max="12810" width="8.88671875" style="233"/>
    <col min="12811" max="12811" width="10.33203125" style="233" bestFit="1" customWidth="1"/>
    <col min="12812" max="13056" width="8.88671875" style="233"/>
    <col min="13057" max="13057" width="5.33203125" style="233" customWidth="1"/>
    <col min="13058" max="13058" width="39.88671875" style="233" customWidth="1"/>
    <col min="13059" max="13059" width="5.6640625" style="233" customWidth="1"/>
    <col min="13060" max="13062" width="9.6640625" style="233" customWidth="1"/>
    <col min="13063" max="13063" width="15.109375" style="233" customWidth="1"/>
    <col min="13064" max="13064" width="6.5546875" style="233" bestFit="1" customWidth="1"/>
    <col min="13065" max="13066" width="8.88671875" style="233"/>
    <col min="13067" max="13067" width="10.33203125" style="233" bestFit="1" customWidth="1"/>
    <col min="13068" max="13312" width="8.88671875" style="233"/>
    <col min="13313" max="13313" width="5.33203125" style="233" customWidth="1"/>
    <col min="13314" max="13314" width="39.88671875" style="233" customWidth="1"/>
    <col min="13315" max="13315" width="5.6640625" style="233" customWidth="1"/>
    <col min="13316" max="13318" width="9.6640625" style="233" customWidth="1"/>
    <col min="13319" max="13319" width="15.109375" style="233" customWidth="1"/>
    <col min="13320" max="13320" width="6.5546875" style="233" bestFit="1" customWidth="1"/>
    <col min="13321" max="13322" width="8.88671875" style="233"/>
    <col min="13323" max="13323" width="10.33203125" style="233" bestFit="1" customWidth="1"/>
    <col min="13324" max="13568" width="8.88671875" style="233"/>
    <col min="13569" max="13569" width="5.33203125" style="233" customWidth="1"/>
    <col min="13570" max="13570" width="39.88671875" style="233" customWidth="1"/>
    <col min="13571" max="13571" width="5.6640625" style="233" customWidth="1"/>
    <col min="13572" max="13574" width="9.6640625" style="233" customWidth="1"/>
    <col min="13575" max="13575" width="15.109375" style="233" customWidth="1"/>
    <col min="13576" max="13576" width="6.5546875" style="233" bestFit="1" customWidth="1"/>
    <col min="13577" max="13578" width="8.88671875" style="233"/>
    <col min="13579" max="13579" width="10.33203125" style="233" bestFit="1" customWidth="1"/>
    <col min="13580" max="13824" width="8.88671875" style="233"/>
    <col min="13825" max="13825" width="5.33203125" style="233" customWidth="1"/>
    <col min="13826" max="13826" width="39.88671875" style="233" customWidth="1"/>
    <col min="13827" max="13827" width="5.6640625" style="233" customWidth="1"/>
    <col min="13828" max="13830" width="9.6640625" style="233" customWidth="1"/>
    <col min="13831" max="13831" width="15.109375" style="233" customWidth="1"/>
    <col min="13832" max="13832" width="6.5546875" style="233" bestFit="1" customWidth="1"/>
    <col min="13833" max="13834" width="8.88671875" style="233"/>
    <col min="13835" max="13835" width="10.33203125" style="233" bestFit="1" customWidth="1"/>
    <col min="13836" max="14080" width="8.88671875" style="233"/>
    <col min="14081" max="14081" width="5.33203125" style="233" customWidth="1"/>
    <col min="14082" max="14082" width="39.88671875" style="233" customWidth="1"/>
    <col min="14083" max="14083" width="5.6640625" style="233" customWidth="1"/>
    <col min="14084" max="14086" width="9.6640625" style="233" customWidth="1"/>
    <col min="14087" max="14087" width="15.109375" style="233" customWidth="1"/>
    <col min="14088" max="14088" width="6.5546875" style="233" bestFit="1" customWidth="1"/>
    <col min="14089" max="14090" width="8.88671875" style="233"/>
    <col min="14091" max="14091" width="10.33203125" style="233" bestFit="1" customWidth="1"/>
    <col min="14092" max="14336" width="8.88671875" style="233"/>
    <col min="14337" max="14337" width="5.33203125" style="233" customWidth="1"/>
    <col min="14338" max="14338" width="39.88671875" style="233" customWidth="1"/>
    <col min="14339" max="14339" width="5.6640625" style="233" customWidth="1"/>
    <col min="14340" max="14342" width="9.6640625" style="233" customWidth="1"/>
    <col min="14343" max="14343" width="15.109375" style="233" customWidth="1"/>
    <col min="14344" max="14344" width="6.5546875" style="233" bestFit="1" customWidth="1"/>
    <col min="14345" max="14346" width="8.88671875" style="233"/>
    <col min="14347" max="14347" width="10.33203125" style="233" bestFit="1" customWidth="1"/>
    <col min="14348" max="14592" width="8.88671875" style="233"/>
    <col min="14593" max="14593" width="5.33203125" style="233" customWidth="1"/>
    <col min="14594" max="14594" width="39.88671875" style="233" customWidth="1"/>
    <col min="14595" max="14595" width="5.6640625" style="233" customWidth="1"/>
    <col min="14596" max="14598" width="9.6640625" style="233" customWidth="1"/>
    <col min="14599" max="14599" width="15.109375" style="233" customWidth="1"/>
    <col min="14600" max="14600" width="6.5546875" style="233" bestFit="1" customWidth="1"/>
    <col min="14601" max="14602" width="8.88671875" style="233"/>
    <col min="14603" max="14603" width="10.33203125" style="233" bestFit="1" customWidth="1"/>
    <col min="14604" max="14848" width="8.88671875" style="233"/>
    <col min="14849" max="14849" width="5.33203125" style="233" customWidth="1"/>
    <col min="14850" max="14850" width="39.88671875" style="233" customWidth="1"/>
    <col min="14851" max="14851" width="5.6640625" style="233" customWidth="1"/>
    <col min="14852" max="14854" width="9.6640625" style="233" customWidth="1"/>
    <col min="14855" max="14855" width="15.109375" style="233" customWidth="1"/>
    <col min="14856" max="14856" width="6.5546875" style="233" bestFit="1" customWidth="1"/>
    <col min="14857" max="14858" width="8.88671875" style="233"/>
    <col min="14859" max="14859" width="10.33203125" style="233" bestFit="1" customWidth="1"/>
    <col min="14860" max="15104" width="8.88671875" style="233"/>
    <col min="15105" max="15105" width="5.33203125" style="233" customWidth="1"/>
    <col min="15106" max="15106" width="39.88671875" style="233" customWidth="1"/>
    <col min="15107" max="15107" width="5.6640625" style="233" customWidth="1"/>
    <col min="15108" max="15110" width="9.6640625" style="233" customWidth="1"/>
    <col min="15111" max="15111" width="15.109375" style="233" customWidth="1"/>
    <col min="15112" max="15112" width="6.5546875" style="233" bestFit="1" customWidth="1"/>
    <col min="15113" max="15114" width="8.88671875" style="233"/>
    <col min="15115" max="15115" width="10.33203125" style="233" bestFit="1" customWidth="1"/>
    <col min="15116" max="15360" width="8.88671875" style="233"/>
    <col min="15361" max="15361" width="5.33203125" style="233" customWidth="1"/>
    <col min="15362" max="15362" width="39.88671875" style="233" customWidth="1"/>
    <col min="15363" max="15363" width="5.6640625" style="233" customWidth="1"/>
    <col min="15364" max="15366" width="9.6640625" style="233" customWidth="1"/>
    <col min="15367" max="15367" width="15.109375" style="233" customWidth="1"/>
    <col min="15368" max="15368" width="6.5546875" style="233" bestFit="1" customWidth="1"/>
    <col min="15369" max="15370" width="8.88671875" style="233"/>
    <col min="15371" max="15371" width="10.33203125" style="233" bestFit="1" customWidth="1"/>
    <col min="15372" max="15616" width="8.88671875" style="233"/>
    <col min="15617" max="15617" width="5.33203125" style="233" customWidth="1"/>
    <col min="15618" max="15618" width="39.88671875" style="233" customWidth="1"/>
    <col min="15619" max="15619" width="5.6640625" style="233" customWidth="1"/>
    <col min="15620" max="15622" width="9.6640625" style="233" customWidth="1"/>
    <col min="15623" max="15623" width="15.109375" style="233" customWidth="1"/>
    <col min="15624" max="15624" width="6.5546875" style="233" bestFit="1" customWidth="1"/>
    <col min="15625" max="15626" width="8.88671875" style="233"/>
    <col min="15627" max="15627" width="10.33203125" style="233" bestFit="1" customWidth="1"/>
    <col min="15628" max="15872" width="8.88671875" style="233"/>
    <col min="15873" max="15873" width="5.33203125" style="233" customWidth="1"/>
    <col min="15874" max="15874" width="39.88671875" style="233" customWidth="1"/>
    <col min="15875" max="15875" width="5.6640625" style="233" customWidth="1"/>
    <col min="15876" max="15878" width="9.6640625" style="233" customWidth="1"/>
    <col min="15879" max="15879" width="15.109375" style="233" customWidth="1"/>
    <col min="15880" max="15880" width="6.5546875" style="233" bestFit="1" customWidth="1"/>
    <col min="15881" max="15882" width="8.88671875" style="233"/>
    <col min="15883" max="15883" width="10.33203125" style="233" bestFit="1" customWidth="1"/>
    <col min="15884" max="16128" width="8.88671875" style="233"/>
    <col min="16129" max="16129" width="5.33203125" style="233" customWidth="1"/>
    <col min="16130" max="16130" width="39.88671875" style="233" customWidth="1"/>
    <col min="16131" max="16131" width="5.6640625" style="233" customWidth="1"/>
    <col min="16132" max="16134" width="9.6640625" style="233" customWidth="1"/>
    <col min="16135" max="16135" width="15.109375" style="233" customWidth="1"/>
    <col min="16136" max="16136" width="6.5546875" style="233" bestFit="1" customWidth="1"/>
    <col min="16137" max="16138" width="8.88671875" style="233"/>
    <col min="16139" max="16139" width="10.33203125" style="233" bestFit="1" customWidth="1"/>
    <col min="16140" max="16384" width="8.88671875" style="233"/>
  </cols>
  <sheetData>
    <row r="1" spans="1:23" ht="24.75" customHeight="1" x14ac:dyDescent="0.3">
      <c r="A1" s="1180" t="str">
        <f>'Abt (3)'!A1</f>
        <v>ROSHNABAD BARRAGE</v>
      </c>
      <c r="B1" s="1180"/>
      <c r="C1" s="1180"/>
      <c r="D1" s="1180"/>
      <c r="E1" s="1180"/>
      <c r="F1" s="1180"/>
      <c r="G1" s="1180"/>
      <c r="H1" s="1180"/>
    </row>
    <row r="2" spans="1:23" ht="15.6" x14ac:dyDescent="0.3">
      <c r="A2" s="234" t="str">
        <f>'Abt (3)'!A2</f>
        <v>TEHSIL :-SIDHI</v>
      </c>
      <c r="B2" s="235"/>
      <c r="C2" s="235"/>
      <c r="D2" s="235"/>
      <c r="E2" s="235"/>
      <c r="F2" s="1181" t="str">
        <f>'Abt (3)'!F2</f>
        <v>DISTRICT :SINGRAULI</v>
      </c>
      <c r="G2" s="1181"/>
      <c r="H2" s="1181"/>
    </row>
    <row r="3" spans="1:23" x14ac:dyDescent="0.3">
      <c r="A3" s="1182" t="str">
        <f>'Abt (3)'!A3</f>
        <v>UNIT-I</v>
      </c>
      <c r="B3" s="1182"/>
      <c r="C3" s="1182"/>
      <c r="D3" s="1182"/>
      <c r="E3" s="1182"/>
      <c r="F3" s="1182"/>
      <c r="G3" s="1182"/>
      <c r="H3" s="1182"/>
    </row>
    <row r="4" spans="1:23" x14ac:dyDescent="0.3">
      <c r="A4" s="1182" t="str">
        <f>'Abt (3)'!A4</f>
        <v>C-WORKS</v>
      </c>
      <c r="B4" s="1182"/>
      <c r="C4" s="1182"/>
      <c r="D4" s="1182"/>
      <c r="E4" s="1182"/>
      <c r="F4" s="1182"/>
      <c r="G4" s="1182"/>
      <c r="H4" s="1182"/>
      <c r="R4" s="233" t="s">
        <v>643</v>
      </c>
      <c r="S4" s="233" t="s">
        <v>644</v>
      </c>
      <c r="W4" s="233" t="s">
        <v>649</v>
      </c>
    </row>
    <row r="5" spans="1:23" x14ac:dyDescent="0.3">
      <c r="A5" s="1182" t="s">
        <v>161</v>
      </c>
      <c r="B5" s="1182"/>
      <c r="C5" s="1182"/>
      <c r="D5" s="1182"/>
      <c r="E5" s="1182"/>
      <c r="F5" s="1182"/>
      <c r="G5" s="1182"/>
      <c r="H5" s="1182"/>
      <c r="S5" s="233" t="s">
        <v>650</v>
      </c>
      <c r="W5" s="233" t="s">
        <v>651</v>
      </c>
    </row>
    <row r="6" spans="1:23" x14ac:dyDescent="0.3">
      <c r="A6" s="1182"/>
      <c r="B6" s="1182"/>
      <c r="C6" s="1182"/>
      <c r="D6" s="1182"/>
      <c r="E6" s="1182"/>
      <c r="F6" s="1182"/>
      <c r="G6" s="1182"/>
      <c r="H6" s="1182"/>
      <c r="S6" s="233" t="s">
        <v>645</v>
      </c>
      <c r="W6" s="233" t="s">
        <v>652</v>
      </c>
    </row>
    <row r="7" spans="1:23" x14ac:dyDescent="0.3">
      <c r="A7" s="236" t="s">
        <v>162</v>
      </c>
      <c r="B7" s="236" t="s">
        <v>140</v>
      </c>
      <c r="C7" s="236" t="s">
        <v>132</v>
      </c>
      <c r="D7" s="236" t="s">
        <v>163</v>
      </c>
      <c r="E7" s="236" t="s">
        <v>164</v>
      </c>
      <c r="F7" s="236" t="s">
        <v>165</v>
      </c>
      <c r="G7" s="236" t="s">
        <v>166</v>
      </c>
      <c r="H7" s="236" t="s">
        <v>7</v>
      </c>
      <c r="S7" s="233" t="s">
        <v>646</v>
      </c>
      <c r="W7" s="233" t="s">
        <v>653</v>
      </c>
    </row>
    <row r="8" spans="1:23" x14ac:dyDescent="0.3">
      <c r="A8" s="237"/>
      <c r="B8" s="237"/>
      <c r="C8" s="237"/>
      <c r="D8" s="237"/>
      <c r="E8" s="237"/>
      <c r="F8" s="237"/>
      <c r="G8" s="237"/>
      <c r="H8" s="237"/>
      <c r="S8" s="233" t="s">
        <v>647</v>
      </c>
      <c r="W8" s="233" t="s">
        <v>654</v>
      </c>
    </row>
    <row r="9" spans="1:23" x14ac:dyDescent="0.3">
      <c r="A9" s="1183">
        <v>1</v>
      </c>
      <c r="B9" s="239" t="s">
        <v>167</v>
      </c>
      <c r="C9" s="237"/>
      <c r="D9" s="237"/>
      <c r="E9" s="237"/>
      <c r="F9" s="237"/>
      <c r="G9" s="240" t="s">
        <v>168</v>
      </c>
      <c r="H9" s="237"/>
      <c r="S9" s="233" t="s">
        <v>648</v>
      </c>
    </row>
    <row r="10" spans="1:23" x14ac:dyDescent="0.3">
      <c r="A10" s="1184"/>
      <c r="B10" s="242"/>
      <c r="C10" s="243"/>
      <c r="D10" s="243"/>
      <c r="E10" s="244"/>
      <c r="F10" s="243"/>
      <c r="G10" s="245"/>
      <c r="H10" s="243"/>
      <c r="S10" s="233" t="s">
        <v>649</v>
      </c>
    </row>
    <row r="11" spans="1:23" x14ac:dyDescent="0.3">
      <c r="A11" s="1184"/>
      <c r="B11" s="242" t="s">
        <v>169</v>
      </c>
      <c r="C11" s="246">
        <v>1</v>
      </c>
      <c r="D11" s="243">
        <v>6.5</v>
      </c>
      <c r="E11" s="247">
        <v>25.5</v>
      </c>
      <c r="F11" s="243"/>
      <c r="G11" s="245">
        <f>C11*D11*E11</f>
        <v>165.75</v>
      </c>
      <c r="H11" s="243" t="s">
        <v>170</v>
      </c>
    </row>
    <row r="12" spans="1:23" x14ac:dyDescent="0.3">
      <c r="A12" s="1184"/>
      <c r="B12" s="242"/>
      <c r="C12" s="246"/>
      <c r="D12" s="243"/>
      <c r="E12" s="243"/>
      <c r="F12" s="243"/>
      <c r="G12" s="245"/>
      <c r="H12" s="243"/>
      <c r="K12" s="233">
        <f>22*4^(3/4)</f>
        <v>62.225396744416173</v>
      </c>
    </row>
    <row r="13" spans="1:23" x14ac:dyDescent="0.3">
      <c r="A13" s="1184"/>
      <c r="B13" s="242" t="s">
        <v>171</v>
      </c>
      <c r="C13" s="246">
        <v>1</v>
      </c>
      <c r="D13" s="243">
        <v>6.5</v>
      </c>
      <c r="E13" s="247">
        <f>E11</f>
        <v>25.5</v>
      </c>
      <c r="F13" s="243"/>
      <c r="G13" s="245">
        <f>C13*D13*E13</f>
        <v>165.75</v>
      </c>
      <c r="H13" s="243" t="s">
        <v>170</v>
      </c>
    </row>
    <row r="14" spans="1:23" x14ac:dyDescent="0.3">
      <c r="A14" s="1184"/>
      <c r="B14" s="242"/>
      <c r="C14" s="246"/>
      <c r="D14" s="243"/>
      <c r="E14" s="243"/>
      <c r="F14" s="243"/>
      <c r="G14" s="245"/>
      <c r="H14" s="243"/>
    </row>
    <row r="15" spans="1:23" x14ac:dyDescent="0.3">
      <c r="A15" s="1184"/>
      <c r="B15" s="242" t="s">
        <v>172</v>
      </c>
      <c r="C15" s="246">
        <v>1</v>
      </c>
      <c r="D15" s="247">
        <v>54.3</v>
      </c>
      <c r="E15" s="243">
        <v>21.45</v>
      </c>
      <c r="F15" s="243"/>
      <c r="G15" s="245">
        <f t="shared" ref="G15:G20" si="0">C15*D15*E15</f>
        <v>1164.7349999999999</v>
      </c>
      <c r="H15" s="243" t="s">
        <v>170</v>
      </c>
    </row>
    <row r="16" spans="1:23" x14ac:dyDescent="0.3">
      <c r="A16" s="1184"/>
      <c r="B16" s="248" t="s">
        <v>173</v>
      </c>
      <c r="C16" s="243">
        <v>1</v>
      </c>
      <c r="D16" s="243">
        <f>D15</f>
        <v>54.3</v>
      </c>
      <c r="E16" s="249">
        <v>32</v>
      </c>
      <c r="F16" s="243"/>
      <c r="G16" s="247">
        <f t="shared" si="0"/>
        <v>1737.6</v>
      </c>
      <c r="H16" s="243" t="s">
        <v>170</v>
      </c>
    </row>
    <row r="17" spans="1:13" x14ac:dyDescent="0.3">
      <c r="A17" s="1184"/>
      <c r="B17" s="248" t="s">
        <v>174</v>
      </c>
      <c r="C17" s="243">
        <v>1</v>
      </c>
      <c r="D17" s="247">
        <v>5</v>
      </c>
      <c r="E17" s="243">
        <v>6</v>
      </c>
      <c r="F17" s="243"/>
      <c r="G17" s="245">
        <f t="shared" si="0"/>
        <v>30</v>
      </c>
      <c r="H17" s="243" t="s">
        <v>170</v>
      </c>
    </row>
    <row r="18" spans="1:13" x14ac:dyDescent="0.3">
      <c r="A18" s="1184"/>
      <c r="B18" s="248" t="s">
        <v>174</v>
      </c>
      <c r="C18" s="243">
        <v>1</v>
      </c>
      <c r="D18" s="247">
        <f>D17</f>
        <v>5</v>
      </c>
      <c r="E18" s="243">
        <v>6</v>
      </c>
      <c r="F18" s="243"/>
      <c r="G18" s="245">
        <f t="shared" si="0"/>
        <v>30</v>
      </c>
      <c r="H18" s="243" t="s">
        <v>170</v>
      </c>
    </row>
    <row r="19" spans="1:13" ht="16.5" customHeight="1" x14ac:dyDescent="0.3">
      <c r="A19" s="1184"/>
      <c r="B19" s="248" t="s">
        <v>175</v>
      </c>
      <c r="C19" s="243">
        <v>2</v>
      </c>
      <c r="D19" s="243">
        <v>17</v>
      </c>
      <c r="E19" s="243">
        <v>14.5</v>
      </c>
      <c r="F19" s="243"/>
      <c r="G19" s="245">
        <f t="shared" si="0"/>
        <v>493</v>
      </c>
      <c r="H19" s="243" t="s">
        <v>170</v>
      </c>
      <c r="I19" s="233">
        <v>60</v>
      </c>
      <c r="J19" s="233">
        <f>E12-20</f>
        <v>-20</v>
      </c>
      <c r="M19" s="233">
        <f>296+301</f>
        <v>597</v>
      </c>
    </row>
    <row r="20" spans="1:13" ht="16.5" customHeight="1" x14ac:dyDescent="0.3">
      <c r="A20" s="1184"/>
      <c r="B20" s="248" t="s">
        <v>176</v>
      </c>
      <c r="C20" s="243">
        <v>2</v>
      </c>
      <c r="D20" s="1045">
        <v>7.6</v>
      </c>
      <c r="E20" s="243">
        <v>17.5</v>
      </c>
      <c r="F20" s="243"/>
      <c r="G20" s="245">
        <f t="shared" si="0"/>
        <v>266</v>
      </c>
      <c r="H20" s="243" t="s">
        <v>170</v>
      </c>
      <c r="I20" s="233">
        <v>60</v>
      </c>
      <c r="J20" s="233">
        <f>E13-20</f>
        <v>5.5</v>
      </c>
      <c r="M20" s="233">
        <f>M19/2</f>
        <v>298.5</v>
      </c>
    </row>
    <row r="21" spans="1:13" ht="16.5" customHeight="1" x14ac:dyDescent="0.3">
      <c r="A21" s="1184"/>
      <c r="B21" s="248"/>
      <c r="C21" s="243"/>
      <c r="D21" s="250"/>
      <c r="E21" s="243"/>
      <c r="F21" s="243"/>
      <c r="G21" s="245"/>
      <c r="H21" s="243"/>
    </row>
    <row r="22" spans="1:13" ht="16.5" customHeight="1" x14ac:dyDescent="0.3">
      <c r="A22" s="1184"/>
      <c r="B22" s="248" t="s">
        <v>167</v>
      </c>
      <c r="C22" s="243"/>
      <c r="D22" s="250"/>
      <c r="E22" s="243"/>
      <c r="F22" s="243"/>
      <c r="G22" s="245"/>
      <c r="H22" s="243"/>
    </row>
    <row r="23" spans="1:13" x14ac:dyDescent="0.3">
      <c r="A23" s="1184"/>
      <c r="B23" s="248"/>
      <c r="C23" s="251"/>
      <c r="D23" s="1185" t="s">
        <v>15</v>
      </c>
      <c r="E23" s="1185"/>
      <c r="F23" s="1185"/>
      <c r="G23" s="252">
        <f>SUM(G11:G21)</f>
        <v>4052.835</v>
      </c>
      <c r="H23" s="251" t="s">
        <v>170</v>
      </c>
    </row>
    <row r="24" spans="1:13" ht="87" customHeight="1" x14ac:dyDescent="0.3">
      <c r="A24" s="253">
        <v>1</v>
      </c>
      <c r="B24" s="254" t="str">
        <f>'Abt (3)'!B9</f>
        <v>Medium shrub jungle(25% to 50% area covered by shrubs) clearance involving removal of grass, shrubs, bushes and twigs including rooting out &amp; disposal etc. Complete.</v>
      </c>
      <c r="C24" s="255"/>
      <c r="D24" s="1186" t="s">
        <v>177</v>
      </c>
      <c r="E24" s="1187"/>
      <c r="F24" s="1188"/>
      <c r="G24" s="257">
        <f>G23*1</f>
        <v>4052.835</v>
      </c>
      <c r="H24" s="236"/>
    </row>
    <row r="25" spans="1:13" ht="133.5" customHeight="1" x14ac:dyDescent="0.3">
      <c r="A25" s="253">
        <v>2</v>
      </c>
      <c r="B25" s="258" t="str">
        <f>'Abt (3)'!B10</f>
        <v>Preparing foundation bed for masonry or concrete by removing all loose material by wedging / chiselling upto 150 mm and disposing off the same as directed and cleaning the surface with air and water jet including cost of all materials, machinery, labour etc. Complete.</v>
      </c>
      <c r="C25" s="255">
        <v>1</v>
      </c>
      <c r="D25" s="259">
        <f>SUM(D11:D20)</f>
        <v>156.19999999999999</v>
      </c>
      <c r="E25" s="255">
        <f>50</f>
        <v>50</v>
      </c>
      <c r="F25" s="260"/>
      <c r="G25" s="257">
        <f>E25*D25*C25</f>
        <v>7809.9999999999991</v>
      </c>
      <c r="H25" s="236"/>
    </row>
    <row r="26" spans="1:13" ht="189" customHeight="1" x14ac:dyDescent="0.3">
      <c r="A26" s="253">
        <f>MAX($A$24:A25)+1</f>
        <v>3</v>
      </c>
      <c r="B26" s="261" t="str">
        <f>'Abt (3)'!B11</f>
        <v>Excavation in all kind of soft/loose/hard/dense soils, moorum &amp; moorum mixed with boulders and mud including dressing, placing the excavated soil neatly in specified dump area or disposing off the same as directed including cost of site clearance, all materials, machinery, labour and dressing etc. complete with lead up to 50 m and all lifts.</v>
      </c>
      <c r="C26" s="255"/>
      <c r="D26" s="1186" t="s">
        <v>178</v>
      </c>
      <c r="E26" s="1187"/>
      <c r="F26" s="1188"/>
      <c r="G26" s="257">
        <f>'Excvtn (2)'!G72</f>
        <v>74727.762929603603</v>
      </c>
      <c r="H26" s="236"/>
    </row>
    <row r="27" spans="1:13" ht="140.25" customHeight="1" x14ac:dyDescent="0.3">
      <c r="A27" s="253">
        <f>MAX($A$24:A26)+1</f>
        <v>4</v>
      </c>
      <c r="B27" s="261" t="str">
        <f>'Abt (3)'!B12</f>
        <v>Excavation in soft/ disintegrated/ weathered rock including wet excavation, dressing, placing the excavated material neatly in specified dump area or disposing off the same as directed including cost of site clearance, all materials, machinery, labour and dressing etc. complete with lead up to 50 m and all lifts.</v>
      </c>
      <c r="C27" s="255"/>
      <c r="D27" s="1186" t="s">
        <v>178</v>
      </c>
      <c r="E27" s="1187"/>
      <c r="F27" s="1188"/>
      <c r="G27" s="257">
        <f>'Excvtn (2)'!G71</f>
        <v>49818.508619735738</v>
      </c>
      <c r="H27" s="236"/>
    </row>
    <row r="28" spans="1:13" ht="129.6" x14ac:dyDescent="0.3">
      <c r="A28" s="253">
        <f>MAX($A$24:A27)+1</f>
        <v>5</v>
      </c>
      <c r="B28" s="261" t="str">
        <f>'Abt (3)'!B13</f>
        <v>Excavation in hard rock of all toughness requiring blasting, minimising damage to rock beyond excavation line and placing the excavated rock neatly in specified dump area or disposing off the same as directed including wet excavation, cost of site clearance, all materials, machinery, labour etc. complete with lead up to 50 m and all lifts.</v>
      </c>
      <c r="C28" s="262"/>
      <c r="D28" s="1177" t="s">
        <v>178</v>
      </c>
      <c r="E28" s="1178"/>
      <c r="F28" s="1179"/>
      <c r="G28" s="263">
        <f>'Excvtn (2)'!G70</f>
        <v>124546.27154933933</v>
      </c>
      <c r="H28" s="237"/>
    </row>
    <row r="29" spans="1:13" s="265" customFormat="1" ht="172.8" x14ac:dyDescent="0.3">
      <c r="A29" s="253">
        <f>MAX($A$24:A28)+1</f>
        <v>6</v>
      </c>
      <c r="B29" s="264" t="str">
        <f>'Abt (3)'!B14</f>
        <v>Providing and fixing 25 mm dia. 3 m long cold twisted deformed steel dowel bars with one end driven into 38 mm diameter 1.50 m deep hole drilled in bed rock and other end provided with Lbend for embedding in concrete / masonry of over flow / non-over flow blocks and other appurtenant works including cost of all materials, machinery, labour, drilling and cleaning hole, filling hole with specified cement mortar, driving anchor rod etc. complete with all lead and lifts.</v>
      </c>
      <c r="C29" s="255"/>
      <c r="D29" s="255">
        <f>E16</f>
        <v>32</v>
      </c>
      <c r="E29" s="255">
        <f>D16</f>
        <v>54.3</v>
      </c>
      <c r="F29" s="255"/>
      <c r="G29" s="257">
        <f>ROUND(((D29/3)*(E29/3)),0)</f>
        <v>193</v>
      </c>
      <c r="H29" s="236" t="s">
        <v>179</v>
      </c>
      <c r="J29" s="265">
        <f>108.35*99/2.5</f>
        <v>4290.66</v>
      </c>
      <c r="K29" s="265">
        <f>((D29/3)*(E29/3))</f>
        <v>193.06666666666663</v>
      </c>
    </row>
    <row r="30" spans="1:13" s="265" customFormat="1" ht="93" customHeight="1" x14ac:dyDescent="0.3">
      <c r="A30" s="253">
        <f>MAX($A$24:A29)+1</f>
        <v>7</v>
      </c>
      <c r="B30" s="264" t="str">
        <f>'Abt (3)'!B15</f>
        <v>Wet percussion drilling 50 to 75 mm dia. holes in drainage gallery, for grouting, drainage holes or anchor etc., vertical or at specified inclination, in masonry concrete or rock up to 10 m depth</v>
      </c>
      <c r="C30" s="237"/>
      <c r="D30" s="1159"/>
      <c r="E30" s="1160"/>
      <c r="F30" s="1161"/>
      <c r="G30" s="1162"/>
      <c r="H30" s="1165"/>
    </row>
    <row r="31" spans="1:13" s="265" customFormat="1" x14ac:dyDescent="0.3">
      <c r="A31" s="266"/>
      <c r="B31" s="267" t="s">
        <v>180</v>
      </c>
      <c r="C31" s="266"/>
      <c r="D31" s="1168">
        <f>E29</f>
        <v>54.3</v>
      </c>
      <c r="E31" s="1169"/>
      <c r="F31" s="1169"/>
      <c r="G31" s="1163"/>
      <c r="H31" s="1166"/>
    </row>
    <row r="32" spans="1:13" s="265" customFormat="1" x14ac:dyDescent="0.3">
      <c r="A32" s="266"/>
      <c r="B32" s="266" t="s">
        <v>181</v>
      </c>
      <c r="C32" s="268"/>
      <c r="D32" s="1169">
        <v>3</v>
      </c>
      <c r="E32" s="1169"/>
      <c r="F32" s="1169"/>
      <c r="G32" s="1163"/>
      <c r="H32" s="1166"/>
    </row>
    <row r="33" spans="1:17" s="265" customFormat="1" hidden="1" x14ac:dyDescent="0.3">
      <c r="A33" s="266"/>
      <c r="B33" s="266"/>
      <c r="C33" s="266"/>
      <c r="D33" s="1170">
        <f>D31/D32</f>
        <v>18.099999999999998</v>
      </c>
      <c r="E33" s="1170"/>
      <c r="F33" s="1170"/>
      <c r="G33" s="1163"/>
      <c r="H33" s="1166"/>
    </row>
    <row r="34" spans="1:17" s="265" customFormat="1" hidden="1" x14ac:dyDescent="0.3">
      <c r="A34" s="266"/>
      <c r="B34" s="266" t="s">
        <v>182</v>
      </c>
      <c r="C34" s="266"/>
      <c r="D34" s="1170">
        <v>37.15</v>
      </c>
      <c r="E34" s="1170"/>
      <c r="F34" s="1170"/>
      <c r="G34" s="1163"/>
      <c r="H34" s="1166"/>
    </row>
    <row r="35" spans="1:17" s="265" customFormat="1" hidden="1" x14ac:dyDescent="0.3">
      <c r="A35" s="266"/>
      <c r="B35" s="266"/>
      <c r="C35" s="268"/>
      <c r="D35" s="1170">
        <v>2.5</v>
      </c>
      <c r="E35" s="1171"/>
      <c r="F35" s="1171"/>
      <c r="G35" s="1164"/>
      <c r="H35" s="1167"/>
    </row>
    <row r="36" spans="1:17" x14ac:dyDescent="0.3">
      <c r="A36" s="269"/>
      <c r="B36" s="270" t="s">
        <v>183</v>
      </c>
      <c r="C36" s="269"/>
      <c r="D36" s="1172" t="s">
        <v>184</v>
      </c>
      <c r="E36" s="1173"/>
      <c r="F36" s="1173"/>
      <c r="G36" s="269">
        <f>ROUND(D31*D32,1)*15</f>
        <v>2443.5</v>
      </c>
      <c r="H36" s="269" t="s">
        <v>185</v>
      </c>
    </row>
    <row r="37" spans="1:17" ht="115.2" x14ac:dyDescent="0.3">
      <c r="A37" s="253">
        <f>MAX($A$24:A36)+1</f>
        <v>8</v>
      </c>
      <c r="B37" s="271" t="str">
        <f>'Abt (3)'!B17</f>
        <v>Consolidation grouting with neat cement grout mix of suitable consistency under specified grout pressure as directed in drilled holes by stage grouting method including cost of all materials, machinery, labour, re-drilling if necessary, required admixtures etc. complete with all lead and lifts.</v>
      </c>
      <c r="C37" s="272"/>
      <c r="D37" s="1159" t="s">
        <v>186</v>
      </c>
      <c r="E37" s="1160"/>
      <c r="F37" s="1161"/>
      <c r="G37" s="273">
        <f>G36*25/1000</f>
        <v>61.087499999999999</v>
      </c>
      <c r="H37" s="237"/>
    </row>
    <row r="38" spans="1:17" x14ac:dyDescent="0.3">
      <c r="A38" s="274"/>
      <c r="B38" s="270" t="s">
        <v>187</v>
      </c>
      <c r="C38" s="275"/>
      <c r="D38" s="276"/>
      <c r="E38" s="277"/>
      <c r="F38" s="278" t="s">
        <v>188</v>
      </c>
      <c r="G38" s="279">
        <f>ROUND(G37,0)</f>
        <v>61</v>
      </c>
      <c r="H38" s="269" t="s">
        <v>62</v>
      </c>
    </row>
    <row r="39" spans="1:17" ht="162" customHeight="1" x14ac:dyDescent="0.3">
      <c r="A39" s="253">
        <f>MAX($A$24:A38)+1</f>
        <v>9</v>
      </c>
      <c r="B39" s="280" t="str">
        <f>'Abt (3)'!B18</f>
        <v>Providing and laying M-15 grade Mass Concrete design mix using graded aggregates , clean, hard, including cost of all materials, machinery, labour, formwork, cantering, scaffolding, cleaning, batching, mixing, placing in position, levelling, vibrating, finishing, curing etc. complete with lead up to 50 m and all lifts. Using aggregate of maximum size. (a) 40mm</v>
      </c>
      <c r="C39" s="237"/>
      <c r="D39" s="281"/>
      <c r="E39" s="282"/>
      <c r="F39" s="283"/>
      <c r="G39" s="237"/>
      <c r="H39" s="237"/>
      <c r="J39" s="233">
        <f>((15.75*0.1)*2)+2.5</f>
        <v>5.65</v>
      </c>
    </row>
    <row r="40" spans="1:17" x14ac:dyDescent="0.3">
      <c r="A40" s="237"/>
      <c r="B40" s="284" t="s">
        <v>189</v>
      </c>
      <c r="C40" s="237"/>
      <c r="D40" s="281"/>
      <c r="E40" s="1174"/>
      <c r="F40" s="1175"/>
      <c r="G40" s="237"/>
      <c r="H40" s="237"/>
      <c r="K40" s="233" t="s">
        <v>168</v>
      </c>
      <c r="L40" s="233" t="s">
        <v>190</v>
      </c>
    </row>
    <row r="41" spans="1:17" x14ac:dyDescent="0.3">
      <c r="A41" s="269"/>
      <c r="B41" s="270" t="s">
        <v>191</v>
      </c>
      <c r="C41" s="269"/>
      <c r="D41" s="1172"/>
      <c r="E41" s="1173"/>
      <c r="F41" s="1173"/>
      <c r="G41" s="285">
        <f>QTTY!K33</f>
        <v>50087.130000000005</v>
      </c>
      <c r="H41" s="286" t="s">
        <v>192</v>
      </c>
    </row>
    <row r="42" spans="1:17" ht="163.5" customHeight="1" x14ac:dyDescent="0.3">
      <c r="A42" s="253">
        <f>MAX($A$24:A41)+1</f>
        <v>10</v>
      </c>
      <c r="B42" s="287" t="str">
        <f>'Abt (3)'!B21</f>
        <v>Providing and laying M-20 grade Mass Concrete design mix using graded aggregates , clean, hard, including cost of all materials, machinery, labour, formwork, cantering, scaffolding, cleaning, batching, mixing, placing in position, levelling, vibrating, finishing, curing etc. complete with lead up to 50 m and all lifts. Using aggregate of maximum size.                  (a) 40 mm</v>
      </c>
      <c r="C42" s="288"/>
      <c r="D42" s="288"/>
      <c r="E42" s="289"/>
      <c r="F42" s="289"/>
      <c r="G42" s="288"/>
      <c r="H42" s="289"/>
      <c r="K42" s="233">
        <f>95.42*70.2</f>
        <v>6698.4840000000004</v>
      </c>
      <c r="L42" s="233">
        <f>184.57*70.25</f>
        <v>12966.0425</v>
      </c>
      <c r="Q42" s="233">
        <f>90.94*60</f>
        <v>5456.4</v>
      </c>
    </row>
    <row r="43" spans="1:17" x14ac:dyDescent="0.3">
      <c r="A43" s="289"/>
      <c r="B43" s="290" t="s">
        <v>193</v>
      </c>
      <c r="C43" s="288"/>
      <c r="D43" s="288"/>
      <c r="E43" s="1176"/>
      <c r="F43" s="1176"/>
      <c r="G43" s="288"/>
      <c r="H43" s="289"/>
      <c r="J43" s="255">
        <f>D15</f>
        <v>54.3</v>
      </c>
      <c r="L43" s="233">
        <v>33998</v>
      </c>
    </row>
    <row r="44" spans="1:17" hidden="1" x14ac:dyDescent="0.3">
      <c r="A44" s="291"/>
      <c r="B44" s="292"/>
      <c r="C44" s="293"/>
      <c r="D44" s="293"/>
      <c r="E44" s="1136"/>
      <c r="F44" s="1137"/>
      <c r="G44" s="293"/>
      <c r="H44" s="291"/>
    </row>
    <row r="45" spans="1:17" hidden="1" x14ac:dyDescent="0.3">
      <c r="A45" s="291"/>
      <c r="B45" s="292" t="e">
        <f>#REF!</f>
        <v>#REF!</v>
      </c>
      <c r="C45" s="293" t="e">
        <f>#REF!</f>
        <v>#REF!</v>
      </c>
      <c r="D45" s="293" t="e">
        <f>#REF!</f>
        <v>#REF!</v>
      </c>
      <c r="E45" s="1136">
        <v>141.03</v>
      </c>
      <c r="F45" s="1137"/>
      <c r="G45" s="293" t="e">
        <f>C45*D45*E45</f>
        <v>#REF!</v>
      </c>
      <c r="H45" s="291" t="s">
        <v>192</v>
      </c>
    </row>
    <row r="46" spans="1:17" hidden="1" x14ac:dyDescent="0.3">
      <c r="A46" s="291"/>
      <c r="B46" s="292" t="e">
        <f>#REF!</f>
        <v>#REF!</v>
      </c>
      <c r="C46" s="293" t="e">
        <f>#REF!</f>
        <v>#REF!</v>
      </c>
      <c r="D46" s="293" t="e">
        <f>#REF!</f>
        <v>#REF!</v>
      </c>
      <c r="E46" s="1136">
        <v>151.06</v>
      </c>
      <c r="F46" s="1137"/>
      <c r="G46" s="293" t="e">
        <f>C46*D46*E46</f>
        <v>#REF!</v>
      </c>
      <c r="H46" s="291" t="s">
        <v>192</v>
      </c>
    </row>
    <row r="47" spans="1:17" hidden="1" x14ac:dyDescent="0.3">
      <c r="A47" s="291"/>
      <c r="B47" s="292"/>
      <c r="C47" s="293"/>
      <c r="D47" s="293"/>
      <c r="E47" s="295"/>
      <c r="F47" s="296"/>
      <c r="G47" s="293"/>
      <c r="H47" s="291"/>
    </row>
    <row r="48" spans="1:17" hidden="1" x14ac:dyDescent="0.3">
      <c r="A48" s="241"/>
      <c r="B48" s="292" t="e">
        <f>#REF!</f>
        <v>#REF!</v>
      </c>
      <c r="C48" s="293"/>
      <c r="D48" s="293"/>
      <c r="E48" s="1128" t="e">
        <f>#REF!</f>
        <v>#REF!</v>
      </c>
      <c r="F48" s="1129"/>
      <c r="G48" s="293"/>
      <c r="H48" s="291"/>
    </row>
    <row r="49" spans="1:10" hidden="1" x14ac:dyDescent="0.3">
      <c r="A49" s="241"/>
      <c r="B49" s="292" t="str">
        <f t="shared" ref="B49:D50" si="1">B13</f>
        <v>Right NOF  cum key wall</v>
      </c>
      <c r="C49" s="293">
        <f t="shared" si="1"/>
        <v>1</v>
      </c>
      <c r="D49" s="293">
        <f t="shared" si="1"/>
        <v>6.5</v>
      </c>
      <c r="E49" s="1136">
        <f>E46</f>
        <v>151.06</v>
      </c>
      <c r="F49" s="1129"/>
      <c r="G49" s="293">
        <f>C49*D49*E49*0</f>
        <v>0</v>
      </c>
      <c r="H49" s="291" t="s">
        <v>192</v>
      </c>
    </row>
    <row r="50" spans="1:10" hidden="1" x14ac:dyDescent="0.3">
      <c r="A50" s="297"/>
      <c r="B50" s="298">
        <f t="shared" si="1"/>
        <v>0</v>
      </c>
      <c r="C50" s="299">
        <f t="shared" si="1"/>
        <v>0</v>
      </c>
      <c r="D50" s="299">
        <f t="shared" si="1"/>
        <v>0</v>
      </c>
      <c r="E50" s="1150">
        <f>E45</f>
        <v>141.03</v>
      </c>
      <c r="F50" s="1151"/>
      <c r="G50" s="299">
        <f>C50*D50*E50</f>
        <v>0</v>
      </c>
      <c r="H50" s="300" t="s">
        <v>192</v>
      </c>
    </row>
    <row r="51" spans="1:10" hidden="1" x14ac:dyDescent="0.3">
      <c r="A51" s="238"/>
      <c r="B51" s="301"/>
      <c r="C51" s="302"/>
      <c r="D51" s="302"/>
      <c r="E51" s="303"/>
      <c r="F51" s="304"/>
      <c r="G51" s="302"/>
      <c r="H51" s="305"/>
    </row>
    <row r="52" spans="1:10" hidden="1" x14ac:dyDescent="0.3">
      <c r="A52" s="241"/>
      <c r="B52" s="292" t="s">
        <v>194</v>
      </c>
      <c r="C52" s="293"/>
      <c r="D52" s="306">
        <f>D15-C89*D89</f>
        <v>34.299999999999997</v>
      </c>
      <c r="E52" s="1152" t="s">
        <v>195</v>
      </c>
      <c r="F52" s="1152"/>
      <c r="G52" s="293"/>
      <c r="H52" s="291"/>
    </row>
    <row r="53" spans="1:10" hidden="1" x14ac:dyDescent="0.3">
      <c r="A53" s="297"/>
      <c r="B53" s="298"/>
      <c r="C53" s="299">
        <v>1</v>
      </c>
      <c r="D53" s="300">
        <f>D52</f>
        <v>34.299999999999997</v>
      </c>
      <c r="E53" s="1153">
        <v>411.37</v>
      </c>
      <c r="F53" s="1153"/>
      <c r="G53" s="299">
        <f>C53*D53*E53*0</f>
        <v>0</v>
      </c>
      <c r="H53" s="300" t="s">
        <v>192</v>
      </c>
    </row>
    <row r="54" spans="1:10" hidden="1" x14ac:dyDescent="0.3">
      <c r="A54" s="238"/>
      <c r="B54" s="301" t="s">
        <v>196</v>
      </c>
      <c r="C54" s="302" t="e">
        <f>#REF!</f>
        <v>#REF!</v>
      </c>
      <c r="D54" s="308">
        <f>D53</f>
        <v>34.299999999999997</v>
      </c>
      <c r="E54" s="309">
        <v>2.5</v>
      </c>
      <c r="F54" s="309">
        <v>3.55</v>
      </c>
      <c r="G54" s="310" t="e">
        <f>-C54*D54*E54*0</f>
        <v>#REF!</v>
      </c>
      <c r="H54" s="305" t="s">
        <v>192</v>
      </c>
    </row>
    <row r="55" spans="1:10" hidden="1" x14ac:dyDescent="0.3">
      <c r="A55" s="241"/>
      <c r="B55" s="292" t="s">
        <v>197</v>
      </c>
      <c r="C55" s="293" t="e">
        <f>#REF!</f>
        <v>#REF!</v>
      </c>
      <c r="D55" s="1154">
        <f>(PI()*0.2^2)/4</f>
        <v>3.1415926535897934E-2</v>
      </c>
      <c r="E55" s="1155"/>
      <c r="F55" s="311" t="e">
        <f>#REF!</f>
        <v>#REF!</v>
      </c>
      <c r="G55" s="310" t="e">
        <f>-C55*D55*E55*0</f>
        <v>#REF!</v>
      </c>
      <c r="H55" s="291" t="s">
        <v>192</v>
      </c>
    </row>
    <row r="56" spans="1:10" hidden="1" x14ac:dyDescent="0.3">
      <c r="A56" s="241"/>
      <c r="B56" s="292" t="s">
        <v>198</v>
      </c>
      <c r="C56" s="293" t="e">
        <f>#REF!</f>
        <v>#REF!</v>
      </c>
      <c r="D56" s="312" t="e">
        <f>#REF!</f>
        <v>#REF!</v>
      </c>
      <c r="E56" s="1156" t="e">
        <f>PI()*(#REF!/1000)^2/4</f>
        <v>#REF!</v>
      </c>
      <c r="F56" s="1156"/>
      <c r="G56" s="314" t="e">
        <f>-D56*C56*E56*0</f>
        <v>#REF!</v>
      </c>
      <c r="H56" s="291" t="s">
        <v>192</v>
      </c>
    </row>
    <row r="57" spans="1:10" hidden="1" x14ac:dyDescent="0.3">
      <c r="A57" s="241"/>
      <c r="B57" s="292" t="s">
        <v>199</v>
      </c>
      <c r="C57" s="293">
        <v>1</v>
      </c>
      <c r="D57" s="312">
        <v>1</v>
      </c>
      <c r="E57" s="1156">
        <v>1</v>
      </c>
      <c r="F57" s="1156">
        <v>0.75</v>
      </c>
      <c r="G57" s="314">
        <f>-D57*C57*E57*0</f>
        <v>0</v>
      </c>
      <c r="H57" s="291" t="s">
        <v>192</v>
      </c>
    </row>
    <row r="58" spans="1:10" hidden="1" x14ac:dyDescent="0.3">
      <c r="A58" s="241"/>
      <c r="B58" s="292" t="s">
        <v>200</v>
      </c>
      <c r="C58" s="293">
        <v>2</v>
      </c>
      <c r="D58" s="312">
        <v>2.5</v>
      </c>
      <c r="E58" s="1157">
        <v>10.4</v>
      </c>
      <c r="F58" s="1158"/>
      <c r="G58" s="314">
        <f>-D58*C58*E58*0</f>
        <v>0</v>
      </c>
      <c r="H58" s="291" t="s">
        <v>192</v>
      </c>
    </row>
    <row r="59" spans="1:10" hidden="1" x14ac:dyDescent="0.3">
      <c r="A59" s="238"/>
      <c r="B59" s="301"/>
      <c r="C59" s="302"/>
      <c r="D59" s="308"/>
      <c r="E59" s="315"/>
      <c r="F59" s="316"/>
      <c r="G59" s="310"/>
      <c r="H59" s="305"/>
    </row>
    <row r="60" spans="1:10" hidden="1" x14ac:dyDescent="0.3">
      <c r="A60" s="241"/>
      <c r="B60" s="292"/>
      <c r="C60" s="293"/>
      <c r="D60" s="293"/>
      <c r="E60" s="1148" t="s">
        <v>201</v>
      </c>
      <c r="F60" s="1149"/>
      <c r="G60" s="293"/>
      <c r="H60" s="291"/>
    </row>
    <row r="61" spans="1:10" hidden="1" x14ac:dyDescent="0.3">
      <c r="A61" s="297"/>
      <c r="B61" s="317" t="s">
        <v>202</v>
      </c>
      <c r="C61" s="318">
        <v>1</v>
      </c>
      <c r="D61" s="319">
        <v>5</v>
      </c>
      <c r="E61" s="320">
        <v>2</v>
      </c>
      <c r="F61" s="321">
        <v>24.1</v>
      </c>
      <c r="G61" s="319">
        <f>C61*D61*E61*F61*0</f>
        <v>0</v>
      </c>
      <c r="H61" s="322" t="s">
        <v>192</v>
      </c>
    </row>
    <row r="62" spans="1:10" hidden="1" x14ac:dyDescent="0.3">
      <c r="A62" s="241"/>
      <c r="B62" s="323"/>
      <c r="C62" s="324">
        <v>2</v>
      </c>
      <c r="D62" s="1132">
        <f>AVERAGE(6.55,5)</f>
        <v>5.7750000000000004</v>
      </c>
      <c r="E62" s="1133"/>
      <c r="F62" s="325">
        <v>24.25</v>
      </c>
      <c r="G62" s="319">
        <f>C62*D62*F62*0</f>
        <v>0</v>
      </c>
      <c r="H62" s="322" t="s">
        <v>192</v>
      </c>
    </row>
    <row r="63" spans="1:10" hidden="1" x14ac:dyDescent="0.3">
      <c r="A63" s="241"/>
      <c r="B63" s="323"/>
      <c r="C63" s="326">
        <v>1</v>
      </c>
      <c r="D63" s="1132">
        <f>AVERAGE(6.83,2)</f>
        <v>4.415</v>
      </c>
      <c r="E63" s="1133"/>
      <c r="F63" s="325">
        <v>24.25</v>
      </c>
      <c r="G63" s="319">
        <f>C63*D63*F63*0</f>
        <v>0</v>
      </c>
      <c r="H63" s="322" t="s">
        <v>192</v>
      </c>
    </row>
    <row r="64" spans="1:10" hidden="1" x14ac:dyDescent="0.3">
      <c r="A64" s="241"/>
      <c r="B64" s="327" t="s">
        <v>203</v>
      </c>
      <c r="C64" s="326">
        <f>C20</f>
        <v>2</v>
      </c>
      <c r="D64" s="326">
        <v>49.957999999999998</v>
      </c>
      <c r="E64" s="1134">
        <v>79.168800000000005</v>
      </c>
      <c r="F64" s="1135"/>
      <c r="G64" s="328">
        <f>C64*D64*E64*0</f>
        <v>0</v>
      </c>
      <c r="H64" s="329" t="s">
        <v>192</v>
      </c>
      <c r="J64" s="233">
        <f>E64-0.6</f>
        <v>78.56880000000001</v>
      </c>
    </row>
    <row r="65" spans="1:11" hidden="1" x14ac:dyDescent="0.3">
      <c r="A65" s="241"/>
      <c r="B65" s="327" t="s">
        <v>204</v>
      </c>
      <c r="C65" s="326" t="e">
        <f>#REF!</f>
        <v>#REF!</v>
      </c>
      <c r="D65" s="330">
        <v>16.149999999999999</v>
      </c>
      <c r="E65" s="1134">
        <v>0.56874999999999998</v>
      </c>
      <c r="F65" s="1135"/>
      <c r="G65" s="328" t="e">
        <f>C65*D65*E65*0</f>
        <v>#REF!</v>
      </c>
      <c r="H65" s="329" t="s">
        <v>192</v>
      </c>
      <c r="J65" s="233">
        <f>J64*((F64+(273-260))*0.5)</f>
        <v>510.69720000000007</v>
      </c>
    </row>
    <row r="66" spans="1:11" hidden="1" x14ac:dyDescent="0.3">
      <c r="A66" s="241"/>
      <c r="B66" s="248" t="s">
        <v>205</v>
      </c>
      <c r="C66" s="293" t="e">
        <f>#REF!</f>
        <v>#REF!</v>
      </c>
      <c r="D66" s="331" t="e">
        <f>#REF!</f>
        <v>#REF!</v>
      </c>
      <c r="E66" s="1136">
        <v>0.56874999999999998</v>
      </c>
      <c r="F66" s="1137"/>
      <c r="G66" s="294" t="e">
        <f>C66*D66*E66*0</f>
        <v>#REF!</v>
      </c>
      <c r="H66" s="291" t="s">
        <v>192</v>
      </c>
    </row>
    <row r="67" spans="1:11" hidden="1" x14ac:dyDescent="0.3">
      <c r="A67" s="241"/>
      <c r="B67" s="248" t="s">
        <v>206</v>
      </c>
      <c r="C67" s="293" t="e">
        <f>#REF!</f>
        <v>#REF!</v>
      </c>
      <c r="D67" s="247" t="e">
        <f>#REF!</f>
        <v>#REF!</v>
      </c>
      <c r="E67" s="1136">
        <v>0.56874999999999998</v>
      </c>
      <c r="F67" s="1137"/>
      <c r="G67" s="294" t="e">
        <f>C67*D67*E67*0</f>
        <v>#REF!</v>
      </c>
      <c r="H67" s="291" t="s">
        <v>192</v>
      </c>
      <c r="J67" s="233">
        <f>J65*10</f>
        <v>5106.9720000000007</v>
      </c>
      <c r="K67" s="233">
        <f>51704</f>
        <v>51704</v>
      </c>
    </row>
    <row r="68" spans="1:11" hidden="1" x14ac:dyDescent="0.3">
      <c r="A68" s="241"/>
      <c r="B68" s="248" t="s">
        <v>207</v>
      </c>
      <c r="C68" s="293" t="e">
        <f>#REF!</f>
        <v>#REF!</v>
      </c>
      <c r="D68" s="247" t="e">
        <f>#REF!</f>
        <v>#REF!</v>
      </c>
      <c r="E68" s="1136">
        <v>1.25</v>
      </c>
      <c r="F68" s="1137"/>
      <c r="G68" s="294" t="e">
        <f>C68*D68*E68*0</f>
        <v>#REF!</v>
      </c>
      <c r="H68" s="291" t="s">
        <v>192</v>
      </c>
      <c r="K68" s="233">
        <f>K67*2340</f>
        <v>120987360</v>
      </c>
    </row>
    <row r="69" spans="1:11" ht="14.4" customHeight="1" x14ac:dyDescent="0.3">
      <c r="A69" s="274"/>
      <c r="B69" s="332" t="s">
        <v>208</v>
      </c>
      <c r="C69" s="333"/>
      <c r="D69" s="334"/>
      <c r="E69" s="1138"/>
      <c r="F69" s="1139"/>
      <c r="G69" s="335">
        <f>QTTY!L33</f>
        <v>17123.128000000001</v>
      </c>
      <c r="H69" s="334" t="s">
        <v>192</v>
      </c>
    </row>
    <row r="70" spans="1:11" ht="129.6" x14ac:dyDescent="0.3">
      <c r="A70" s="253">
        <f>MAX($A$24:A69)+1</f>
        <v>11</v>
      </c>
      <c r="B70" s="280" t="str">
        <f>'Abt (3)'!B22</f>
        <v>Providing and laying M-20 grade RCC design mix using graded aggregates, clean, hard including cost of all materials, machinery, labour, formwork, cantering, scaffolding, cleaning, batching, mixing, placing in position, levelling, vibrating, finishing, curing etc. complete with lead up to 50m and all lifts using aggregate of maximum size. (a) 40mm</v>
      </c>
      <c r="C70" s="336"/>
      <c r="D70" s="291"/>
      <c r="E70" s="303"/>
      <c r="F70" s="305"/>
      <c r="G70" s="314"/>
      <c r="H70" s="291"/>
    </row>
    <row r="71" spans="1:11" x14ac:dyDescent="0.3">
      <c r="A71" s="334"/>
      <c r="B71" s="332" t="s">
        <v>209</v>
      </c>
      <c r="C71" s="333"/>
      <c r="D71" s="334"/>
      <c r="E71" s="1140"/>
      <c r="F71" s="1140"/>
      <c r="G71" s="335">
        <f>QTTY!N33</f>
        <v>19919.25</v>
      </c>
      <c r="H71" s="334" t="s">
        <v>192</v>
      </c>
    </row>
    <row r="72" spans="1:11" ht="158.4" x14ac:dyDescent="0.3">
      <c r="A72" s="253">
        <f>MAX($A$24:A71)+1</f>
        <v>12</v>
      </c>
      <c r="B72" s="337" t="str">
        <f>'Abt (3)'!B23</f>
        <v>Providing and laying M-25 grade RCC design mix using graded aggregates , clean, hard including cost of all materials, machinery, labour, formwork, cleaning, batching, mixing, placing in position in alternate panels as directed, levelling, compacting, finishing, curing, packing joints of shuttering with asphalt mortar etc. complete with lead up to 50m and all lifts using aggregate of maximum size. (a)40mm</v>
      </c>
      <c r="C72" s="338"/>
      <c r="D72" s="238"/>
      <c r="E72" s="238"/>
      <c r="F72" s="238"/>
      <c r="G72" s="339"/>
      <c r="H72" s="238"/>
    </row>
    <row r="73" spans="1:11" hidden="1" x14ac:dyDescent="0.3">
      <c r="A73" s="241"/>
      <c r="B73" s="287" t="s">
        <v>210</v>
      </c>
      <c r="C73" s="340" t="e">
        <f>#REF!</f>
        <v>#REF!</v>
      </c>
      <c r="D73" s="341" t="e">
        <f>#REF!</f>
        <v>#REF!</v>
      </c>
      <c r="E73" s="1141">
        <v>7.5579999999999998</v>
      </c>
      <c r="F73" s="1142"/>
      <c r="G73" s="341" t="e">
        <f>E73*D73*C73</f>
        <v>#REF!</v>
      </c>
      <c r="H73" s="253" t="s">
        <v>192</v>
      </c>
    </row>
    <row r="74" spans="1:11" ht="27.6" hidden="1" customHeight="1" x14ac:dyDescent="0.3">
      <c r="A74" s="241"/>
      <c r="B74" s="290"/>
      <c r="C74" s="340"/>
      <c r="D74" s="340"/>
      <c r="E74" s="1143"/>
      <c r="F74" s="1143"/>
      <c r="G74" s="341"/>
      <c r="H74" s="253"/>
    </row>
    <row r="75" spans="1:11" hidden="1" x14ac:dyDescent="0.3">
      <c r="A75" s="241"/>
      <c r="B75" s="342"/>
      <c r="C75" s="293"/>
      <c r="D75" s="293"/>
      <c r="E75" s="1128"/>
      <c r="F75" s="1129"/>
      <c r="G75" s="343"/>
      <c r="H75" s="291"/>
    </row>
    <row r="76" spans="1:11" hidden="1" x14ac:dyDescent="0.3">
      <c r="A76" s="241"/>
      <c r="B76" s="292"/>
      <c r="C76" s="293"/>
      <c r="D76" s="291"/>
      <c r="E76" s="1126"/>
      <c r="F76" s="1127"/>
      <c r="G76" s="314"/>
      <c r="H76" s="291"/>
    </row>
    <row r="77" spans="1:11" hidden="1" x14ac:dyDescent="0.3">
      <c r="A77" s="241"/>
      <c r="B77" s="292"/>
      <c r="C77" s="293"/>
      <c r="D77" s="291"/>
      <c r="E77" s="1126"/>
      <c r="F77" s="1127"/>
      <c r="G77" s="314"/>
      <c r="H77" s="291"/>
    </row>
    <row r="78" spans="1:11" hidden="1" x14ac:dyDescent="0.3">
      <c r="A78" s="241"/>
      <c r="B78" s="292"/>
      <c r="C78" s="293"/>
      <c r="D78" s="291"/>
      <c r="E78" s="1128"/>
      <c r="F78" s="1129"/>
      <c r="G78" s="314"/>
      <c r="H78" s="291"/>
    </row>
    <row r="79" spans="1:11" hidden="1" x14ac:dyDescent="0.3">
      <c r="A79" s="241"/>
      <c r="B79" s="292"/>
      <c r="C79" s="293"/>
      <c r="D79" s="291"/>
      <c r="E79" s="291"/>
      <c r="F79" s="291"/>
      <c r="G79" s="314"/>
      <c r="H79" s="291"/>
    </row>
    <row r="80" spans="1:11" hidden="1" x14ac:dyDescent="0.3">
      <c r="A80" s="241"/>
      <c r="B80" s="298"/>
      <c r="C80" s="299"/>
      <c r="D80" s="300"/>
      <c r="E80" s="300"/>
      <c r="F80" s="300"/>
      <c r="G80" s="344"/>
      <c r="H80" s="291"/>
    </row>
    <row r="81" spans="1:11" hidden="1" x14ac:dyDescent="0.3">
      <c r="A81" s="241"/>
      <c r="B81" s="292"/>
      <c r="C81" s="293"/>
      <c r="D81" s="300"/>
      <c r="E81" s="1128"/>
      <c r="F81" s="1129"/>
      <c r="G81" s="314"/>
      <c r="H81" s="291"/>
    </row>
    <row r="82" spans="1:11" hidden="1" x14ac:dyDescent="0.3">
      <c r="A82" s="241"/>
      <c r="B82" s="292"/>
      <c r="C82" s="293"/>
      <c r="D82" s="291"/>
      <c r="E82" s="1128"/>
      <c r="F82" s="1129"/>
      <c r="G82" s="314"/>
      <c r="H82" s="291"/>
    </row>
    <row r="83" spans="1:11" ht="0.75" hidden="1" customHeight="1" x14ac:dyDescent="0.3">
      <c r="A83" s="241"/>
      <c r="B83" s="345"/>
      <c r="C83" s="340"/>
      <c r="D83" s="1144"/>
      <c r="E83" s="1145"/>
      <c r="F83" s="340"/>
      <c r="G83" s="346"/>
      <c r="H83" s="253"/>
    </row>
    <row r="84" spans="1:11" hidden="1" x14ac:dyDescent="0.3">
      <c r="A84" s="241"/>
      <c r="B84" s="342" t="s">
        <v>211</v>
      </c>
      <c r="C84" s="326">
        <v>1</v>
      </c>
      <c r="D84" s="329">
        <v>2.4</v>
      </c>
      <c r="E84" s="1146">
        <v>127.89</v>
      </c>
      <c r="F84" s="1147"/>
      <c r="G84" s="347">
        <f>C84*D84*E84*0</f>
        <v>0</v>
      </c>
      <c r="H84" s="241"/>
    </row>
    <row r="85" spans="1:11" hidden="1" x14ac:dyDescent="0.3">
      <c r="A85" s="241"/>
      <c r="B85" s="342" t="s">
        <v>212</v>
      </c>
      <c r="C85" s="326">
        <v>1</v>
      </c>
      <c r="D85" s="329">
        <v>2.4</v>
      </c>
      <c r="E85" s="1146">
        <v>139.70099999999999</v>
      </c>
      <c r="F85" s="1147"/>
      <c r="G85" s="347">
        <f>C85*D85*E85*0</f>
        <v>0</v>
      </c>
      <c r="H85" s="241"/>
    </row>
    <row r="86" spans="1:11" hidden="1" x14ac:dyDescent="0.3">
      <c r="A86" s="241"/>
      <c r="B86" s="342"/>
      <c r="C86" s="336"/>
      <c r="D86" s="241"/>
      <c r="E86" s="241"/>
      <c r="F86" s="241"/>
      <c r="G86" s="348"/>
      <c r="H86" s="241"/>
    </row>
    <row r="87" spans="1:11" s="350" customFormat="1" hidden="1" x14ac:dyDescent="0.3">
      <c r="A87" s="349"/>
      <c r="C87" s="351"/>
      <c r="D87" s="352"/>
      <c r="E87" s="1124" t="s">
        <v>213</v>
      </c>
      <c r="F87" s="1124"/>
      <c r="G87" s="353"/>
      <c r="H87" s="349"/>
    </row>
    <row r="88" spans="1:11" s="350" customFormat="1" hidden="1" x14ac:dyDescent="0.3">
      <c r="A88" s="349"/>
      <c r="B88" s="354" t="s">
        <v>214</v>
      </c>
      <c r="C88" s="351">
        <v>1</v>
      </c>
      <c r="D88" s="352">
        <f>D53</f>
        <v>34.299999999999997</v>
      </c>
      <c r="E88" s="1125">
        <v>113.27</v>
      </c>
      <c r="F88" s="1125"/>
      <c r="G88" s="353">
        <f>C88*D88*E88*0</f>
        <v>0</v>
      </c>
      <c r="H88" s="352" t="s">
        <v>192</v>
      </c>
      <c r="K88" s="350">
        <f>411.37+E88</f>
        <v>524.64</v>
      </c>
    </row>
    <row r="89" spans="1:11" s="350" customFormat="1" hidden="1" x14ac:dyDescent="0.3">
      <c r="A89" s="349"/>
      <c r="B89" s="354" t="s">
        <v>215</v>
      </c>
      <c r="C89" s="351">
        <v>8</v>
      </c>
      <c r="D89" s="356">
        <v>2.5</v>
      </c>
      <c r="E89" s="1130">
        <v>207.08</v>
      </c>
      <c r="F89" s="1131"/>
      <c r="G89" s="353">
        <f>C89*D89*E89*0</f>
        <v>0</v>
      </c>
      <c r="H89" s="352" t="s">
        <v>192</v>
      </c>
    </row>
    <row r="90" spans="1:11" s="350" customFormat="1" hidden="1" x14ac:dyDescent="0.3">
      <c r="A90" s="349"/>
      <c r="B90" s="354" t="s">
        <v>216</v>
      </c>
      <c r="C90" s="351">
        <v>1</v>
      </c>
      <c r="D90" s="352">
        <v>74</v>
      </c>
      <c r="E90" s="351">
        <v>99</v>
      </c>
      <c r="F90" s="355">
        <v>0.5</v>
      </c>
      <c r="G90" s="353">
        <f>C90*D90*E90*F90*0</f>
        <v>0</v>
      </c>
      <c r="H90" s="352" t="s">
        <v>192</v>
      </c>
    </row>
    <row r="91" spans="1:11" hidden="1" x14ac:dyDescent="0.3">
      <c r="A91" s="241"/>
      <c r="B91" s="292"/>
      <c r="C91" s="293"/>
      <c r="D91" s="291"/>
      <c r="E91" s="1122"/>
      <c r="F91" s="1123"/>
      <c r="G91" s="314"/>
      <c r="H91" s="291"/>
    </row>
    <row r="92" spans="1:11" hidden="1" x14ac:dyDescent="0.3">
      <c r="A92" s="241"/>
      <c r="B92" s="292"/>
      <c r="C92" s="340"/>
      <c r="D92" s="357"/>
      <c r="E92" s="357"/>
      <c r="F92" s="357"/>
      <c r="G92" s="314"/>
      <c r="H92" s="291"/>
    </row>
    <row r="93" spans="1:11" x14ac:dyDescent="0.3">
      <c r="A93" s="334"/>
      <c r="B93" s="332" t="s">
        <v>217</v>
      </c>
      <c r="C93" s="333"/>
      <c r="D93" s="334"/>
      <c r="E93" s="333"/>
      <c r="F93" s="333"/>
      <c r="G93" s="335">
        <f>QTTY!O33</f>
        <v>7450.95</v>
      </c>
      <c r="H93" s="334" t="s">
        <v>192</v>
      </c>
    </row>
    <row r="94" spans="1:11" ht="112.2" customHeight="1" x14ac:dyDescent="0.3">
      <c r="A94" s="253">
        <f>MAX($A$24:A93)+1</f>
        <v>13</v>
      </c>
      <c r="B94" s="337" t="str">
        <f>'Abt (3)'!B24</f>
        <v>Providing and laying Cement concrete wearing coat M-30 grade
including reinforcement complete as per drawing and Technical
Specifications and as per relevant clauses of sections 1500, 1700 and
Clause 2702 of specifications..</v>
      </c>
      <c r="C94" s="338"/>
      <c r="D94" s="338" t="s">
        <v>218</v>
      </c>
      <c r="E94" s="238"/>
      <c r="F94" s="238"/>
      <c r="G94" s="339"/>
      <c r="H94" s="238"/>
    </row>
    <row r="95" spans="1:11" x14ac:dyDescent="0.3">
      <c r="A95" s="334"/>
      <c r="B95" s="332" t="s">
        <v>219</v>
      </c>
      <c r="C95" s="333"/>
      <c r="D95" s="334"/>
      <c r="E95" s="334"/>
      <c r="F95" s="334"/>
      <c r="G95" s="335">
        <f>QTTY!P33</f>
        <v>625.46249999999998</v>
      </c>
      <c r="H95" s="334" t="s">
        <v>192</v>
      </c>
    </row>
    <row r="96" spans="1:11" s="365" customFormat="1" ht="114.6" customHeight="1" x14ac:dyDescent="0.25">
      <c r="A96" s="253">
        <f>MAX($A$24:A95)+1</f>
        <v>14</v>
      </c>
      <c r="B96" s="358" t="s">
        <v>220</v>
      </c>
      <c r="C96" s="359">
        <f>D97</f>
        <v>12</v>
      </c>
      <c r="D96" s="360">
        <v>6</v>
      </c>
      <c r="E96" s="361">
        <f>50*40*6.3</f>
        <v>12600</v>
      </c>
      <c r="F96" s="362"/>
      <c r="G96" s="363">
        <f>E96*D96*C96</f>
        <v>907200</v>
      </c>
      <c r="H96" s="364" t="s">
        <v>221</v>
      </c>
      <c r="K96" s="365" t="e">
        <f>#REF!/1000</f>
        <v>#REF!</v>
      </c>
    </row>
    <row r="97" spans="1:11" s="365" customFormat="1" ht="156" customHeight="1" x14ac:dyDescent="0.25">
      <c r="A97" s="253">
        <f>MAX($A$24:A96)+1</f>
        <v>15</v>
      </c>
      <c r="B97" s="358" t="s">
        <v>222</v>
      </c>
      <c r="C97" s="366"/>
      <c r="D97" s="367">
        <f>QTTY!B19+QTTY!B20</f>
        <v>12</v>
      </c>
      <c r="E97" s="362">
        <v>10.5</v>
      </c>
      <c r="F97" s="362"/>
      <c r="G97" s="368">
        <f>D97*E97</f>
        <v>126</v>
      </c>
      <c r="H97" s="367" t="s">
        <v>223</v>
      </c>
    </row>
    <row r="98" spans="1:11" s="365" customFormat="1" ht="154.19999999999999" customHeight="1" x14ac:dyDescent="0.25">
      <c r="A98" s="253">
        <f>MAX($A$24:A97)+1</f>
        <v>16</v>
      </c>
      <c r="B98" s="358" t="s">
        <v>224</v>
      </c>
      <c r="C98" s="369"/>
      <c r="D98" s="370"/>
      <c r="E98" s="371"/>
      <c r="F98" s="371"/>
      <c r="G98" s="372"/>
      <c r="H98" s="370"/>
    </row>
    <row r="99" spans="1:11" s="365" customFormat="1" ht="25.95" customHeight="1" x14ac:dyDescent="0.25">
      <c r="A99" s="360"/>
      <c r="B99" s="358" t="s">
        <v>225</v>
      </c>
      <c r="C99" s="369"/>
      <c r="D99" s="370"/>
      <c r="E99" s="370" t="s">
        <v>226</v>
      </c>
      <c r="F99" s="371"/>
      <c r="G99" s="372"/>
      <c r="H99" s="370"/>
    </row>
    <row r="100" spans="1:11" s="377" customFormat="1" ht="16.95" customHeight="1" x14ac:dyDescent="0.3">
      <c r="A100" s="373"/>
      <c r="B100" s="374" t="s">
        <v>227</v>
      </c>
      <c r="C100" s="375">
        <f>QTTY!C21</f>
        <v>38.700000000000003</v>
      </c>
      <c r="D100" s="375">
        <v>21</v>
      </c>
      <c r="E100" s="375">
        <f>(C100*D100)/(1.5*1.5)</f>
        <v>361.20000000000005</v>
      </c>
      <c r="F100" s="375">
        <v>1.5</v>
      </c>
      <c r="G100" s="376">
        <f>F100*E100</f>
        <v>541.80000000000007</v>
      </c>
      <c r="H100" s="375"/>
    </row>
    <row r="101" spans="1:11" s="377" customFormat="1" ht="17.399999999999999" customHeight="1" x14ac:dyDescent="0.3">
      <c r="A101" s="373"/>
      <c r="B101" s="374" t="s">
        <v>228</v>
      </c>
      <c r="C101" s="375">
        <f>QTTY!C23</f>
        <v>56.5</v>
      </c>
      <c r="D101" s="375">
        <v>21</v>
      </c>
      <c r="E101" s="375">
        <f>(C101*D101)/(1.5*1.5)</f>
        <v>527.33333333333337</v>
      </c>
      <c r="F101" s="375">
        <v>1.5</v>
      </c>
      <c r="G101" s="376">
        <f>F101*E101</f>
        <v>791</v>
      </c>
      <c r="H101" s="375"/>
    </row>
    <row r="102" spans="1:11" s="377" customFormat="1" ht="12.6" customHeight="1" x14ac:dyDescent="0.3">
      <c r="A102" s="373"/>
      <c r="B102" s="374"/>
      <c r="C102" s="375"/>
      <c r="D102" s="375"/>
      <c r="E102" s="1116" t="s">
        <v>229</v>
      </c>
      <c r="F102" s="1117"/>
      <c r="G102" s="376">
        <f>SUM(G100:G101)</f>
        <v>1332.8000000000002</v>
      </c>
      <c r="H102" s="375"/>
    </row>
    <row r="103" spans="1:11" s="365" customFormat="1" ht="111.6" customHeight="1" x14ac:dyDescent="0.25">
      <c r="A103" s="253">
        <f>MAX($A$24:A102)+1</f>
        <v>17</v>
      </c>
      <c r="B103" s="358" t="s">
        <v>230</v>
      </c>
      <c r="C103" s="378">
        <v>2</v>
      </c>
      <c r="D103" s="379">
        <f>QTTY!C32</f>
        <v>195</v>
      </c>
      <c r="E103" s="375"/>
      <c r="F103" s="375"/>
      <c r="G103" s="376">
        <f>D103*C103</f>
        <v>390</v>
      </c>
      <c r="H103" s="370"/>
    </row>
    <row r="104" spans="1:11" ht="181.5" customHeight="1" x14ac:dyDescent="0.3">
      <c r="A104" s="253">
        <f>MAX($A$24:A103)+1</f>
        <v>18</v>
      </c>
      <c r="B104" s="380" t="str">
        <f>'Abt (3)'!B29</f>
        <v>Providing, fabricating and placing in position steel reinforcement bars for Reinforced cement concrete / Plain Cement Concrete structures including cost of all materials, machinery, labour, cleaning, straightening, cutting, bending, hooking, lapping / welding joints wherever required, tying with 1.25 mm diameter soft annealed steel wire etc. complete with lead up to 50 m and all lifts.</v>
      </c>
      <c r="C104" s="381"/>
      <c r="D104" s="1118"/>
      <c r="E104" s="1118"/>
      <c r="F104" s="1118"/>
      <c r="G104" s="382"/>
      <c r="H104" s="251"/>
    </row>
    <row r="105" spans="1:11" ht="15" customHeight="1" x14ac:dyDescent="0.3">
      <c r="A105" s="289"/>
      <c r="B105" s="287"/>
      <c r="C105" s="288"/>
      <c r="D105" s="256"/>
      <c r="E105" s="1119" t="s">
        <v>231</v>
      </c>
      <c r="F105" s="1119"/>
      <c r="G105" s="382"/>
      <c r="H105" s="251"/>
    </row>
    <row r="106" spans="1:11" ht="15" customHeight="1" x14ac:dyDescent="0.3">
      <c r="A106" s="289"/>
      <c r="B106" s="287" t="s">
        <v>232</v>
      </c>
      <c r="C106" s="288"/>
      <c r="D106" s="256"/>
      <c r="E106" s="340" t="s">
        <v>163</v>
      </c>
      <c r="F106" s="340" t="s">
        <v>165</v>
      </c>
      <c r="G106" s="382"/>
      <c r="H106" s="251"/>
    </row>
    <row r="107" spans="1:11" x14ac:dyDescent="0.3">
      <c r="A107" s="289"/>
      <c r="B107" s="383" t="str">
        <f>CONCATENATE(,"NOF @ 6 kg/m² ")</f>
        <v xml:space="preserve">NOF @ 6 kg/m² </v>
      </c>
      <c r="C107" s="288">
        <v>2</v>
      </c>
      <c r="D107" s="256">
        <v>6</v>
      </c>
      <c r="E107" s="384">
        <v>10</v>
      </c>
      <c r="F107" s="1026">
        <v>29.5</v>
      </c>
      <c r="G107" s="1029">
        <f>C107*D107*E107*F107</f>
        <v>3540</v>
      </c>
      <c r="H107" s="251" t="s">
        <v>233</v>
      </c>
      <c r="I107" s="233">
        <f>G107/1000</f>
        <v>3.54</v>
      </c>
    </row>
    <row r="108" spans="1:11" x14ac:dyDescent="0.3">
      <c r="A108" s="289"/>
      <c r="B108" s="287" t="s">
        <v>234</v>
      </c>
      <c r="C108" s="288">
        <v>11</v>
      </c>
      <c r="D108" s="255">
        <v>6</v>
      </c>
      <c r="E108" s="384">
        <v>18.05</v>
      </c>
      <c r="F108" s="1026">
        <v>32</v>
      </c>
      <c r="G108" s="1029">
        <f t="shared" ref="G108:G114" si="2">C108*D108*E108*F108</f>
        <v>38121.599999999999</v>
      </c>
      <c r="H108" s="251" t="s">
        <v>233</v>
      </c>
      <c r="I108" s="233">
        <f t="shared" ref="I108:I115" si="3">G108/1000</f>
        <v>38.121600000000001</v>
      </c>
      <c r="J108" s="386">
        <f>G71+G93+G95</f>
        <v>27995.662500000002</v>
      </c>
      <c r="K108" s="233">
        <f>J108*17</f>
        <v>475926.26250000001</v>
      </c>
    </row>
    <row r="109" spans="1:11" x14ac:dyDescent="0.3">
      <c r="A109" s="289"/>
      <c r="B109" s="287" t="s">
        <v>660</v>
      </c>
      <c r="C109" s="288">
        <v>11</v>
      </c>
      <c r="D109" s="1025">
        <v>15</v>
      </c>
      <c r="E109" s="384">
        <f>E108</f>
        <v>18.05</v>
      </c>
      <c r="F109" s="1024">
        <v>49.2</v>
      </c>
      <c r="G109" s="1029">
        <f t="shared" si="2"/>
        <v>146529.9</v>
      </c>
      <c r="H109" s="1023" t="s">
        <v>233</v>
      </c>
      <c r="I109" s="233">
        <f t="shared" si="3"/>
        <v>146.5299</v>
      </c>
      <c r="J109" s="386"/>
    </row>
    <row r="110" spans="1:11" x14ac:dyDescent="0.3">
      <c r="A110" s="289"/>
      <c r="B110" s="287" t="s">
        <v>661</v>
      </c>
      <c r="C110" s="288">
        <v>2</v>
      </c>
      <c r="D110" s="1025">
        <v>6</v>
      </c>
      <c r="E110" s="384">
        <f>D20/2</f>
        <v>3.8</v>
      </c>
      <c r="F110" s="1024">
        <v>20</v>
      </c>
      <c r="G110" s="1029">
        <f t="shared" si="2"/>
        <v>911.99999999999989</v>
      </c>
      <c r="H110" s="1023" t="s">
        <v>233</v>
      </c>
      <c r="I110" s="233">
        <f t="shared" si="3"/>
        <v>0.91199999999999992</v>
      </c>
      <c r="J110" s="386"/>
    </row>
    <row r="111" spans="1:11" x14ac:dyDescent="0.3">
      <c r="A111" s="289"/>
      <c r="B111" s="287" t="s">
        <v>664</v>
      </c>
      <c r="C111" s="288">
        <v>2</v>
      </c>
      <c r="D111" s="1025">
        <v>6</v>
      </c>
      <c r="E111" s="384">
        <f>D19/2</f>
        <v>8.5</v>
      </c>
      <c r="F111" s="1024">
        <v>23.9</v>
      </c>
      <c r="G111" s="1029">
        <f t="shared" si="2"/>
        <v>2437.7999999999997</v>
      </c>
      <c r="H111" s="1023" t="s">
        <v>233</v>
      </c>
      <c r="I111" s="233">
        <f t="shared" ref="I111" si="4">G111/1000</f>
        <v>2.4377999999999997</v>
      </c>
      <c r="J111" s="386"/>
    </row>
    <row r="112" spans="1:11" hidden="1" x14ac:dyDescent="0.3">
      <c r="A112" s="289"/>
      <c r="B112" s="287" t="s">
        <v>665</v>
      </c>
      <c r="C112" s="288">
        <v>2</v>
      </c>
      <c r="D112" s="1025">
        <v>6</v>
      </c>
      <c r="E112" s="384">
        <v>1</v>
      </c>
      <c r="F112" s="1024">
        <v>0</v>
      </c>
      <c r="G112" s="1029">
        <f t="shared" si="2"/>
        <v>0</v>
      </c>
      <c r="H112" s="1023" t="s">
        <v>233</v>
      </c>
      <c r="I112" s="233">
        <f t="shared" ref="I112" si="5">G112/1000</f>
        <v>0</v>
      </c>
      <c r="J112" s="386"/>
    </row>
    <row r="113" spans="1:10" ht="16.2" x14ac:dyDescent="0.3">
      <c r="A113" s="289"/>
      <c r="B113" s="287" t="s">
        <v>662</v>
      </c>
      <c r="C113" s="288">
        <v>12</v>
      </c>
      <c r="D113" s="1025">
        <v>100</v>
      </c>
      <c r="E113" s="384">
        <v>3.8</v>
      </c>
      <c r="F113" s="1024">
        <v>298.33999999999997</v>
      </c>
      <c r="G113" s="1029">
        <f t="shared" si="2"/>
        <v>1360430.4</v>
      </c>
      <c r="H113" s="1023" t="s">
        <v>233</v>
      </c>
      <c r="I113" s="233">
        <f t="shared" si="3"/>
        <v>1360.4304</v>
      </c>
      <c r="J113" s="386"/>
    </row>
    <row r="114" spans="1:10" ht="16.2" x14ac:dyDescent="0.3">
      <c r="A114" s="289"/>
      <c r="B114" s="287" t="s">
        <v>663</v>
      </c>
      <c r="C114" s="288">
        <v>11</v>
      </c>
      <c r="D114" s="1025">
        <v>120</v>
      </c>
      <c r="E114" s="384">
        <v>18.05</v>
      </c>
      <c r="F114" s="1024">
        <v>3.4</v>
      </c>
      <c r="G114" s="1029">
        <f t="shared" si="2"/>
        <v>81008.399999999994</v>
      </c>
      <c r="H114" s="1023" t="s">
        <v>233</v>
      </c>
      <c r="I114" s="233">
        <f t="shared" si="3"/>
        <v>81.008399999999995</v>
      </c>
    </row>
    <row r="115" spans="1:10" x14ac:dyDescent="0.3">
      <c r="A115" s="289"/>
      <c r="B115" s="287" t="s">
        <v>235</v>
      </c>
      <c r="C115" s="288"/>
      <c r="D115" s="255"/>
      <c r="E115" s="1120"/>
      <c r="F115" s="1121"/>
      <c r="G115" s="385"/>
      <c r="H115" s="251"/>
      <c r="I115" s="233">
        <f t="shared" si="3"/>
        <v>0</v>
      </c>
    </row>
    <row r="116" spans="1:10" x14ac:dyDescent="0.3">
      <c r="A116" s="387"/>
      <c r="B116" s="332"/>
      <c r="C116" s="333"/>
      <c r="D116" s="334"/>
      <c r="E116" s="334"/>
      <c r="F116" s="334" t="s">
        <v>15</v>
      </c>
      <c r="G116" s="335">
        <f>SUM(G107:G115)</f>
        <v>1632980.0999999999</v>
      </c>
      <c r="H116" s="334" t="s">
        <v>233</v>
      </c>
      <c r="I116" s="233">
        <f t="shared" ref="I116" si="6">G116/1000</f>
        <v>1632.9800999999998</v>
      </c>
    </row>
    <row r="117" spans="1:10" ht="158.4" x14ac:dyDescent="0.3">
      <c r="A117" s="253">
        <f>MAX($A$24:A116)+1</f>
        <v>19</v>
      </c>
      <c r="B117" s="287" t="str">
        <f>'Abt (3)'!B30</f>
        <v>Providing and fixing in position 1mm thick and 355 mm wide annealed copper sealing strips In contraction joints, including bending to specified shape and providing butt joints with overlap of 50 mm and 10 mm dia. M. S. anchor rods of 600 mm length at 900 mm centre to centre alternately on both sides, Including welding and brazing of anchor bars and joints, etc. complete in all
respect</v>
      </c>
      <c r="C117" s="388"/>
      <c r="D117" s="388"/>
      <c r="E117" s="388"/>
      <c r="F117" s="388"/>
      <c r="G117" s="388"/>
      <c r="H117" s="388"/>
    </row>
    <row r="118" spans="1:10" x14ac:dyDescent="0.3">
      <c r="A118" s="295" t="s">
        <v>13</v>
      </c>
      <c r="B118" s="292" t="s">
        <v>236</v>
      </c>
      <c r="C118" s="313">
        <v>4</v>
      </c>
      <c r="D118" s="291" t="s">
        <v>89</v>
      </c>
      <c r="E118" s="291" t="s">
        <v>89</v>
      </c>
      <c r="F118" s="314">
        <v>23</v>
      </c>
      <c r="G118" s="314">
        <f>C118*F118</f>
        <v>92</v>
      </c>
      <c r="H118" s="291" t="s">
        <v>237</v>
      </c>
    </row>
    <row r="119" spans="1:10" x14ac:dyDescent="0.3">
      <c r="A119" s="300" t="s">
        <v>14</v>
      </c>
      <c r="B119" s="298" t="s">
        <v>238</v>
      </c>
      <c r="C119" s="307">
        <v>24</v>
      </c>
      <c r="D119" s="300" t="s">
        <v>89</v>
      </c>
      <c r="E119" s="300" t="s">
        <v>89</v>
      </c>
      <c r="F119" s="344">
        <v>4</v>
      </c>
      <c r="G119" s="344">
        <f>C119*F119</f>
        <v>96</v>
      </c>
      <c r="H119" s="300" t="s">
        <v>237</v>
      </c>
      <c r="J119" s="233">
        <f>153/15</f>
        <v>10.199999999999999</v>
      </c>
    </row>
    <row r="120" spans="1:10" x14ac:dyDescent="0.3">
      <c r="A120" s="387"/>
      <c r="B120" s="332" t="s">
        <v>239</v>
      </c>
      <c r="C120" s="333"/>
      <c r="D120" s="334"/>
      <c r="E120" s="334"/>
      <c r="F120" s="334"/>
      <c r="G120" s="335">
        <f>SUM(G118:G119)</f>
        <v>188</v>
      </c>
      <c r="H120" s="334" t="s">
        <v>237</v>
      </c>
    </row>
    <row r="121" spans="1:10" ht="72" x14ac:dyDescent="0.3">
      <c r="A121" s="253">
        <f>MAX($A$24:A120)+1</f>
        <v>20</v>
      </c>
      <c r="B121" s="280" t="s">
        <v>240</v>
      </c>
      <c r="C121" s="388"/>
      <c r="D121" s="388"/>
      <c r="E121" s="388"/>
      <c r="F121" s="388"/>
      <c r="G121" s="388"/>
      <c r="H121" s="388"/>
    </row>
    <row r="122" spans="1:10" ht="26.4" x14ac:dyDescent="0.3">
      <c r="A122" s="387" t="s">
        <v>13</v>
      </c>
      <c r="B122" s="332" t="s">
        <v>241</v>
      </c>
      <c r="C122" s="333"/>
      <c r="D122" s="334"/>
      <c r="E122" s="334"/>
      <c r="F122" s="334"/>
      <c r="G122" s="335">
        <f>5*16*180*2</f>
        <v>28800</v>
      </c>
      <c r="H122" s="334" t="s">
        <v>64</v>
      </c>
    </row>
    <row r="126" spans="1:10" x14ac:dyDescent="0.3">
      <c r="E126" s="389"/>
    </row>
    <row r="127" spans="1:10" x14ac:dyDescent="0.3">
      <c r="E127" s="389"/>
    </row>
    <row r="128" spans="1:10" x14ac:dyDescent="0.3">
      <c r="E128" s="389"/>
    </row>
  </sheetData>
  <customSheetViews>
    <customSheetView guid="{5161B42F-120B-436B-80F4-9BB578173AD5}" scale="85" fitToPage="1" hiddenRows="1" topLeftCell="A115">
      <selection activeCell="C114" sqref="C114"/>
      <rowBreaks count="1" manualBreakCount="1">
        <brk id="117" max="7" man="1"/>
      </rowBreaks>
      <pageMargins left="0.70866141732283472" right="0.70866141732283472" top="0.74803149606299213" bottom="0.35433070866141736" header="0.31496062992125984" footer="0.31496062992125984"/>
      <printOptions horizontalCentered="1" verticalCentered="1"/>
      <pageSetup paperSize="9" scale="95" fitToHeight="0" orientation="portrait" blackAndWhite="1" r:id="rId1"/>
      <headerFooter alignWithMargins="0"/>
    </customSheetView>
  </customSheetViews>
  <mergeCells count="66">
    <mergeCell ref="D28:F28"/>
    <mergeCell ref="A1:H1"/>
    <mergeCell ref="F2:H2"/>
    <mergeCell ref="A3:H3"/>
    <mergeCell ref="A4:H4"/>
    <mergeCell ref="A5:H5"/>
    <mergeCell ref="A6:H6"/>
    <mergeCell ref="A9:A23"/>
    <mergeCell ref="D23:F23"/>
    <mergeCell ref="D24:F24"/>
    <mergeCell ref="D26:F26"/>
    <mergeCell ref="D27:F27"/>
    <mergeCell ref="E44:F44"/>
    <mergeCell ref="D30:F30"/>
    <mergeCell ref="G30:G35"/>
    <mergeCell ref="H30:H35"/>
    <mergeCell ref="D31:F31"/>
    <mergeCell ref="D32:F32"/>
    <mergeCell ref="D33:F33"/>
    <mergeCell ref="D34:F34"/>
    <mergeCell ref="D35:F35"/>
    <mergeCell ref="D36:F36"/>
    <mergeCell ref="D37:F37"/>
    <mergeCell ref="E40:F40"/>
    <mergeCell ref="D41:F41"/>
    <mergeCell ref="E43:F43"/>
    <mergeCell ref="E60:F60"/>
    <mergeCell ref="E45:F45"/>
    <mergeCell ref="E46:F46"/>
    <mergeCell ref="E48:F48"/>
    <mergeCell ref="E49:F49"/>
    <mergeCell ref="E50:F50"/>
    <mergeCell ref="E52:F52"/>
    <mergeCell ref="E53:F53"/>
    <mergeCell ref="D55:E55"/>
    <mergeCell ref="E56:F56"/>
    <mergeCell ref="E57:F57"/>
    <mergeCell ref="E58:F58"/>
    <mergeCell ref="E89:F89"/>
    <mergeCell ref="E75:F75"/>
    <mergeCell ref="D62:E62"/>
    <mergeCell ref="D63:E63"/>
    <mergeCell ref="E64:F64"/>
    <mergeCell ref="E65:F65"/>
    <mergeCell ref="E66:F66"/>
    <mergeCell ref="E67:F67"/>
    <mergeCell ref="E68:F68"/>
    <mergeCell ref="E69:F69"/>
    <mergeCell ref="E71:F71"/>
    <mergeCell ref="E73:F73"/>
    <mergeCell ref="E74:F74"/>
    <mergeCell ref="D83:E83"/>
    <mergeCell ref="E84:F84"/>
    <mergeCell ref="E85:F85"/>
    <mergeCell ref="E87:F87"/>
    <mergeCell ref="E88:F88"/>
    <mergeCell ref="E76:F76"/>
    <mergeCell ref="E77:F77"/>
    <mergeCell ref="E78:F78"/>
    <mergeCell ref="E81:F81"/>
    <mergeCell ref="E82:F82"/>
    <mergeCell ref="E102:F102"/>
    <mergeCell ref="D104:F104"/>
    <mergeCell ref="E105:F105"/>
    <mergeCell ref="E115:F115"/>
    <mergeCell ref="E91:F91"/>
  </mergeCells>
  <printOptions horizontalCentered="1"/>
  <pageMargins left="0.7" right="0.7" top="0.75" bottom="0.75" header="0.3" footer="0.3"/>
  <pageSetup paperSize="9" scale="95" fitToHeight="0" orientation="portrait" blackAndWhite="1" r:id="rId2"/>
  <headerFooter alignWithMargins="0"/>
  <rowBreaks count="3" manualBreakCount="3">
    <brk id="97" max="7" man="1"/>
    <brk id="116" max="7" man="1"/>
    <brk id="123" max="7" man="1"/>
  </rowBreaks>
  <drawing r:id="rId3"/>
  <legacyDrawing r:id="rId4"/>
  <oleObjects>
    <mc:AlternateContent xmlns:mc="http://schemas.openxmlformats.org/markup-compatibility/2006">
      <mc:Choice Requires="x14">
        <oleObject progId="StaticDib" shapeId="2049" r:id="rId5">
          <objectPr defaultSize="0" autoPict="0" r:id="rId6">
            <anchor moveWithCells="1">
              <from>
                <xdr:col>9</xdr:col>
                <xdr:colOff>60960</xdr:colOff>
                <xdr:row>103</xdr:row>
                <xdr:rowOff>304800</xdr:rowOff>
              </from>
              <to>
                <xdr:col>15</xdr:col>
                <xdr:colOff>480060</xdr:colOff>
                <xdr:row>104</xdr:row>
                <xdr:rowOff>60960</xdr:rowOff>
              </to>
            </anchor>
          </objectPr>
        </oleObject>
      </mc:Choice>
      <mc:Fallback>
        <oleObject progId="StaticDib" shapeId="2049"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38"/>
  <sheetViews>
    <sheetView view="pageBreakPreview" zoomScale="55" zoomScaleNormal="55" zoomScaleSheetLayoutView="55" workbookViewId="0">
      <selection sqref="A1:P1"/>
    </sheetView>
  </sheetViews>
  <sheetFormatPr defaultRowHeight="14.4" x14ac:dyDescent="0.3"/>
  <cols>
    <col min="1" max="1" width="23.109375" customWidth="1"/>
    <col min="2" max="2" width="8.6640625" customWidth="1"/>
    <col min="3" max="3" width="10.44140625" customWidth="1"/>
  </cols>
  <sheetData>
    <row r="1" spans="1:16" ht="15" thickBot="1" x14ac:dyDescent="0.35">
      <c r="A1" s="1189" t="str">
        <f>CONCATENATE("CONCRETE QUANTITY ESTIMATION OF ",'Cover Page'!A18:I18)</f>
        <v>CONCRETE QUANTITY ESTIMATION OF ROSHNABAD BARRAGE</v>
      </c>
      <c r="B1" s="1190"/>
      <c r="C1" s="1190"/>
      <c r="D1" s="1190"/>
      <c r="E1" s="1190"/>
      <c r="F1" s="1190"/>
      <c r="G1" s="1190"/>
      <c r="H1" s="1190"/>
      <c r="I1" s="1190"/>
      <c r="J1" s="1190"/>
      <c r="K1" s="1190"/>
      <c r="L1" s="1190"/>
      <c r="M1" s="1190"/>
      <c r="N1" s="1190"/>
      <c r="O1" s="1190"/>
      <c r="P1" s="1191"/>
    </row>
    <row r="2" spans="1:16" x14ac:dyDescent="0.3">
      <c r="A2" s="390"/>
      <c r="B2" s="1192"/>
      <c r="C2" s="1193"/>
      <c r="D2" s="1194"/>
      <c r="E2" s="1195" t="s">
        <v>168</v>
      </c>
      <c r="F2" s="1196"/>
      <c r="G2" s="1196"/>
      <c r="H2" s="1196"/>
      <c r="I2" s="1196"/>
      <c r="J2" s="1197"/>
      <c r="K2" s="1195" t="s">
        <v>22</v>
      </c>
      <c r="L2" s="1196"/>
      <c r="M2" s="1196"/>
      <c r="N2" s="1196"/>
      <c r="O2" s="1196"/>
      <c r="P2" s="1197"/>
    </row>
    <row r="3" spans="1:16" x14ac:dyDescent="0.3">
      <c r="A3" s="391" t="s">
        <v>242</v>
      </c>
      <c r="B3" s="392" t="s">
        <v>243</v>
      </c>
      <c r="C3" s="393" t="s">
        <v>244</v>
      </c>
      <c r="D3" s="394" t="s">
        <v>190</v>
      </c>
      <c r="E3" s="395" t="s">
        <v>245</v>
      </c>
      <c r="F3" s="396" t="s">
        <v>246</v>
      </c>
      <c r="G3" s="396" t="s">
        <v>247</v>
      </c>
      <c r="H3" s="396" t="s">
        <v>248</v>
      </c>
      <c r="I3" s="396" t="s">
        <v>249</v>
      </c>
      <c r="J3" s="397" t="s">
        <v>655</v>
      </c>
      <c r="K3" s="395" t="s">
        <v>245</v>
      </c>
      <c r="L3" s="396" t="s">
        <v>246</v>
      </c>
      <c r="M3" s="396" t="s">
        <v>247</v>
      </c>
      <c r="N3" s="396" t="s">
        <v>248</v>
      </c>
      <c r="O3" s="396" t="s">
        <v>249</v>
      </c>
      <c r="P3" s="397" t="s">
        <v>655</v>
      </c>
    </row>
    <row r="4" spans="1:16" x14ac:dyDescent="0.3">
      <c r="A4" s="391" t="s">
        <v>202</v>
      </c>
      <c r="B4" s="398">
        <v>1510</v>
      </c>
      <c r="C4" s="399">
        <f>B4+5</f>
        <v>1515</v>
      </c>
      <c r="D4" s="400">
        <f>C4-B4</f>
        <v>5</v>
      </c>
      <c r="E4" s="395">
        <v>102</v>
      </c>
      <c r="F4" s="396">
        <v>0</v>
      </c>
      <c r="G4" s="393"/>
      <c r="H4" s="393"/>
      <c r="I4" s="393"/>
      <c r="J4" s="394"/>
      <c r="K4" s="392">
        <f>E4*D4</f>
        <v>510</v>
      </c>
      <c r="L4" s="393" t="str">
        <f t="shared" ref="L4:L32" si="0">IF(F4&gt;0,D4*F4,"")</f>
        <v/>
      </c>
      <c r="M4" s="393" t="str">
        <f t="shared" ref="M4:M32" si="1">IF(G4&gt;0,D4*G4,"")</f>
        <v/>
      </c>
      <c r="N4" s="393" t="str">
        <f t="shared" ref="N4:N20" si="2">IF(H4&gt;0,D4*H4,"")</f>
        <v/>
      </c>
      <c r="O4" s="393" t="str">
        <f t="shared" ref="O4:O30" si="3">IF(I4&gt;0,D4*I4,"")</f>
        <v/>
      </c>
      <c r="P4" s="394" t="str">
        <f t="shared" ref="P4:P30" si="4">IF(J4&gt;0,D4*J4,"")</f>
        <v/>
      </c>
    </row>
    <row r="5" spans="1:16" x14ac:dyDescent="0.3">
      <c r="A5" s="391" t="s">
        <v>250</v>
      </c>
      <c r="B5" s="398">
        <f>C4</f>
        <v>1515</v>
      </c>
      <c r="C5" s="399">
        <f>B5+10</f>
        <v>1525</v>
      </c>
      <c r="D5" s="400">
        <f>C5-B5</f>
        <v>10</v>
      </c>
      <c r="E5" s="395">
        <v>373.77</v>
      </c>
      <c r="F5" s="396">
        <v>90.94</v>
      </c>
      <c r="G5" s="393"/>
      <c r="H5" s="393"/>
      <c r="I5" s="393"/>
      <c r="J5" s="394"/>
      <c r="K5" s="392">
        <f t="shared" ref="K5:K32" si="5">IF(E5&gt;0,D5*E5,"")</f>
        <v>3737.7</v>
      </c>
      <c r="L5" s="393">
        <f t="shared" si="0"/>
        <v>909.4</v>
      </c>
      <c r="M5" s="393" t="str">
        <f t="shared" si="1"/>
        <v/>
      </c>
      <c r="N5" s="393" t="str">
        <f t="shared" si="2"/>
        <v/>
      </c>
      <c r="O5" s="393" t="str">
        <f t="shared" si="3"/>
        <v/>
      </c>
      <c r="P5" s="394" t="str">
        <f t="shared" si="4"/>
        <v/>
      </c>
    </row>
    <row r="6" spans="1:16" hidden="1" x14ac:dyDescent="0.3">
      <c r="A6" s="391" t="s">
        <v>250</v>
      </c>
      <c r="B6" s="401">
        <v>0</v>
      </c>
      <c r="C6" s="402">
        <v>0</v>
      </c>
      <c r="D6" s="400">
        <f t="shared" ref="D6:D30" si="6">C6-B6</f>
        <v>0</v>
      </c>
      <c r="E6" s="392"/>
      <c r="F6" s="393"/>
      <c r="G6" s="393"/>
      <c r="H6" s="393"/>
      <c r="I6" s="393"/>
      <c r="J6" s="394"/>
      <c r="K6" s="392" t="str">
        <f t="shared" si="5"/>
        <v/>
      </c>
      <c r="L6" s="393" t="str">
        <f t="shared" si="0"/>
        <v/>
      </c>
      <c r="M6" s="393" t="str">
        <f t="shared" si="1"/>
        <v/>
      </c>
      <c r="N6" s="393" t="str">
        <f t="shared" si="2"/>
        <v/>
      </c>
      <c r="O6" s="393" t="str">
        <f t="shared" si="3"/>
        <v/>
      </c>
      <c r="P6" s="394" t="str">
        <f t="shared" si="4"/>
        <v/>
      </c>
    </row>
    <row r="7" spans="1:16" hidden="1" x14ac:dyDescent="0.3">
      <c r="A7" s="391" t="s">
        <v>250</v>
      </c>
      <c r="B7" s="401">
        <v>0</v>
      </c>
      <c r="C7" s="402">
        <v>0</v>
      </c>
      <c r="D7" s="400">
        <f t="shared" si="6"/>
        <v>0</v>
      </c>
      <c r="E7" s="392"/>
      <c r="F7" s="393"/>
      <c r="G7" s="393"/>
      <c r="H7" s="393"/>
      <c r="I7" s="393"/>
      <c r="J7" s="394"/>
      <c r="K7" s="392" t="str">
        <f t="shared" si="5"/>
        <v/>
      </c>
      <c r="L7" s="393" t="str">
        <f t="shared" si="0"/>
        <v/>
      </c>
      <c r="M7" s="393" t="str">
        <f t="shared" si="1"/>
        <v/>
      </c>
      <c r="N7" s="393" t="str">
        <f t="shared" si="2"/>
        <v/>
      </c>
      <c r="O7" s="393" t="str">
        <f t="shared" si="3"/>
        <v/>
      </c>
      <c r="P7" s="394" t="str">
        <f t="shared" si="4"/>
        <v/>
      </c>
    </row>
    <row r="8" spans="1:16" hidden="1" x14ac:dyDescent="0.3">
      <c r="A8" s="391" t="s">
        <v>250</v>
      </c>
      <c r="B8" s="401">
        <v>0</v>
      </c>
      <c r="C8" s="402">
        <v>0</v>
      </c>
      <c r="D8" s="400">
        <f t="shared" si="6"/>
        <v>0</v>
      </c>
      <c r="E8" s="392"/>
      <c r="F8" s="393"/>
      <c r="G8" s="393"/>
      <c r="H8" s="393"/>
      <c r="I8" s="393"/>
      <c r="J8" s="394"/>
      <c r="K8" s="392" t="str">
        <f t="shared" si="5"/>
        <v/>
      </c>
      <c r="L8" s="393" t="str">
        <f t="shared" si="0"/>
        <v/>
      </c>
      <c r="M8" s="393" t="str">
        <f t="shared" si="1"/>
        <v/>
      </c>
      <c r="N8" s="393" t="str">
        <f t="shared" si="2"/>
        <v/>
      </c>
      <c r="O8" s="393" t="str">
        <f t="shared" si="3"/>
        <v/>
      </c>
      <c r="P8" s="394" t="str">
        <f t="shared" si="4"/>
        <v/>
      </c>
    </row>
    <row r="9" spans="1:16" hidden="1" x14ac:dyDescent="0.3">
      <c r="A9" s="391" t="s">
        <v>250</v>
      </c>
      <c r="B9" s="401">
        <v>0</v>
      </c>
      <c r="C9" s="402">
        <v>0</v>
      </c>
      <c r="D9" s="400">
        <f t="shared" si="6"/>
        <v>0</v>
      </c>
      <c r="E9" s="392"/>
      <c r="F9" s="393"/>
      <c r="G9" s="393"/>
      <c r="H9" s="393"/>
      <c r="I9" s="393"/>
      <c r="J9" s="394"/>
      <c r="K9" s="392" t="str">
        <f t="shared" si="5"/>
        <v/>
      </c>
      <c r="L9" s="393" t="str">
        <f t="shared" si="0"/>
        <v/>
      </c>
      <c r="M9" s="393" t="str">
        <f t="shared" si="1"/>
        <v/>
      </c>
      <c r="N9" s="393" t="str">
        <f t="shared" si="2"/>
        <v/>
      </c>
      <c r="O9" s="393" t="str">
        <f t="shared" si="3"/>
        <v/>
      </c>
      <c r="P9" s="394" t="str">
        <f t="shared" si="4"/>
        <v/>
      </c>
    </row>
    <row r="10" spans="1:16" x14ac:dyDescent="0.3">
      <c r="A10" s="391" t="s">
        <v>251</v>
      </c>
      <c r="B10" s="401">
        <f>C5</f>
        <v>1525</v>
      </c>
      <c r="C10" s="402">
        <v>1720</v>
      </c>
      <c r="D10" s="400">
        <f t="shared" si="6"/>
        <v>195</v>
      </c>
      <c r="E10" s="392">
        <v>137.15</v>
      </c>
      <c r="F10" s="393">
        <v>56.2</v>
      </c>
      <c r="G10" s="393">
        <v>33.65</v>
      </c>
      <c r="H10" s="393"/>
      <c r="I10" s="393">
        <v>5.56</v>
      </c>
      <c r="J10" s="394"/>
      <c r="K10" s="392">
        <f t="shared" si="5"/>
        <v>26744.25</v>
      </c>
      <c r="L10" s="393">
        <f t="shared" si="0"/>
        <v>10959</v>
      </c>
      <c r="M10" s="393">
        <f t="shared" si="1"/>
        <v>6561.75</v>
      </c>
      <c r="N10" s="393" t="str">
        <f t="shared" si="2"/>
        <v/>
      </c>
      <c r="O10" s="393">
        <f t="shared" si="3"/>
        <v>1084.1999999999998</v>
      </c>
      <c r="P10" s="394" t="str">
        <f t="shared" si="4"/>
        <v/>
      </c>
    </row>
    <row r="11" spans="1:16" hidden="1" x14ac:dyDescent="0.3">
      <c r="A11" s="391" t="s">
        <v>251</v>
      </c>
      <c r="B11" s="401">
        <v>225</v>
      </c>
      <c r="C11" s="402">
        <v>333</v>
      </c>
      <c r="D11" s="400">
        <f t="shared" si="6"/>
        <v>108</v>
      </c>
      <c r="E11" s="392"/>
      <c r="F11" s="393">
        <v>0</v>
      </c>
      <c r="G11" s="393"/>
      <c r="H11" s="393"/>
      <c r="I11" s="393">
        <v>0</v>
      </c>
      <c r="J11" s="394"/>
      <c r="K11" s="392" t="str">
        <f t="shared" si="5"/>
        <v/>
      </c>
      <c r="L11" s="393" t="str">
        <f t="shared" si="0"/>
        <v/>
      </c>
      <c r="M11" s="393" t="str">
        <f t="shared" si="1"/>
        <v/>
      </c>
      <c r="N11" s="393" t="str">
        <f t="shared" si="2"/>
        <v/>
      </c>
      <c r="O11" s="393" t="str">
        <f t="shared" si="3"/>
        <v/>
      </c>
      <c r="P11" s="394" t="str">
        <f t="shared" si="4"/>
        <v/>
      </c>
    </row>
    <row r="12" spans="1:16" hidden="1" x14ac:dyDescent="0.3">
      <c r="A12" s="391" t="s">
        <v>251</v>
      </c>
      <c r="B12" s="401">
        <v>772</v>
      </c>
      <c r="C12" s="402">
        <v>825</v>
      </c>
      <c r="D12" s="400">
        <f t="shared" si="6"/>
        <v>53</v>
      </c>
      <c r="E12" s="392"/>
      <c r="F12" s="393"/>
      <c r="G12" s="393"/>
      <c r="H12" s="393"/>
      <c r="I12" s="393"/>
      <c r="J12" s="394"/>
      <c r="K12" s="392" t="str">
        <f t="shared" si="5"/>
        <v/>
      </c>
      <c r="L12" s="393" t="str">
        <f t="shared" si="0"/>
        <v/>
      </c>
      <c r="M12" s="393" t="str">
        <f t="shared" si="1"/>
        <v/>
      </c>
      <c r="N12" s="393" t="str">
        <f t="shared" si="2"/>
        <v/>
      </c>
      <c r="O12" s="393" t="str">
        <f t="shared" si="3"/>
        <v/>
      </c>
      <c r="P12" s="394" t="str">
        <f t="shared" si="4"/>
        <v/>
      </c>
    </row>
    <row r="13" spans="1:16" hidden="1" x14ac:dyDescent="0.3">
      <c r="A13" s="391" t="s">
        <v>251</v>
      </c>
      <c r="B13" s="401">
        <v>825</v>
      </c>
      <c r="C13" s="402">
        <v>879</v>
      </c>
      <c r="D13" s="400">
        <f t="shared" si="6"/>
        <v>54</v>
      </c>
      <c r="E13" s="392"/>
      <c r="F13" s="393"/>
      <c r="G13" s="393"/>
      <c r="H13" s="393"/>
      <c r="I13" s="393"/>
      <c r="J13" s="394"/>
      <c r="K13" s="392" t="str">
        <f t="shared" si="5"/>
        <v/>
      </c>
      <c r="L13" s="393" t="str">
        <f t="shared" si="0"/>
        <v/>
      </c>
      <c r="M13" s="393" t="str">
        <f t="shared" si="1"/>
        <v/>
      </c>
      <c r="N13" s="393" t="str">
        <f t="shared" si="2"/>
        <v/>
      </c>
      <c r="O13" s="393" t="str">
        <f t="shared" si="3"/>
        <v/>
      </c>
      <c r="P13" s="394" t="str">
        <f t="shared" si="4"/>
        <v/>
      </c>
    </row>
    <row r="14" spans="1:16" x14ac:dyDescent="0.3">
      <c r="A14" s="391" t="s">
        <v>252</v>
      </c>
      <c r="B14" s="401">
        <f>B10</f>
        <v>1525</v>
      </c>
      <c r="C14" s="402">
        <f>C10</f>
        <v>1720</v>
      </c>
      <c r="D14" s="400">
        <f>C14-B14</f>
        <v>195</v>
      </c>
      <c r="E14" s="392"/>
      <c r="F14" s="393">
        <f>10*1.53</f>
        <v>15.3</v>
      </c>
      <c r="G14" s="393"/>
      <c r="H14" s="393"/>
      <c r="I14" s="393"/>
      <c r="J14" s="394"/>
      <c r="K14" s="392">
        <f>E14*B14</f>
        <v>0</v>
      </c>
      <c r="L14" s="393">
        <f t="shared" si="0"/>
        <v>2983.5</v>
      </c>
      <c r="M14" s="393" t="str">
        <f t="shared" si="1"/>
        <v/>
      </c>
      <c r="N14" s="393" t="str">
        <f t="shared" si="2"/>
        <v/>
      </c>
      <c r="O14" s="393" t="str">
        <f t="shared" si="3"/>
        <v/>
      </c>
      <c r="P14" s="394" t="str">
        <f t="shared" si="4"/>
        <v/>
      </c>
    </row>
    <row r="15" spans="1:16" ht="27.6" customHeight="1" x14ac:dyDescent="0.3">
      <c r="A15" s="403" t="s">
        <v>253</v>
      </c>
      <c r="B15" s="401">
        <f>C14</f>
        <v>1720</v>
      </c>
      <c r="C15" s="402">
        <f>B15+47</f>
        <v>1767</v>
      </c>
      <c r="D15" s="400">
        <f t="shared" si="6"/>
        <v>47</v>
      </c>
      <c r="E15" s="392">
        <v>0</v>
      </c>
      <c r="F15" s="393">
        <v>0</v>
      </c>
      <c r="G15" s="393"/>
      <c r="H15" s="393"/>
      <c r="I15" s="393"/>
      <c r="J15" s="394"/>
      <c r="K15" s="392" t="str">
        <f t="shared" si="5"/>
        <v/>
      </c>
      <c r="L15" s="393" t="str">
        <f t="shared" si="0"/>
        <v/>
      </c>
      <c r="M15" s="393" t="str">
        <f t="shared" si="1"/>
        <v/>
      </c>
      <c r="N15" s="393" t="str">
        <f t="shared" si="2"/>
        <v/>
      </c>
      <c r="O15" s="393" t="str">
        <f t="shared" si="3"/>
        <v/>
      </c>
      <c r="P15" s="394" t="str">
        <f t="shared" si="4"/>
        <v/>
      </c>
    </row>
    <row r="16" spans="1:16" hidden="1" x14ac:dyDescent="0.3">
      <c r="A16" s="391" t="s">
        <v>250</v>
      </c>
      <c r="B16" s="392">
        <v>929</v>
      </c>
      <c r="C16" s="393">
        <v>979</v>
      </c>
      <c r="D16" s="400">
        <f t="shared" si="6"/>
        <v>50</v>
      </c>
      <c r="E16" s="392"/>
      <c r="F16" s="393"/>
      <c r="G16" s="393"/>
      <c r="H16" s="393"/>
      <c r="I16" s="393"/>
      <c r="J16" s="394"/>
      <c r="K16" s="392" t="str">
        <f t="shared" si="5"/>
        <v/>
      </c>
      <c r="L16" s="393" t="str">
        <f t="shared" si="0"/>
        <v/>
      </c>
      <c r="M16" s="393" t="str">
        <f t="shared" si="1"/>
        <v/>
      </c>
      <c r="N16" s="393" t="str">
        <f t="shared" si="2"/>
        <v/>
      </c>
      <c r="O16" s="393" t="str">
        <f t="shared" si="3"/>
        <v/>
      </c>
      <c r="P16" s="394" t="str">
        <f t="shared" si="4"/>
        <v/>
      </c>
    </row>
    <row r="17" spans="1:16" hidden="1" x14ac:dyDescent="0.3">
      <c r="A17" s="391" t="s">
        <v>250</v>
      </c>
      <c r="B17" s="392">
        <v>979</v>
      </c>
      <c r="C17" s="393">
        <v>3690</v>
      </c>
      <c r="D17" s="400">
        <f t="shared" si="6"/>
        <v>2711</v>
      </c>
      <c r="E17" s="392"/>
      <c r="F17" s="393"/>
      <c r="G17" s="393"/>
      <c r="H17" s="393"/>
      <c r="I17" s="393"/>
      <c r="J17" s="394"/>
      <c r="K17" s="392" t="str">
        <f t="shared" si="5"/>
        <v/>
      </c>
      <c r="L17" s="393" t="str">
        <f t="shared" si="0"/>
        <v/>
      </c>
      <c r="M17" s="393" t="str">
        <f t="shared" si="1"/>
        <v/>
      </c>
      <c r="N17" s="393" t="str">
        <f t="shared" si="2"/>
        <v/>
      </c>
      <c r="O17" s="393" t="str">
        <f t="shared" si="3"/>
        <v/>
      </c>
      <c r="P17" s="394" t="str">
        <f t="shared" si="4"/>
        <v/>
      </c>
    </row>
    <row r="18" spans="1:16" x14ac:dyDescent="0.3">
      <c r="A18" s="391" t="s">
        <v>202</v>
      </c>
      <c r="B18" s="398">
        <f>C15</f>
        <v>1767</v>
      </c>
      <c r="C18" s="399">
        <f>B18+5</f>
        <v>1772</v>
      </c>
      <c r="D18" s="400">
        <f>C18-B18</f>
        <v>5</v>
      </c>
      <c r="E18" s="395">
        <f>E4</f>
        <v>102</v>
      </c>
      <c r="F18" s="396"/>
      <c r="G18" s="393"/>
      <c r="H18" s="393"/>
      <c r="I18" s="393"/>
      <c r="J18" s="394"/>
      <c r="K18" s="392">
        <f t="shared" si="5"/>
        <v>510</v>
      </c>
      <c r="L18" s="393" t="str">
        <f t="shared" si="0"/>
        <v/>
      </c>
      <c r="M18" s="393" t="str">
        <f t="shared" si="1"/>
        <v/>
      </c>
      <c r="N18" s="393" t="str">
        <f t="shared" si="2"/>
        <v/>
      </c>
      <c r="O18" s="393" t="str">
        <f t="shared" si="3"/>
        <v/>
      </c>
      <c r="P18" s="394" t="str">
        <f t="shared" si="4"/>
        <v/>
      </c>
    </row>
    <row r="19" spans="1:16" x14ac:dyDescent="0.3">
      <c r="A19" s="391" t="s">
        <v>254</v>
      </c>
      <c r="B19" s="392">
        <v>12</v>
      </c>
      <c r="C19" s="393"/>
      <c r="D19" s="400">
        <v>3.8</v>
      </c>
      <c r="E19" s="392"/>
      <c r="F19" s="393"/>
      <c r="G19" s="393">
        <v>300.33999999999997</v>
      </c>
      <c r="H19" s="393"/>
      <c r="I19" s="393"/>
      <c r="J19" s="394"/>
      <c r="K19" s="392" t="str">
        <f t="shared" si="5"/>
        <v/>
      </c>
      <c r="L19" s="393" t="str">
        <f t="shared" si="0"/>
        <v/>
      </c>
      <c r="M19" s="393">
        <f>IF(G19&gt;0,D19*G19,"")*B19</f>
        <v>13695.503999999999</v>
      </c>
      <c r="N19" s="393" t="str">
        <f t="shared" si="2"/>
        <v/>
      </c>
      <c r="O19" s="393" t="str">
        <f t="shared" si="3"/>
        <v/>
      </c>
      <c r="P19" s="394" t="str">
        <f t="shared" si="4"/>
        <v/>
      </c>
    </row>
    <row r="20" spans="1:16" hidden="1" x14ac:dyDescent="0.3">
      <c r="A20" s="391" t="s">
        <v>254</v>
      </c>
      <c r="B20" s="392">
        <v>0</v>
      </c>
      <c r="C20" s="393"/>
      <c r="D20" s="400">
        <f>B20*3</f>
        <v>0</v>
      </c>
      <c r="E20" s="392"/>
      <c r="F20" s="393"/>
      <c r="G20" s="393"/>
      <c r="H20" s="393"/>
      <c r="I20" s="393"/>
      <c r="J20" s="394"/>
      <c r="K20" s="392" t="str">
        <f t="shared" si="5"/>
        <v/>
      </c>
      <c r="L20" s="393" t="str">
        <f t="shared" si="0"/>
        <v/>
      </c>
      <c r="M20" s="393" t="str">
        <f t="shared" si="1"/>
        <v/>
      </c>
      <c r="N20" s="393" t="str">
        <f t="shared" si="2"/>
        <v/>
      </c>
      <c r="O20" s="393" t="str">
        <f t="shared" si="3"/>
        <v/>
      </c>
      <c r="P20" s="394" t="str">
        <f t="shared" si="4"/>
        <v/>
      </c>
    </row>
    <row r="21" spans="1:16" x14ac:dyDescent="0.3">
      <c r="A21" s="391" t="s">
        <v>668</v>
      </c>
      <c r="B21" s="392">
        <v>0</v>
      </c>
      <c r="C21" s="393">
        <v>38.700000000000003</v>
      </c>
      <c r="D21" s="400">
        <f>C21-B21</f>
        <v>38.700000000000003</v>
      </c>
      <c r="E21" s="392">
        <v>224.25</v>
      </c>
      <c r="F21" s="393">
        <v>24.4</v>
      </c>
      <c r="G21" s="393"/>
      <c r="H21" s="393"/>
      <c r="I21" s="393"/>
      <c r="J21" s="394"/>
      <c r="K21" s="392">
        <f>IF(E21&gt;0,D21*E21,"")*0.6</f>
        <v>5207.085</v>
      </c>
      <c r="L21" s="393">
        <f>IF(F21&gt;0,D21*F21,"")*0.6</f>
        <v>566.56799999999998</v>
      </c>
      <c r="M21" s="393" t="str">
        <f t="shared" si="1"/>
        <v/>
      </c>
      <c r="N21" s="393" t="str">
        <f>IF(H21&gt;0,D21*H21,"")</f>
        <v/>
      </c>
      <c r="O21" s="393" t="str">
        <f t="shared" si="3"/>
        <v/>
      </c>
      <c r="P21" s="394" t="str">
        <f t="shared" si="4"/>
        <v/>
      </c>
    </row>
    <row r="22" spans="1:16" x14ac:dyDescent="0.3">
      <c r="A22" s="391" t="s">
        <v>669</v>
      </c>
      <c r="B22" s="392">
        <v>0</v>
      </c>
      <c r="C22" s="393">
        <v>21.5</v>
      </c>
      <c r="D22" s="400">
        <f>C22-B22</f>
        <v>21.5</v>
      </c>
      <c r="E22" s="392">
        <f>E21</f>
        <v>224.25</v>
      </c>
      <c r="F22" s="393">
        <f>F21</f>
        <v>24.4</v>
      </c>
      <c r="G22" s="393"/>
      <c r="H22" s="393"/>
      <c r="I22" s="393"/>
      <c r="J22" s="394"/>
      <c r="K22" s="392">
        <f>IF(E22&gt;0,D22*E22,"")*0.6</f>
        <v>2892.8249999999998</v>
      </c>
      <c r="L22" s="393">
        <f>IF(F22&gt;0,D22*F22,"")*0.6</f>
        <v>314.76</v>
      </c>
      <c r="M22" s="393" t="str">
        <f t="shared" si="1"/>
        <v/>
      </c>
      <c r="N22" s="393" t="str">
        <f>IF(H22&gt;0,D22*H22,"")</f>
        <v/>
      </c>
      <c r="O22" s="393" t="str">
        <f t="shared" si="3"/>
        <v/>
      </c>
      <c r="P22" s="394" t="str">
        <f t="shared" si="4"/>
        <v/>
      </c>
    </row>
    <row r="23" spans="1:16" x14ac:dyDescent="0.3">
      <c r="A23" s="391" t="s">
        <v>670</v>
      </c>
      <c r="B23" s="392">
        <v>0</v>
      </c>
      <c r="C23" s="393">
        <v>56.5</v>
      </c>
      <c r="D23" s="400">
        <f t="shared" si="6"/>
        <v>56.5</v>
      </c>
      <c r="E23" s="392">
        <v>154.65</v>
      </c>
      <c r="F23" s="393">
        <v>20.5</v>
      </c>
      <c r="G23" s="393"/>
      <c r="H23" s="393"/>
      <c r="I23" s="393"/>
      <c r="J23" s="394"/>
      <c r="K23" s="392">
        <f>IF(E23&gt;0,D23*E23,"")*0.6</f>
        <v>5242.6350000000002</v>
      </c>
      <c r="L23" s="393">
        <f>IF(F23&gt;0,D23*F23,"")*0.6</f>
        <v>694.94999999999993</v>
      </c>
      <c r="M23" s="393" t="str">
        <f t="shared" si="1"/>
        <v/>
      </c>
      <c r="N23" s="393" t="str">
        <f>IF(H23&gt;0,D23*H23,"")</f>
        <v/>
      </c>
      <c r="O23" s="393" t="str">
        <f t="shared" si="3"/>
        <v/>
      </c>
      <c r="P23" s="394" t="str">
        <f t="shared" si="4"/>
        <v/>
      </c>
    </row>
    <row r="24" spans="1:16" x14ac:dyDescent="0.3">
      <c r="A24" s="391" t="s">
        <v>671</v>
      </c>
      <c r="B24" s="392">
        <v>0</v>
      </c>
      <c r="C24" s="393">
        <f>C23</f>
        <v>56.5</v>
      </c>
      <c r="D24" s="400">
        <f t="shared" si="6"/>
        <v>56.5</v>
      </c>
      <c r="E24" s="392">
        <f>E23</f>
        <v>154.65</v>
      </c>
      <c r="F24" s="393">
        <f>F23</f>
        <v>20.5</v>
      </c>
      <c r="G24" s="393"/>
      <c r="H24" s="393"/>
      <c r="I24" s="393"/>
      <c r="J24" s="394"/>
      <c r="K24" s="392">
        <f>IF(E24&gt;0,D24*E24,"")*0.6</f>
        <v>5242.6350000000002</v>
      </c>
      <c r="L24" s="393">
        <f>IF(F24&gt;0,D24*F24,"")*0.6</f>
        <v>694.94999999999993</v>
      </c>
      <c r="M24" s="393" t="str">
        <f t="shared" si="1"/>
        <v/>
      </c>
      <c r="N24" s="393" t="str">
        <f>IF(H24&gt;0,D24*H24,"")</f>
        <v/>
      </c>
      <c r="O24" s="393" t="str">
        <f t="shared" si="3"/>
        <v/>
      </c>
      <c r="P24" s="394" t="str">
        <f t="shared" si="4"/>
        <v/>
      </c>
    </row>
    <row r="25" spans="1:16" ht="16.2" customHeight="1" x14ac:dyDescent="0.3">
      <c r="A25" s="391" t="s">
        <v>666</v>
      </c>
      <c r="B25" s="392">
        <v>0</v>
      </c>
      <c r="C25" s="393">
        <f>D10</f>
        <v>195</v>
      </c>
      <c r="D25" s="400">
        <f t="shared" si="6"/>
        <v>195</v>
      </c>
      <c r="E25" s="392"/>
      <c r="F25" s="393"/>
      <c r="G25" s="393"/>
      <c r="H25" s="393">
        <v>102.15</v>
      </c>
      <c r="I25" s="393">
        <v>32.65</v>
      </c>
      <c r="J25" s="394"/>
      <c r="K25" s="392" t="str">
        <f t="shared" si="5"/>
        <v/>
      </c>
      <c r="L25" s="393" t="str">
        <f t="shared" si="0"/>
        <v/>
      </c>
      <c r="M25" s="393" t="str">
        <f t="shared" si="1"/>
        <v/>
      </c>
      <c r="N25" s="393">
        <f>IF(H25&gt;0,D25*H25,"")</f>
        <v>19919.25</v>
      </c>
      <c r="O25" s="393">
        <f t="shared" si="3"/>
        <v>6366.75</v>
      </c>
      <c r="P25" s="394" t="str">
        <f t="shared" si="4"/>
        <v/>
      </c>
    </row>
    <row r="26" spans="1:16" ht="2.4" customHeight="1" x14ac:dyDescent="0.3">
      <c r="A26" s="391" t="s">
        <v>255</v>
      </c>
      <c r="B26" s="392">
        <v>0</v>
      </c>
      <c r="C26" s="393">
        <v>684</v>
      </c>
      <c r="D26" s="400">
        <f t="shared" si="6"/>
        <v>684</v>
      </c>
      <c r="E26" s="392"/>
      <c r="F26" s="393"/>
      <c r="G26" s="393"/>
      <c r="H26" s="393"/>
      <c r="I26" s="393"/>
      <c r="J26" s="394"/>
      <c r="K26" s="392" t="str">
        <f t="shared" si="5"/>
        <v/>
      </c>
      <c r="L26" s="393" t="str">
        <f t="shared" si="0"/>
        <v/>
      </c>
      <c r="M26" s="393" t="str">
        <f t="shared" si="1"/>
        <v/>
      </c>
      <c r="N26" s="393" t="str">
        <f t="shared" ref="N26:N28" si="7">IF(H26&gt;0,D26*H26,"")</f>
        <v/>
      </c>
      <c r="O26" s="393" t="str">
        <f t="shared" si="3"/>
        <v/>
      </c>
      <c r="P26" s="394" t="str">
        <f t="shared" si="4"/>
        <v/>
      </c>
    </row>
    <row r="27" spans="1:16" ht="0.6" customHeight="1" x14ac:dyDescent="0.3">
      <c r="A27" s="391" t="s">
        <v>256</v>
      </c>
      <c r="B27" s="392">
        <v>0</v>
      </c>
      <c r="C27" s="393">
        <f>C25</f>
        <v>195</v>
      </c>
      <c r="D27" s="400">
        <f t="shared" si="6"/>
        <v>195</v>
      </c>
      <c r="E27" s="392"/>
      <c r="F27" s="393"/>
      <c r="G27" s="393"/>
      <c r="H27" s="393">
        <v>0</v>
      </c>
      <c r="I27" s="393">
        <f>0.1*H27</f>
        <v>0</v>
      </c>
      <c r="J27" s="394"/>
      <c r="K27" s="392" t="str">
        <f t="shared" si="5"/>
        <v/>
      </c>
      <c r="L27" s="393" t="str">
        <f t="shared" si="0"/>
        <v/>
      </c>
      <c r="M27" s="393" t="str">
        <f t="shared" si="1"/>
        <v/>
      </c>
      <c r="N27" s="393" t="str">
        <f t="shared" si="7"/>
        <v/>
      </c>
      <c r="O27" s="393" t="str">
        <f t="shared" si="3"/>
        <v/>
      </c>
      <c r="P27" s="394" t="str">
        <f t="shared" si="4"/>
        <v/>
      </c>
    </row>
    <row r="28" spans="1:16" hidden="1" x14ac:dyDescent="0.3">
      <c r="A28" s="391" t="s">
        <v>257</v>
      </c>
      <c r="B28" s="392">
        <v>0</v>
      </c>
      <c r="C28" s="393">
        <v>684</v>
      </c>
      <c r="D28" s="400">
        <f t="shared" si="6"/>
        <v>684</v>
      </c>
      <c r="E28" s="392"/>
      <c r="F28" s="393"/>
      <c r="G28" s="393"/>
      <c r="H28" s="393"/>
      <c r="I28" s="393"/>
      <c r="J28" s="394"/>
      <c r="K28" s="392" t="str">
        <f t="shared" si="5"/>
        <v/>
      </c>
      <c r="L28" s="393" t="str">
        <f t="shared" si="0"/>
        <v/>
      </c>
      <c r="M28" s="393" t="str">
        <f t="shared" si="1"/>
        <v/>
      </c>
      <c r="N28" s="393" t="str">
        <f t="shared" si="7"/>
        <v/>
      </c>
      <c r="O28" s="393" t="str">
        <f t="shared" si="3"/>
        <v/>
      </c>
      <c r="P28" s="394" t="str">
        <f t="shared" si="4"/>
        <v/>
      </c>
    </row>
    <row r="29" spans="1:16" x14ac:dyDescent="0.3">
      <c r="A29" s="391" t="s">
        <v>258</v>
      </c>
      <c r="B29" s="392">
        <v>0</v>
      </c>
      <c r="C29" s="393">
        <f>C27</f>
        <v>195</v>
      </c>
      <c r="D29" s="400">
        <f t="shared" si="6"/>
        <v>195</v>
      </c>
      <c r="E29" s="392"/>
      <c r="F29" s="393"/>
      <c r="G29" s="393"/>
      <c r="H29" s="393">
        <v>0</v>
      </c>
      <c r="I29" s="393"/>
      <c r="J29" s="394"/>
      <c r="K29" s="392" t="str">
        <f t="shared" si="5"/>
        <v/>
      </c>
      <c r="L29" s="393" t="str">
        <f t="shared" si="0"/>
        <v/>
      </c>
      <c r="M29" s="393" t="str">
        <f t="shared" si="1"/>
        <v/>
      </c>
      <c r="N29" s="393" t="str">
        <f>IF(H29&gt;0,D29*H29,"")</f>
        <v/>
      </c>
      <c r="O29" s="393" t="str">
        <f t="shared" si="3"/>
        <v/>
      </c>
      <c r="P29" s="394" t="str">
        <f t="shared" si="4"/>
        <v/>
      </c>
    </row>
    <row r="30" spans="1:16" ht="28.8" x14ac:dyDescent="0.3">
      <c r="A30" s="403" t="s">
        <v>259</v>
      </c>
      <c r="B30" s="404">
        <v>0</v>
      </c>
      <c r="C30" s="1028">
        <f>C29</f>
        <v>195</v>
      </c>
      <c r="D30" s="400">
        <f t="shared" si="6"/>
        <v>195</v>
      </c>
      <c r="E30" s="392"/>
      <c r="F30" s="393"/>
      <c r="G30" s="393"/>
      <c r="H30" s="393"/>
      <c r="I30" s="405"/>
      <c r="J30" s="394">
        <v>1.8</v>
      </c>
      <c r="K30" s="392" t="str">
        <f t="shared" si="5"/>
        <v/>
      </c>
      <c r="L30" s="393" t="str">
        <f t="shared" si="0"/>
        <v/>
      </c>
      <c r="M30" s="393" t="str">
        <f t="shared" si="1"/>
        <v/>
      </c>
      <c r="N30" s="393" t="str">
        <f>IF(H30&gt;0,D30*H30,"")</f>
        <v/>
      </c>
      <c r="O30" s="393" t="str">
        <f t="shared" si="3"/>
        <v/>
      </c>
      <c r="P30" s="394">
        <f t="shared" si="4"/>
        <v>351</v>
      </c>
    </row>
    <row r="31" spans="1:16" x14ac:dyDescent="0.3">
      <c r="A31" s="391" t="s">
        <v>260</v>
      </c>
      <c r="B31" s="392">
        <v>3</v>
      </c>
      <c r="C31" s="393">
        <f>C30</f>
        <v>195</v>
      </c>
      <c r="D31" s="400">
        <f>C31</f>
        <v>195</v>
      </c>
      <c r="E31" s="392"/>
      <c r="F31" s="393"/>
      <c r="G31" s="393"/>
      <c r="H31" s="393"/>
      <c r="I31" s="393">
        <v>0</v>
      </c>
      <c r="J31" s="393">
        <v>0.62</v>
      </c>
      <c r="K31" s="392" t="str">
        <f t="shared" si="5"/>
        <v/>
      </c>
      <c r="L31" s="393" t="str">
        <f t="shared" si="0"/>
        <v/>
      </c>
      <c r="M31" s="393" t="str">
        <f t="shared" si="1"/>
        <v/>
      </c>
      <c r="N31" s="393" t="str">
        <f>IF(H31&gt;0,D31*H31,"")</f>
        <v/>
      </c>
      <c r="O31" s="393" t="str">
        <f>IF(I31&gt;0,D31*B31*I31,"")</f>
        <v/>
      </c>
      <c r="P31" s="394">
        <f>IF(J31&gt;0,D31*J31,"")</f>
        <v>120.9</v>
      </c>
    </row>
    <row r="32" spans="1:16" x14ac:dyDescent="0.3">
      <c r="A32" s="391" t="s">
        <v>672</v>
      </c>
      <c r="B32" s="392"/>
      <c r="C32" s="393">
        <f>C30</f>
        <v>195</v>
      </c>
      <c r="D32" s="397">
        <f>D31</f>
        <v>195</v>
      </c>
      <c r="E32" s="392"/>
      <c r="F32" s="393"/>
      <c r="G32" s="393"/>
      <c r="H32" s="393"/>
      <c r="I32" s="393">
        <v>0</v>
      </c>
      <c r="J32" s="393">
        <v>0.78749999999999998</v>
      </c>
      <c r="K32" s="392" t="str">
        <f t="shared" si="5"/>
        <v/>
      </c>
      <c r="L32" s="393" t="str">
        <f t="shared" si="0"/>
        <v/>
      </c>
      <c r="M32" s="393" t="str">
        <f t="shared" si="1"/>
        <v/>
      </c>
      <c r="N32" s="393" t="str">
        <f>IF(H32&gt;0,D32*H32,"")</f>
        <v/>
      </c>
      <c r="O32" s="393" t="str">
        <f>IF(I32&gt;0,D32*I32,"")</f>
        <v/>
      </c>
      <c r="P32" s="394">
        <f>J32*C32</f>
        <v>153.5625</v>
      </c>
    </row>
    <row r="33" spans="1:17" ht="15" thickBot="1" x14ac:dyDescent="0.35">
      <c r="A33" s="1198" t="s">
        <v>261</v>
      </c>
      <c r="B33" s="1199"/>
      <c r="C33" s="1199"/>
      <c r="D33" s="1199"/>
      <c r="E33" s="1199"/>
      <c r="F33" s="1199"/>
      <c r="G33" s="1199"/>
      <c r="H33" s="1199"/>
      <c r="I33" s="1199"/>
      <c r="J33" s="1200"/>
      <c r="K33" s="406">
        <f>SUM(K4:K32)</f>
        <v>50087.130000000005</v>
      </c>
      <c r="L33" s="407">
        <f t="shared" ref="L33:P33" si="8">SUM(L4:L32)</f>
        <v>17123.128000000001</v>
      </c>
      <c r="M33" s="407">
        <f t="shared" si="8"/>
        <v>20257.254000000001</v>
      </c>
      <c r="N33" s="407">
        <f t="shared" si="8"/>
        <v>19919.25</v>
      </c>
      <c r="O33" s="407">
        <f t="shared" si="8"/>
        <v>7450.95</v>
      </c>
      <c r="P33" s="408">
        <f t="shared" si="8"/>
        <v>625.46249999999998</v>
      </c>
      <c r="Q33" s="1034">
        <f>SUM(K33:P33)</f>
        <v>115463.17449999999</v>
      </c>
    </row>
    <row r="34" spans="1:17" x14ac:dyDescent="0.3">
      <c r="K34" t="s">
        <v>262</v>
      </c>
      <c r="L34" t="s">
        <v>263</v>
      </c>
      <c r="M34" t="s">
        <v>263</v>
      </c>
      <c r="N34" t="s">
        <v>263</v>
      </c>
      <c r="O34" t="s">
        <v>264</v>
      </c>
      <c r="P34" t="s">
        <v>265</v>
      </c>
    </row>
    <row r="37" spans="1:17" x14ac:dyDescent="0.3">
      <c r="F37">
        <v>390</v>
      </c>
      <c r="L37">
        <f>L33+M33+N33</f>
        <v>57299.631999999998</v>
      </c>
    </row>
    <row r="38" spans="1:17" x14ac:dyDescent="0.3">
      <c r="F38">
        <v>870</v>
      </c>
    </row>
  </sheetData>
  <customSheetViews>
    <customSheetView guid="{5161B42F-120B-436B-80F4-9BB578173AD5}" scale="60" showPageBreaks="1" fitToPage="1" printArea="1" hiddenRows="1" view="pageBreakPreview">
      <selection activeCell="J44" sqref="J44"/>
      <pageMargins left="0.7" right="0.7" top="0.75" bottom="0.75" header="0.3" footer="0.3"/>
      <printOptions horizontalCentered="1" verticalCentered="1"/>
      <pageSetup paperSize="9" scale="84" fitToHeight="0" orientation="landscape" r:id="rId1"/>
    </customSheetView>
  </customSheetViews>
  <mergeCells count="5">
    <mergeCell ref="A1:P1"/>
    <mergeCell ref="B2:D2"/>
    <mergeCell ref="E2:J2"/>
    <mergeCell ref="K2:P2"/>
    <mergeCell ref="A33:J33"/>
  </mergeCells>
  <printOptions horizontalCentered="1" verticalCentered="1"/>
  <pageMargins left="0.7" right="0.7" top="0.75" bottom="0.75" header="0.3" footer="0.3"/>
  <pageSetup paperSize="9" scale="83"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22"/>
  <sheetViews>
    <sheetView view="pageBreakPreview" zoomScale="55" zoomScaleNormal="100" zoomScaleSheetLayoutView="55" workbookViewId="0">
      <selection activeCell="A8" sqref="A8:XFD13"/>
    </sheetView>
  </sheetViews>
  <sheetFormatPr defaultColWidth="8.88671875" defaultRowHeight="14.4" x14ac:dyDescent="0.3"/>
  <cols>
    <col min="1" max="1" width="10.88671875" style="409" customWidth="1"/>
    <col min="2" max="2" width="9.5546875" style="409" customWidth="1"/>
    <col min="3" max="3" width="10.109375" style="409" customWidth="1"/>
    <col min="4" max="5" width="11.33203125" style="409" customWidth="1"/>
    <col min="6" max="8" width="12.109375" style="409" customWidth="1"/>
    <col min="9" max="9" width="14.109375" style="409" customWidth="1"/>
    <col min="10" max="10" width="13.109375" style="409" customWidth="1"/>
    <col min="11" max="11" width="13.44140625" style="409" customWidth="1"/>
    <col min="12" max="12" width="18.6640625" style="413" customWidth="1"/>
    <col min="13" max="13" width="8.88671875" style="409" customWidth="1"/>
    <col min="14" max="14" width="14.5546875" style="409" customWidth="1"/>
    <col min="15" max="18" width="8.88671875" style="409" customWidth="1"/>
    <col min="19" max="256" width="8.88671875" style="409"/>
    <col min="257" max="257" width="10.88671875" style="409" customWidth="1"/>
    <col min="258" max="258" width="9.5546875" style="409" customWidth="1"/>
    <col min="259" max="259" width="10.109375" style="409" customWidth="1"/>
    <col min="260" max="261" width="11.33203125" style="409" customWidth="1"/>
    <col min="262" max="264" width="12.109375" style="409" customWidth="1"/>
    <col min="265" max="265" width="14.109375" style="409" customWidth="1"/>
    <col min="266" max="266" width="13.109375" style="409" customWidth="1"/>
    <col min="267" max="267" width="13.44140625" style="409" customWidth="1"/>
    <col min="268" max="268" width="18.6640625" style="409" customWidth="1"/>
    <col min="269" max="512" width="8.88671875" style="409"/>
    <col min="513" max="513" width="10.88671875" style="409" customWidth="1"/>
    <col min="514" max="514" width="9.5546875" style="409" customWidth="1"/>
    <col min="515" max="515" width="10.109375" style="409" customWidth="1"/>
    <col min="516" max="517" width="11.33203125" style="409" customWidth="1"/>
    <col min="518" max="520" width="12.109375" style="409" customWidth="1"/>
    <col min="521" max="521" width="14.109375" style="409" customWidth="1"/>
    <col min="522" max="522" width="13.109375" style="409" customWidth="1"/>
    <col min="523" max="523" width="13.44140625" style="409" customWidth="1"/>
    <col min="524" max="524" width="18.6640625" style="409" customWidth="1"/>
    <col min="525" max="768" width="8.88671875" style="409"/>
    <col min="769" max="769" width="10.88671875" style="409" customWidth="1"/>
    <col min="770" max="770" width="9.5546875" style="409" customWidth="1"/>
    <col min="771" max="771" width="10.109375" style="409" customWidth="1"/>
    <col min="772" max="773" width="11.33203125" style="409" customWidth="1"/>
    <col min="774" max="776" width="12.109375" style="409" customWidth="1"/>
    <col min="777" max="777" width="14.109375" style="409" customWidth="1"/>
    <col min="778" max="778" width="13.109375" style="409" customWidth="1"/>
    <col min="779" max="779" width="13.44140625" style="409" customWidth="1"/>
    <col min="780" max="780" width="18.6640625" style="409" customWidth="1"/>
    <col min="781" max="1024" width="8.88671875" style="409"/>
    <col min="1025" max="1025" width="10.88671875" style="409" customWidth="1"/>
    <col min="1026" max="1026" width="9.5546875" style="409" customWidth="1"/>
    <col min="1027" max="1027" width="10.109375" style="409" customWidth="1"/>
    <col min="1028" max="1029" width="11.33203125" style="409" customWidth="1"/>
    <col min="1030" max="1032" width="12.109375" style="409" customWidth="1"/>
    <col min="1033" max="1033" width="14.109375" style="409" customWidth="1"/>
    <col min="1034" max="1034" width="13.109375" style="409" customWidth="1"/>
    <col min="1035" max="1035" width="13.44140625" style="409" customWidth="1"/>
    <col min="1036" max="1036" width="18.6640625" style="409" customWidth="1"/>
    <col min="1037" max="1280" width="8.88671875" style="409"/>
    <col min="1281" max="1281" width="10.88671875" style="409" customWidth="1"/>
    <col min="1282" max="1282" width="9.5546875" style="409" customWidth="1"/>
    <col min="1283" max="1283" width="10.109375" style="409" customWidth="1"/>
    <col min="1284" max="1285" width="11.33203125" style="409" customWidth="1"/>
    <col min="1286" max="1288" width="12.109375" style="409" customWidth="1"/>
    <col min="1289" max="1289" width="14.109375" style="409" customWidth="1"/>
    <col min="1290" max="1290" width="13.109375" style="409" customWidth="1"/>
    <col min="1291" max="1291" width="13.44140625" style="409" customWidth="1"/>
    <col min="1292" max="1292" width="18.6640625" style="409" customWidth="1"/>
    <col min="1293" max="1536" width="8.88671875" style="409"/>
    <col min="1537" max="1537" width="10.88671875" style="409" customWidth="1"/>
    <col min="1538" max="1538" width="9.5546875" style="409" customWidth="1"/>
    <col min="1539" max="1539" width="10.109375" style="409" customWidth="1"/>
    <col min="1540" max="1541" width="11.33203125" style="409" customWidth="1"/>
    <col min="1542" max="1544" width="12.109375" style="409" customWidth="1"/>
    <col min="1545" max="1545" width="14.109375" style="409" customWidth="1"/>
    <col min="1546" max="1546" width="13.109375" style="409" customWidth="1"/>
    <col min="1547" max="1547" width="13.44140625" style="409" customWidth="1"/>
    <col min="1548" max="1548" width="18.6640625" style="409" customWidth="1"/>
    <col min="1549" max="1792" width="8.88671875" style="409"/>
    <col min="1793" max="1793" width="10.88671875" style="409" customWidth="1"/>
    <col min="1794" max="1794" width="9.5546875" style="409" customWidth="1"/>
    <col min="1795" max="1795" width="10.109375" style="409" customWidth="1"/>
    <col min="1796" max="1797" width="11.33203125" style="409" customWidth="1"/>
    <col min="1798" max="1800" width="12.109375" style="409" customWidth="1"/>
    <col min="1801" max="1801" width="14.109375" style="409" customWidth="1"/>
    <col min="1802" max="1802" width="13.109375" style="409" customWidth="1"/>
    <col min="1803" max="1803" width="13.44140625" style="409" customWidth="1"/>
    <col min="1804" max="1804" width="18.6640625" style="409" customWidth="1"/>
    <col min="1805" max="2048" width="8.88671875" style="409"/>
    <col min="2049" max="2049" width="10.88671875" style="409" customWidth="1"/>
    <col min="2050" max="2050" width="9.5546875" style="409" customWidth="1"/>
    <col min="2051" max="2051" width="10.109375" style="409" customWidth="1"/>
    <col min="2052" max="2053" width="11.33203125" style="409" customWidth="1"/>
    <col min="2054" max="2056" width="12.109375" style="409" customWidth="1"/>
    <col min="2057" max="2057" width="14.109375" style="409" customWidth="1"/>
    <col min="2058" max="2058" width="13.109375" style="409" customWidth="1"/>
    <col min="2059" max="2059" width="13.44140625" style="409" customWidth="1"/>
    <col min="2060" max="2060" width="18.6640625" style="409" customWidth="1"/>
    <col min="2061" max="2304" width="8.88671875" style="409"/>
    <col min="2305" max="2305" width="10.88671875" style="409" customWidth="1"/>
    <col min="2306" max="2306" width="9.5546875" style="409" customWidth="1"/>
    <col min="2307" max="2307" width="10.109375" style="409" customWidth="1"/>
    <col min="2308" max="2309" width="11.33203125" style="409" customWidth="1"/>
    <col min="2310" max="2312" width="12.109375" style="409" customWidth="1"/>
    <col min="2313" max="2313" width="14.109375" style="409" customWidth="1"/>
    <col min="2314" max="2314" width="13.109375" style="409" customWidth="1"/>
    <col min="2315" max="2315" width="13.44140625" style="409" customWidth="1"/>
    <col min="2316" max="2316" width="18.6640625" style="409" customWidth="1"/>
    <col min="2317" max="2560" width="8.88671875" style="409"/>
    <col min="2561" max="2561" width="10.88671875" style="409" customWidth="1"/>
    <col min="2562" max="2562" width="9.5546875" style="409" customWidth="1"/>
    <col min="2563" max="2563" width="10.109375" style="409" customWidth="1"/>
    <col min="2564" max="2565" width="11.33203125" style="409" customWidth="1"/>
    <col min="2566" max="2568" width="12.109375" style="409" customWidth="1"/>
    <col min="2569" max="2569" width="14.109375" style="409" customWidth="1"/>
    <col min="2570" max="2570" width="13.109375" style="409" customWidth="1"/>
    <col min="2571" max="2571" width="13.44140625" style="409" customWidth="1"/>
    <col min="2572" max="2572" width="18.6640625" style="409" customWidth="1"/>
    <col min="2573" max="2816" width="8.88671875" style="409"/>
    <col min="2817" max="2817" width="10.88671875" style="409" customWidth="1"/>
    <col min="2818" max="2818" width="9.5546875" style="409" customWidth="1"/>
    <col min="2819" max="2819" width="10.109375" style="409" customWidth="1"/>
    <col min="2820" max="2821" width="11.33203125" style="409" customWidth="1"/>
    <col min="2822" max="2824" width="12.109375" style="409" customWidth="1"/>
    <col min="2825" max="2825" width="14.109375" style="409" customWidth="1"/>
    <col min="2826" max="2826" width="13.109375" style="409" customWidth="1"/>
    <col min="2827" max="2827" width="13.44140625" style="409" customWidth="1"/>
    <col min="2828" max="2828" width="18.6640625" style="409" customWidth="1"/>
    <col min="2829" max="3072" width="8.88671875" style="409"/>
    <col min="3073" max="3073" width="10.88671875" style="409" customWidth="1"/>
    <col min="3074" max="3074" width="9.5546875" style="409" customWidth="1"/>
    <col min="3075" max="3075" width="10.109375" style="409" customWidth="1"/>
    <col min="3076" max="3077" width="11.33203125" style="409" customWidth="1"/>
    <col min="3078" max="3080" width="12.109375" style="409" customWidth="1"/>
    <col min="3081" max="3081" width="14.109375" style="409" customWidth="1"/>
    <col min="3082" max="3082" width="13.109375" style="409" customWidth="1"/>
    <col min="3083" max="3083" width="13.44140625" style="409" customWidth="1"/>
    <col min="3084" max="3084" width="18.6640625" style="409" customWidth="1"/>
    <col min="3085" max="3328" width="8.88671875" style="409"/>
    <col min="3329" max="3329" width="10.88671875" style="409" customWidth="1"/>
    <col min="3330" max="3330" width="9.5546875" style="409" customWidth="1"/>
    <col min="3331" max="3331" width="10.109375" style="409" customWidth="1"/>
    <col min="3332" max="3333" width="11.33203125" style="409" customWidth="1"/>
    <col min="3334" max="3336" width="12.109375" style="409" customWidth="1"/>
    <col min="3337" max="3337" width="14.109375" style="409" customWidth="1"/>
    <col min="3338" max="3338" width="13.109375" style="409" customWidth="1"/>
    <col min="3339" max="3339" width="13.44140625" style="409" customWidth="1"/>
    <col min="3340" max="3340" width="18.6640625" style="409" customWidth="1"/>
    <col min="3341" max="3584" width="8.88671875" style="409"/>
    <col min="3585" max="3585" width="10.88671875" style="409" customWidth="1"/>
    <col min="3586" max="3586" width="9.5546875" style="409" customWidth="1"/>
    <col min="3587" max="3587" width="10.109375" style="409" customWidth="1"/>
    <col min="3588" max="3589" width="11.33203125" style="409" customWidth="1"/>
    <col min="3590" max="3592" width="12.109375" style="409" customWidth="1"/>
    <col min="3593" max="3593" width="14.109375" style="409" customWidth="1"/>
    <col min="3594" max="3594" width="13.109375" style="409" customWidth="1"/>
    <col min="3595" max="3595" width="13.44140625" style="409" customWidth="1"/>
    <col min="3596" max="3596" width="18.6640625" style="409" customWidth="1"/>
    <col min="3597" max="3840" width="8.88671875" style="409"/>
    <col min="3841" max="3841" width="10.88671875" style="409" customWidth="1"/>
    <col min="3842" max="3842" width="9.5546875" style="409" customWidth="1"/>
    <col min="3843" max="3843" width="10.109375" style="409" customWidth="1"/>
    <col min="3844" max="3845" width="11.33203125" style="409" customWidth="1"/>
    <col min="3846" max="3848" width="12.109375" style="409" customWidth="1"/>
    <col min="3849" max="3849" width="14.109375" style="409" customWidth="1"/>
    <col min="3850" max="3850" width="13.109375" style="409" customWidth="1"/>
    <col min="3851" max="3851" width="13.44140625" style="409" customWidth="1"/>
    <col min="3852" max="3852" width="18.6640625" style="409" customWidth="1"/>
    <col min="3853" max="4096" width="8.88671875" style="409"/>
    <col min="4097" max="4097" width="10.88671875" style="409" customWidth="1"/>
    <col min="4098" max="4098" width="9.5546875" style="409" customWidth="1"/>
    <col min="4099" max="4099" width="10.109375" style="409" customWidth="1"/>
    <col min="4100" max="4101" width="11.33203125" style="409" customWidth="1"/>
    <col min="4102" max="4104" width="12.109375" style="409" customWidth="1"/>
    <col min="4105" max="4105" width="14.109375" style="409" customWidth="1"/>
    <col min="4106" max="4106" width="13.109375" style="409" customWidth="1"/>
    <col min="4107" max="4107" width="13.44140625" style="409" customWidth="1"/>
    <col min="4108" max="4108" width="18.6640625" style="409" customWidth="1"/>
    <col min="4109" max="4352" width="8.88671875" style="409"/>
    <col min="4353" max="4353" width="10.88671875" style="409" customWidth="1"/>
    <col min="4354" max="4354" width="9.5546875" style="409" customWidth="1"/>
    <col min="4355" max="4355" width="10.109375" style="409" customWidth="1"/>
    <col min="4356" max="4357" width="11.33203125" style="409" customWidth="1"/>
    <col min="4358" max="4360" width="12.109375" style="409" customWidth="1"/>
    <col min="4361" max="4361" width="14.109375" style="409" customWidth="1"/>
    <col min="4362" max="4362" width="13.109375" style="409" customWidth="1"/>
    <col min="4363" max="4363" width="13.44140625" style="409" customWidth="1"/>
    <col min="4364" max="4364" width="18.6640625" style="409" customWidth="1"/>
    <col min="4365" max="4608" width="8.88671875" style="409"/>
    <col min="4609" max="4609" width="10.88671875" style="409" customWidth="1"/>
    <col min="4610" max="4610" width="9.5546875" style="409" customWidth="1"/>
    <col min="4611" max="4611" width="10.109375" style="409" customWidth="1"/>
    <col min="4612" max="4613" width="11.33203125" style="409" customWidth="1"/>
    <col min="4614" max="4616" width="12.109375" style="409" customWidth="1"/>
    <col min="4617" max="4617" width="14.109375" style="409" customWidth="1"/>
    <col min="4618" max="4618" width="13.109375" style="409" customWidth="1"/>
    <col min="4619" max="4619" width="13.44140625" style="409" customWidth="1"/>
    <col min="4620" max="4620" width="18.6640625" style="409" customWidth="1"/>
    <col min="4621" max="4864" width="8.88671875" style="409"/>
    <col min="4865" max="4865" width="10.88671875" style="409" customWidth="1"/>
    <col min="4866" max="4866" width="9.5546875" style="409" customWidth="1"/>
    <col min="4867" max="4867" width="10.109375" style="409" customWidth="1"/>
    <col min="4868" max="4869" width="11.33203125" style="409" customWidth="1"/>
    <col min="4870" max="4872" width="12.109375" style="409" customWidth="1"/>
    <col min="4873" max="4873" width="14.109375" style="409" customWidth="1"/>
    <col min="4874" max="4874" width="13.109375" style="409" customWidth="1"/>
    <col min="4875" max="4875" width="13.44140625" style="409" customWidth="1"/>
    <col min="4876" max="4876" width="18.6640625" style="409" customWidth="1"/>
    <col min="4877" max="5120" width="8.88671875" style="409"/>
    <col min="5121" max="5121" width="10.88671875" style="409" customWidth="1"/>
    <col min="5122" max="5122" width="9.5546875" style="409" customWidth="1"/>
    <col min="5123" max="5123" width="10.109375" style="409" customWidth="1"/>
    <col min="5124" max="5125" width="11.33203125" style="409" customWidth="1"/>
    <col min="5126" max="5128" width="12.109375" style="409" customWidth="1"/>
    <col min="5129" max="5129" width="14.109375" style="409" customWidth="1"/>
    <col min="5130" max="5130" width="13.109375" style="409" customWidth="1"/>
    <col min="5131" max="5131" width="13.44140625" style="409" customWidth="1"/>
    <col min="5132" max="5132" width="18.6640625" style="409" customWidth="1"/>
    <col min="5133" max="5376" width="8.88671875" style="409"/>
    <col min="5377" max="5377" width="10.88671875" style="409" customWidth="1"/>
    <col min="5378" max="5378" width="9.5546875" style="409" customWidth="1"/>
    <col min="5379" max="5379" width="10.109375" style="409" customWidth="1"/>
    <col min="5380" max="5381" width="11.33203125" style="409" customWidth="1"/>
    <col min="5382" max="5384" width="12.109375" style="409" customWidth="1"/>
    <col min="5385" max="5385" width="14.109375" style="409" customWidth="1"/>
    <col min="5386" max="5386" width="13.109375" style="409" customWidth="1"/>
    <col min="5387" max="5387" width="13.44140625" style="409" customWidth="1"/>
    <col min="5388" max="5388" width="18.6640625" style="409" customWidth="1"/>
    <col min="5389" max="5632" width="8.88671875" style="409"/>
    <col min="5633" max="5633" width="10.88671875" style="409" customWidth="1"/>
    <col min="5634" max="5634" width="9.5546875" style="409" customWidth="1"/>
    <col min="5635" max="5635" width="10.109375" style="409" customWidth="1"/>
    <col min="5636" max="5637" width="11.33203125" style="409" customWidth="1"/>
    <col min="5638" max="5640" width="12.109375" style="409" customWidth="1"/>
    <col min="5641" max="5641" width="14.109375" style="409" customWidth="1"/>
    <col min="5642" max="5642" width="13.109375" style="409" customWidth="1"/>
    <col min="5643" max="5643" width="13.44140625" style="409" customWidth="1"/>
    <col min="5644" max="5644" width="18.6640625" style="409" customWidth="1"/>
    <col min="5645" max="5888" width="8.88671875" style="409"/>
    <col min="5889" max="5889" width="10.88671875" style="409" customWidth="1"/>
    <col min="5890" max="5890" width="9.5546875" style="409" customWidth="1"/>
    <col min="5891" max="5891" width="10.109375" style="409" customWidth="1"/>
    <col min="5892" max="5893" width="11.33203125" style="409" customWidth="1"/>
    <col min="5894" max="5896" width="12.109375" style="409" customWidth="1"/>
    <col min="5897" max="5897" width="14.109375" style="409" customWidth="1"/>
    <col min="5898" max="5898" width="13.109375" style="409" customWidth="1"/>
    <col min="5899" max="5899" width="13.44140625" style="409" customWidth="1"/>
    <col min="5900" max="5900" width="18.6640625" style="409" customWidth="1"/>
    <col min="5901" max="6144" width="8.88671875" style="409"/>
    <col min="6145" max="6145" width="10.88671875" style="409" customWidth="1"/>
    <col min="6146" max="6146" width="9.5546875" style="409" customWidth="1"/>
    <col min="6147" max="6147" width="10.109375" style="409" customWidth="1"/>
    <col min="6148" max="6149" width="11.33203125" style="409" customWidth="1"/>
    <col min="6150" max="6152" width="12.109375" style="409" customWidth="1"/>
    <col min="6153" max="6153" width="14.109375" style="409" customWidth="1"/>
    <col min="6154" max="6154" width="13.109375" style="409" customWidth="1"/>
    <col min="6155" max="6155" width="13.44140625" style="409" customWidth="1"/>
    <col min="6156" max="6156" width="18.6640625" style="409" customWidth="1"/>
    <col min="6157" max="6400" width="8.88671875" style="409"/>
    <col min="6401" max="6401" width="10.88671875" style="409" customWidth="1"/>
    <col min="6402" max="6402" width="9.5546875" style="409" customWidth="1"/>
    <col min="6403" max="6403" width="10.109375" style="409" customWidth="1"/>
    <col min="6404" max="6405" width="11.33203125" style="409" customWidth="1"/>
    <col min="6406" max="6408" width="12.109375" style="409" customWidth="1"/>
    <col min="6409" max="6409" width="14.109375" style="409" customWidth="1"/>
    <col min="6410" max="6410" width="13.109375" style="409" customWidth="1"/>
    <col min="6411" max="6411" width="13.44140625" style="409" customWidth="1"/>
    <col min="6412" max="6412" width="18.6640625" style="409" customWidth="1"/>
    <col min="6413" max="6656" width="8.88671875" style="409"/>
    <col min="6657" max="6657" width="10.88671875" style="409" customWidth="1"/>
    <col min="6658" max="6658" width="9.5546875" style="409" customWidth="1"/>
    <col min="6659" max="6659" width="10.109375" style="409" customWidth="1"/>
    <col min="6660" max="6661" width="11.33203125" style="409" customWidth="1"/>
    <col min="6662" max="6664" width="12.109375" style="409" customWidth="1"/>
    <col min="6665" max="6665" width="14.109375" style="409" customWidth="1"/>
    <col min="6666" max="6666" width="13.109375" style="409" customWidth="1"/>
    <col min="6667" max="6667" width="13.44140625" style="409" customWidth="1"/>
    <col min="6668" max="6668" width="18.6640625" style="409" customWidth="1"/>
    <col min="6669" max="6912" width="8.88671875" style="409"/>
    <col min="6913" max="6913" width="10.88671875" style="409" customWidth="1"/>
    <col min="6914" max="6914" width="9.5546875" style="409" customWidth="1"/>
    <col min="6915" max="6915" width="10.109375" style="409" customWidth="1"/>
    <col min="6916" max="6917" width="11.33203125" style="409" customWidth="1"/>
    <col min="6918" max="6920" width="12.109375" style="409" customWidth="1"/>
    <col min="6921" max="6921" width="14.109375" style="409" customWidth="1"/>
    <col min="6922" max="6922" width="13.109375" style="409" customWidth="1"/>
    <col min="6923" max="6923" width="13.44140625" style="409" customWidth="1"/>
    <col min="6924" max="6924" width="18.6640625" style="409" customWidth="1"/>
    <col min="6925" max="7168" width="8.88671875" style="409"/>
    <col min="7169" max="7169" width="10.88671875" style="409" customWidth="1"/>
    <col min="7170" max="7170" width="9.5546875" style="409" customWidth="1"/>
    <col min="7171" max="7171" width="10.109375" style="409" customWidth="1"/>
    <col min="7172" max="7173" width="11.33203125" style="409" customWidth="1"/>
    <col min="7174" max="7176" width="12.109375" style="409" customWidth="1"/>
    <col min="7177" max="7177" width="14.109375" style="409" customWidth="1"/>
    <col min="7178" max="7178" width="13.109375" style="409" customWidth="1"/>
    <col min="7179" max="7179" width="13.44140625" style="409" customWidth="1"/>
    <col min="7180" max="7180" width="18.6640625" style="409" customWidth="1"/>
    <col min="7181" max="7424" width="8.88671875" style="409"/>
    <col min="7425" max="7425" width="10.88671875" style="409" customWidth="1"/>
    <col min="7426" max="7426" width="9.5546875" style="409" customWidth="1"/>
    <col min="7427" max="7427" width="10.109375" style="409" customWidth="1"/>
    <col min="7428" max="7429" width="11.33203125" style="409" customWidth="1"/>
    <col min="7430" max="7432" width="12.109375" style="409" customWidth="1"/>
    <col min="7433" max="7433" width="14.109375" style="409" customWidth="1"/>
    <col min="7434" max="7434" width="13.109375" style="409" customWidth="1"/>
    <col min="7435" max="7435" width="13.44140625" style="409" customWidth="1"/>
    <col min="7436" max="7436" width="18.6640625" style="409" customWidth="1"/>
    <col min="7437" max="7680" width="8.88671875" style="409"/>
    <col min="7681" max="7681" width="10.88671875" style="409" customWidth="1"/>
    <col min="7682" max="7682" width="9.5546875" style="409" customWidth="1"/>
    <col min="7683" max="7683" width="10.109375" style="409" customWidth="1"/>
    <col min="7684" max="7685" width="11.33203125" style="409" customWidth="1"/>
    <col min="7686" max="7688" width="12.109375" style="409" customWidth="1"/>
    <col min="7689" max="7689" width="14.109375" style="409" customWidth="1"/>
    <col min="7690" max="7690" width="13.109375" style="409" customWidth="1"/>
    <col min="7691" max="7691" width="13.44140625" style="409" customWidth="1"/>
    <col min="7692" max="7692" width="18.6640625" style="409" customWidth="1"/>
    <col min="7693" max="7936" width="8.88671875" style="409"/>
    <col min="7937" max="7937" width="10.88671875" style="409" customWidth="1"/>
    <col min="7938" max="7938" width="9.5546875" style="409" customWidth="1"/>
    <col min="7939" max="7939" width="10.109375" style="409" customWidth="1"/>
    <col min="7940" max="7941" width="11.33203125" style="409" customWidth="1"/>
    <col min="7942" max="7944" width="12.109375" style="409" customWidth="1"/>
    <col min="7945" max="7945" width="14.109375" style="409" customWidth="1"/>
    <col min="7946" max="7946" width="13.109375" style="409" customWidth="1"/>
    <col min="7947" max="7947" width="13.44140625" style="409" customWidth="1"/>
    <col min="7948" max="7948" width="18.6640625" style="409" customWidth="1"/>
    <col min="7949" max="8192" width="8.88671875" style="409"/>
    <col min="8193" max="8193" width="10.88671875" style="409" customWidth="1"/>
    <col min="8194" max="8194" width="9.5546875" style="409" customWidth="1"/>
    <col min="8195" max="8195" width="10.109375" style="409" customWidth="1"/>
    <col min="8196" max="8197" width="11.33203125" style="409" customWidth="1"/>
    <col min="8198" max="8200" width="12.109375" style="409" customWidth="1"/>
    <col min="8201" max="8201" width="14.109375" style="409" customWidth="1"/>
    <col min="8202" max="8202" width="13.109375" style="409" customWidth="1"/>
    <col min="8203" max="8203" width="13.44140625" style="409" customWidth="1"/>
    <col min="8204" max="8204" width="18.6640625" style="409" customWidth="1"/>
    <col min="8205" max="8448" width="8.88671875" style="409"/>
    <col min="8449" max="8449" width="10.88671875" style="409" customWidth="1"/>
    <col min="8450" max="8450" width="9.5546875" style="409" customWidth="1"/>
    <col min="8451" max="8451" width="10.109375" style="409" customWidth="1"/>
    <col min="8452" max="8453" width="11.33203125" style="409" customWidth="1"/>
    <col min="8454" max="8456" width="12.109375" style="409" customWidth="1"/>
    <col min="8457" max="8457" width="14.109375" style="409" customWidth="1"/>
    <col min="8458" max="8458" width="13.109375" style="409" customWidth="1"/>
    <col min="8459" max="8459" width="13.44140625" style="409" customWidth="1"/>
    <col min="8460" max="8460" width="18.6640625" style="409" customWidth="1"/>
    <col min="8461" max="8704" width="8.88671875" style="409"/>
    <col min="8705" max="8705" width="10.88671875" style="409" customWidth="1"/>
    <col min="8706" max="8706" width="9.5546875" style="409" customWidth="1"/>
    <col min="8707" max="8707" width="10.109375" style="409" customWidth="1"/>
    <col min="8708" max="8709" width="11.33203125" style="409" customWidth="1"/>
    <col min="8710" max="8712" width="12.109375" style="409" customWidth="1"/>
    <col min="8713" max="8713" width="14.109375" style="409" customWidth="1"/>
    <col min="8714" max="8714" width="13.109375" style="409" customWidth="1"/>
    <col min="8715" max="8715" width="13.44140625" style="409" customWidth="1"/>
    <col min="8716" max="8716" width="18.6640625" style="409" customWidth="1"/>
    <col min="8717" max="8960" width="8.88671875" style="409"/>
    <col min="8961" max="8961" width="10.88671875" style="409" customWidth="1"/>
    <col min="8962" max="8962" width="9.5546875" style="409" customWidth="1"/>
    <col min="8963" max="8963" width="10.109375" style="409" customWidth="1"/>
    <col min="8964" max="8965" width="11.33203125" style="409" customWidth="1"/>
    <col min="8966" max="8968" width="12.109375" style="409" customWidth="1"/>
    <col min="8969" max="8969" width="14.109375" style="409" customWidth="1"/>
    <col min="8970" max="8970" width="13.109375" style="409" customWidth="1"/>
    <col min="8971" max="8971" width="13.44140625" style="409" customWidth="1"/>
    <col min="8972" max="8972" width="18.6640625" style="409" customWidth="1"/>
    <col min="8973" max="9216" width="8.88671875" style="409"/>
    <col min="9217" max="9217" width="10.88671875" style="409" customWidth="1"/>
    <col min="9218" max="9218" width="9.5546875" style="409" customWidth="1"/>
    <col min="9219" max="9219" width="10.109375" style="409" customWidth="1"/>
    <col min="9220" max="9221" width="11.33203125" style="409" customWidth="1"/>
    <col min="9222" max="9224" width="12.109375" style="409" customWidth="1"/>
    <col min="9225" max="9225" width="14.109375" style="409" customWidth="1"/>
    <col min="9226" max="9226" width="13.109375" style="409" customWidth="1"/>
    <col min="9227" max="9227" width="13.44140625" style="409" customWidth="1"/>
    <col min="9228" max="9228" width="18.6640625" style="409" customWidth="1"/>
    <col min="9229" max="9472" width="8.88671875" style="409"/>
    <col min="9473" max="9473" width="10.88671875" style="409" customWidth="1"/>
    <col min="9474" max="9474" width="9.5546875" style="409" customWidth="1"/>
    <col min="9475" max="9475" width="10.109375" style="409" customWidth="1"/>
    <col min="9476" max="9477" width="11.33203125" style="409" customWidth="1"/>
    <col min="9478" max="9480" width="12.109375" style="409" customWidth="1"/>
    <col min="9481" max="9481" width="14.109375" style="409" customWidth="1"/>
    <col min="9482" max="9482" width="13.109375" style="409" customWidth="1"/>
    <col min="9483" max="9483" width="13.44140625" style="409" customWidth="1"/>
    <col min="9484" max="9484" width="18.6640625" style="409" customWidth="1"/>
    <col min="9485" max="9728" width="8.88671875" style="409"/>
    <col min="9729" max="9729" width="10.88671875" style="409" customWidth="1"/>
    <col min="9730" max="9730" width="9.5546875" style="409" customWidth="1"/>
    <col min="9731" max="9731" width="10.109375" style="409" customWidth="1"/>
    <col min="9732" max="9733" width="11.33203125" style="409" customWidth="1"/>
    <col min="9734" max="9736" width="12.109375" style="409" customWidth="1"/>
    <col min="9737" max="9737" width="14.109375" style="409" customWidth="1"/>
    <col min="9738" max="9738" width="13.109375" style="409" customWidth="1"/>
    <col min="9739" max="9739" width="13.44140625" style="409" customWidth="1"/>
    <col min="9740" max="9740" width="18.6640625" style="409" customWidth="1"/>
    <col min="9741" max="9984" width="8.88671875" style="409"/>
    <col min="9985" max="9985" width="10.88671875" style="409" customWidth="1"/>
    <col min="9986" max="9986" width="9.5546875" style="409" customWidth="1"/>
    <col min="9987" max="9987" width="10.109375" style="409" customWidth="1"/>
    <col min="9988" max="9989" width="11.33203125" style="409" customWidth="1"/>
    <col min="9990" max="9992" width="12.109375" style="409" customWidth="1"/>
    <col min="9993" max="9993" width="14.109375" style="409" customWidth="1"/>
    <col min="9994" max="9994" width="13.109375" style="409" customWidth="1"/>
    <col min="9995" max="9995" width="13.44140625" style="409" customWidth="1"/>
    <col min="9996" max="9996" width="18.6640625" style="409" customWidth="1"/>
    <col min="9997" max="10240" width="8.88671875" style="409"/>
    <col min="10241" max="10241" width="10.88671875" style="409" customWidth="1"/>
    <col min="10242" max="10242" width="9.5546875" style="409" customWidth="1"/>
    <col min="10243" max="10243" width="10.109375" style="409" customWidth="1"/>
    <col min="10244" max="10245" width="11.33203125" style="409" customWidth="1"/>
    <col min="10246" max="10248" width="12.109375" style="409" customWidth="1"/>
    <col min="10249" max="10249" width="14.109375" style="409" customWidth="1"/>
    <col min="10250" max="10250" width="13.109375" style="409" customWidth="1"/>
    <col min="10251" max="10251" width="13.44140625" style="409" customWidth="1"/>
    <col min="10252" max="10252" width="18.6640625" style="409" customWidth="1"/>
    <col min="10253" max="10496" width="8.88671875" style="409"/>
    <col min="10497" max="10497" width="10.88671875" style="409" customWidth="1"/>
    <col min="10498" max="10498" width="9.5546875" style="409" customWidth="1"/>
    <col min="10499" max="10499" width="10.109375" style="409" customWidth="1"/>
    <col min="10500" max="10501" width="11.33203125" style="409" customWidth="1"/>
    <col min="10502" max="10504" width="12.109375" style="409" customWidth="1"/>
    <col min="10505" max="10505" width="14.109375" style="409" customWidth="1"/>
    <col min="10506" max="10506" width="13.109375" style="409" customWidth="1"/>
    <col min="10507" max="10507" width="13.44140625" style="409" customWidth="1"/>
    <col min="10508" max="10508" width="18.6640625" style="409" customWidth="1"/>
    <col min="10509" max="10752" width="8.88671875" style="409"/>
    <col min="10753" max="10753" width="10.88671875" style="409" customWidth="1"/>
    <col min="10754" max="10754" width="9.5546875" style="409" customWidth="1"/>
    <col min="10755" max="10755" width="10.109375" style="409" customWidth="1"/>
    <col min="10756" max="10757" width="11.33203125" style="409" customWidth="1"/>
    <col min="10758" max="10760" width="12.109375" style="409" customWidth="1"/>
    <col min="10761" max="10761" width="14.109375" style="409" customWidth="1"/>
    <col min="10762" max="10762" width="13.109375" style="409" customWidth="1"/>
    <col min="10763" max="10763" width="13.44140625" style="409" customWidth="1"/>
    <col min="10764" max="10764" width="18.6640625" style="409" customWidth="1"/>
    <col min="10765" max="11008" width="8.88671875" style="409"/>
    <col min="11009" max="11009" width="10.88671875" style="409" customWidth="1"/>
    <col min="11010" max="11010" width="9.5546875" style="409" customWidth="1"/>
    <col min="11011" max="11011" width="10.109375" style="409" customWidth="1"/>
    <col min="11012" max="11013" width="11.33203125" style="409" customWidth="1"/>
    <col min="11014" max="11016" width="12.109375" style="409" customWidth="1"/>
    <col min="11017" max="11017" width="14.109375" style="409" customWidth="1"/>
    <col min="11018" max="11018" width="13.109375" style="409" customWidth="1"/>
    <col min="11019" max="11019" width="13.44140625" style="409" customWidth="1"/>
    <col min="11020" max="11020" width="18.6640625" style="409" customWidth="1"/>
    <col min="11021" max="11264" width="8.88671875" style="409"/>
    <col min="11265" max="11265" width="10.88671875" style="409" customWidth="1"/>
    <col min="11266" max="11266" width="9.5546875" style="409" customWidth="1"/>
    <col min="11267" max="11267" width="10.109375" style="409" customWidth="1"/>
    <col min="11268" max="11269" width="11.33203125" style="409" customWidth="1"/>
    <col min="11270" max="11272" width="12.109375" style="409" customWidth="1"/>
    <col min="11273" max="11273" width="14.109375" style="409" customWidth="1"/>
    <col min="11274" max="11274" width="13.109375" style="409" customWidth="1"/>
    <col min="11275" max="11275" width="13.44140625" style="409" customWidth="1"/>
    <col min="11276" max="11276" width="18.6640625" style="409" customWidth="1"/>
    <col min="11277" max="11520" width="8.88671875" style="409"/>
    <col min="11521" max="11521" width="10.88671875" style="409" customWidth="1"/>
    <col min="11522" max="11522" width="9.5546875" style="409" customWidth="1"/>
    <col min="11523" max="11523" width="10.109375" style="409" customWidth="1"/>
    <col min="11524" max="11525" width="11.33203125" style="409" customWidth="1"/>
    <col min="11526" max="11528" width="12.109375" style="409" customWidth="1"/>
    <col min="11529" max="11529" width="14.109375" style="409" customWidth="1"/>
    <col min="11530" max="11530" width="13.109375" style="409" customWidth="1"/>
    <col min="11531" max="11531" width="13.44140625" style="409" customWidth="1"/>
    <col min="11532" max="11532" width="18.6640625" style="409" customWidth="1"/>
    <col min="11533" max="11776" width="8.88671875" style="409"/>
    <col min="11777" max="11777" width="10.88671875" style="409" customWidth="1"/>
    <col min="11778" max="11778" width="9.5546875" style="409" customWidth="1"/>
    <col min="11779" max="11779" width="10.109375" style="409" customWidth="1"/>
    <col min="11780" max="11781" width="11.33203125" style="409" customWidth="1"/>
    <col min="11782" max="11784" width="12.109375" style="409" customWidth="1"/>
    <col min="11785" max="11785" width="14.109375" style="409" customWidth="1"/>
    <col min="11786" max="11786" width="13.109375" style="409" customWidth="1"/>
    <col min="11787" max="11787" width="13.44140625" style="409" customWidth="1"/>
    <col min="11788" max="11788" width="18.6640625" style="409" customWidth="1"/>
    <col min="11789" max="12032" width="8.88671875" style="409"/>
    <col min="12033" max="12033" width="10.88671875" style="409" customWidth="1"/>
    <col min="12034" max="12034" width="9.5546875" style="409" customWidth="1"/>
    <col min="12035" max="12035" width="10.109375" style="409" customWidth="1"/>
    <col min="12036" max="12037" width="11.33203125" style="409" customWidth="1"/>
    <col min="12038" max="12040" width="12.109375" style="409" customWidth="1"/>
    <col min="12041" max="12041" width="14.109375" style="409" customWidth="1"/>
    <col min="12042" max="12042" width="13.109375" style="409" customWidth="1"/>
    <col min="12043" max="12043" width="13.44140625" style="409" customWidth="1"/>
    <col min="12044" max="12044" width="18.6640625" style="409" customWidth="1"/>
    <col min="12045" max="12288" width="8.88671875" style="409"/>
    <col min="12289" max="12289" width="10.88671875" style="409" customWidth="1"/>
    <col min="12290" max="12290" width="9.5546875" style="409" customWidth="1"/>
    <col min="12291" max="12291" width="10.109375" style="409" customWidth="1"/>
    <col min="12292" max="12293" width="11.33203125" style="409" customWidth="1"/>
    <col min="12294" max="12296" width="12.109375" style="409" customWidth="1"/>
    <col min="12297" max="12297" width="14.109375" style="409" customWidth="1"/>
    <col min="12298" max="12298" width="13.109375" style="409" customWidth="1"/>
    <col min="12299" max="12299" width="13.44140625" style="409" customWidth="1"/>
    <col min="12300" max="12300" width="18.6640625" style="409" customWidth="1"/>
    <col min="12301" max="12544" width="8.88671875" style="409"/>
    <col min="12545" max="12545" width="10.88671875" style="409" customWidth="1"/>
    <col min="12546" max="12546" width="9.5546875" style="409" customWidth="1"/>
    <col min="12547" max="12547" width="10.109375" style="409" customWidth="1"/>
    <col min="12548" max="12549" width="11.33203125" style="409" customWidth="1"/>
    <col min="12550" max="12552" width="12.109375" style="409" customWidth="1"/>
    <col min="12553" max="12553" width="14.109375" style="409" customWidth="1"/>
    <col min="12554" max="12554" width="13.109375" style="409" customWidth="1"/>
    <col min="12555" max="12555" width="13.44140625" style="409" customWidth="1"/>
    <col min="12556" max="12556" width="18.6640625" style="409" customWidth="1"/>
    <col min="12557" max="12800" width="8.88671875" style="409"/>
    <col min="12801" max="12801" width="10.88671875" style="409" customWidth="1"/>
    <col min="12802" max="12802" width="9.5546875" style="409" customWidth="1"/>
    <col min="12803" max="12803" width="10.109375" style="409" customWidth="1"/>
    <col min="12804" max="12805" width="11.33203125" style="409" customWidth="1"/>
    <col min="12806" max="12808" width="12.109375" style="409" customWidth="1"/>
    <col min="12809" max="12809" width="14.109375" style="409" customWidth="1"/>
    <col min="12810" max="12810" width="13.109375" style="409" customWidth="1"/>
    <col min="12811" max="12811" width="13.44140625" style="409" customWidth="1"/>
    <col min="12812" max="12812" width="18.6640625" style="409" customWidth="1"/>
    <col min="12813" max="13056" width="8.88671875" style="409"/>
    <col min="13057" max="13057" width="10.88671875" style="409" customWidth="1"/>
    <col min="13058" max="13058" width="9.5546875" style="409" customWidth="1"/>
    <col min="13059" max="13059" width="10.109375" style="409" customWidth="1"/>
    <col min="13060" max="13061" width="11.33203125" style="409" customWidth="1"/>
    <col min="13062" max="13064" width="12.109375" style="409" customWidth="1"/>
    <col min="13065" max="13065" width="14.109375" style="409" customWidth="1"/>
    <col min="13066" max="13066" width="13.109375" style="409" customWidth="1"/>
    <col min="13067" max="13067" width="13.44140625" style="409" customWidth="1"/>
    <col min="13068" max="13068" width="18.6640625" style="409" customWidth="1"/>
    <col min="13069" max="13312" width="8.88671875" style="409"/>
    <col min="13313" max="13313" width="10.88671875" style="409" customWidth="1"/>
    <col min="13314" max="13314" width="9.5546875" style="409" customWidth="1"/>
    <col min="13315" max="13315" width="10.109375" style="409" customWidth="1"/>
    <col min="13316" max="13317" width="11.33203125" style="409" customWidth="1"/>
    <col min="13318" max="13320" width="12.109375" style="409" customWidth="1"/>
    <col min="13321" max="13321" width="14.109375" style="409" customWidth="1"/>
    <col min="13322" max="13322" width="13.109375" style="409" customWidth="1"/>
    <col min="13323" max="13323" width="13.44140625" style="409" customWidth="1"/>
    <col min="13324" max="13324" width="18.6640625" style="409" customWidth="1"/>
    <col min="13325" max="13568" width="8.88671875" style="409"/>
    <col min="13569" max="13569" width="10.88671875" style="409" customWidth="1"/>
    <col min="13570" max="13570" width="9.5546875" style="409" customWidth="1"/>
    <col min="13571" max="13571" width="10.109375" style="409" customWidth="1"/>
    <col min="13572" max="13573" width="11.33203125" style="409" customWidth="1"/>
    <col min="13574" max="13576" width="12.109375" style="409" customWidth="1"/>
    <col min="13577" max="13577" width="14.109375" style="409" customWidth="1"/>
    <col min="13578" max="13578" width="13.109375" style="409" customWidth="1"/>
    <col min="13579" max="13579" width="13.44140625" style="409" customWidth="1"/>
    <col min="13580" max="13580" width="18.6640625" style="409" customWidth="1"/>
    <col min="13581" max="13824" width="8.88671875" style="409"/>
    <col min="13825" max="13825" width="10.88671875" style="409" customWidth="1"/>
    <col min="13826" max="13826" width="9.5546875" style="409" customWidth="1"/>
    <col min="13827" max="13827" width="10.109375" style="409" customWidth="1"/>
    <col min="13828" max="13829" width="11.33203125" style="409" customWidth="1"/>
    <col min="13830" max="13832" width="12.109375" style="409" customWidth="1"/>
    <col min="13833" max="13833" width="14.109375" style="409" customWidth="1"/>
    <col min="13834" max="13834" width="13.109375" style="409" customWidth="1"/>
    <col min="13835" max="13835" width="13.44140625" style="409" customWidth="1"/>
    <col min="13836" max="13836" width="18.6640625" style="409" customWidth="1"/>
    <col min="13837" max="14080" width="8.88671875" style="409"/>
    <col min="14081" max="14081" width="10.88671875" style="409" customWidth="1"/>
    <col min="14082" max="14082" width="9.5546875" style="409" customWidth="1"/>
    <col min="14083" max="14083" width="10.109375" style="409" customWidth="1"/>
    <col min="14084" max="14085" width="11.33203125" style="409" customWidth="1"/>
    <col min="14086" max="14088" width="12.109375" style="409" customWidth="1"/>
    <col min="14089" max="14089" width="14.109375" style="409" customWidth="1"/>
    <col min="14090" max="14090" width="13.109375" style="409" customWidth="1"/>
    <col min="14091" max="14091" width="13.44140625" style="409" customWidth="1"/>
    <col min="14092" max="14092" width="18.6640625" style="409" customWidth="1"/>
    <col min="14093" max="14336" width="8.88671875" style="409"/>
    <col min="14337" max="14337" width="10.88671875" style="409" customWidth="1"/>
    <col min="14338" max="14338" width="9.5546875" style="409" customWidth="1"/>
    <col min="14339" max="14339" width="10.109375" style="409" customWidth="1"/>
    <col min="14340" max="14341" width="11.33203125" style="409" customWidth="1"/>
    <col min="14342" max="14344" width="12.109375" style="409" customWidth="1"/>
    <col min="14345" max="14345" width="14.109375" style="409" customWidth="1"/>
    <col min="14346" max="14346" width="13.109375" style="409" customWidth="1"/>
    <col min="14347" max="14347" width="13.44140625" style="409" customWidth="1"/>
    <col min="14348" max="14348" width="18.6640625" style="409" customWidth="1"/>
    <col min="14349" max="14592" width="8.88671875" style="409"/>
    <col min="14593" max="14593" width="10.88671875" style="409" customWidth="1"/>
    <col min="14594" max="14594" width="9.5546875" style="409" customWidth="1"/>
    <col min="14595" max="14595" width="10.109375" style="409" customWidth="1"/>
    <col min="14596" max="14597" width="11.33203125" style="409" customWidth="1"/>
    <col min="14598" max="14600" width="12.109375" style="409" customWidth="1"/>
    <col min="14601" max="14601" width="14.109375" style="409" customWidth="1"/>
    <col min="14602" max="14602" width="13.109375" style="409" customWidth="1"/>
    <col min="14603" max="14603" width="13.44140625" style="409" customWidth="1"/>
    <col min="14604" max="14604" width="18.6640625" style="409" customWidth="1"/>
    <col min="14605" max="14848" width="8.88671875" style="409"/>
    <col min="14849" max="14849" width="10.88671875" style="409" customWidth="1"/>
    <col min="14850" max="14850" width="9.5546875" style="409" customWidth="1"/>
    <col min="14851" max="14851" width="10.109375" style="409" customWidth="1"/>
    <col min="14852" max="14853" width="11.33203125" style="409" customWidth="1"/>
    <col min="14854" max="14856" width="12.109375" style="409" customWidth="1"/>
    <col min="14857" max="14857" width="14.109375" style="409" customWidth="1"/>
    <col min="14858" max="14858" width="13.109375" style="409" customWidth="1"/>
    <col min="14859" max="14859" width="13.44140625" style="409" customWidth="1"/>
    <col min="14860" max="14860" width="18.6640625" style="409" customWidth="1"/>
    <col min="14861" max="15104" width="8.88671875" style="409"/>
    <col min="15105" max="15105" width="10.88671875" style="409" customWidth="1"/>
    <col min="15106" max="15106" width="9.5546875" style="409" customWidth="1"/>
    <col min="15107" max="15107" width="10.109375" style="409" customWidth="1"/>
    <col min="15108" max="15109" width="11.33203125" style="409" customWidth="1"/>
    <col min="15110" max="15112" width="12.109375" style="409" customWidth="1"/>
    <col min="15113" max="15113" width="14.109375" style="409" customWidth="1"/>
    <col min="15114" max="15114" width="13.109375" style="409" customWidth="1"/>
    <col min="15115" max="15115" width="13.44140625" style="409" customWidth="1"/>
    <col min="15116" max="15116" width="18.6640625" style="409" customWidth="1"/>
    <col min="15117" max="15360" width="8.88671875" style="409"/>
    <col min="15361" max="15361" width="10.88671875" style="409" customWidth="1"/>
    <col min="15362" max="15362" width="9.5546875" style="409" customWidth="1"/>
    <col min="15363" max="15363" width="10.109375" style="409" customWidth="1"/>
    <col min="15364" max="15365" width="11.33203125" style="409" customWidth="1"/>
    <col min="15366" max="15368" width="12.109375" style="409" customWidth="1"/>
    <col min="15369" max="15369" width="14.109375" style="409" customWidth="1"/>
    <col min="15370" max="15370" width="13.109375" style="409" customWidth="1"/>
    <col min="15371" max="15371" width="13.44140625" style="409" customWidth="1"/>
    <col min="15372" max="15372" width="18.6640625" style="409" customWidth="1"/>
    <col min="15373" max="15616" width="8.88671875" style="409"/>
    <col min="15617" max="15617" width="10.88671875" style="409" customWidth="1"/>
    <col min="15618" max="15618" width="9.5546875" style="409" customWidth="1"/>
    <col min="15619" max="15619" width="10.109375" style="409" customWidth="1"/>
    <col min="15620" max="15621" width="11.33203125" style="409" customWidth="1"/>
    <col min="15622" max="15624" width="12.109375" style="409" customWidth="1"/>
    <col min="15625" max="15625" width="14.109375" style="409" customWidth="1"/>
    <col min="15626" max="15626" width="13.109375" style="409" customWidth="1"/>
    <col min="15627" max="15627" width="13.44140625" style="409" customWidth="1"/>
    <col min="15628" max="15628" width="18.6640625" style="409" customWidth="1"/>
    <col min="15629" max="15872" width="8.88671875" style="409"/>
    <col min="15873" max="15873" width="10.88671875" style="409" customWidth="1"/>
    <col min="15874" max="15874" width="9.5546875" style="409" customWidth="1"/>
    <col min="15875" max="15875" width="10.109375" style="409" customWidth="1"/>
    <col min="15876" max="15877" width="11.33203125" style="409" customWidth="1"/>
    <col min="15878" max="15880" width="12.109375" style="409" customWidth="1"/>
    <col min="15881" max="15881" width="14.109375" style="409" customWidth="1"/>
    <col min="15882" max="15882" width="13.109375" style="409" customWidth="1"/>
    <col min="15883" max="15883" width="13.44140625" style="409" customWidth="1"/>
    <col min="15884" max="15884" width="18.6640625" style="409" customWidth="1"/>
    <col min="15885" max="16128" width="8.88671875" style="409"/>
    <col min="16129" max="16129" width="10.88671875" style="409" customWidth="1"/>
    <col min="16130" max="16130" width="9.5546875" style="409" customWidth="1"/>
    <col min="16131" max="16131" width="10.109375" style="409" customWidth="1"/>
    <col min="16132" max="16133" width="11.33203125" style="409" customWidth="1"/>
    <col min="16134" max="16136" width="12.109375" style="409" customWidth="1"/>
    <col min="16137" max="16137" width="14.109375" style="409" customWidth="1"/>
    <col min="16138" max="16138" width="13.109375" style="409" customWidth="1"/>
    <col min="16139" max="16139" width="13.44140625" style="409" customWidth="1"/>
    <col min="16140" max="16140" width="18.6640625" style="409" customWidth="1"/>
    <col min="16141" max="16384" width="8.88671875" style="409" customWidth="1"/>
  </cols>
  <sheetData>
    <row r="1" spans="1:17" x14ac:dyDescent="0.3">
      <c r="A1" s="1207" t="str">
        <f>'Detail (2)'!A1</f>
        <v>ROSHNABAD BARRAGE</v>
      </c>
      <c r="B1" s="1207"/>
      <c r="C1" s="1207"/>
      <c r="D1" s="1207"/>
      <c r="E1" s="1207"/>
      <c r="F1" s="1207"/>
      <c r="G1" s="1207"/>
      <c r="H1" s="1207"/>
      <c r="I1" s="1207"/>
      <c r="J1" s="1207"/>
      <c r="K1" s="1207"/>
      <c r="L1" s="1207"/>
    </row>
    <row r="2" spans="1:17" x14ac:dyDescent="0.3">
      <c r="A2" s="410" t="str">
        <f>'Detail (2)'!A2</f>
        <v>TEHSIL :-SIDHI</v>
      </c>
      <c r="B2" s="410"/>
      <c r="C2" s="410"/>
      <c r="D2" s="410"/>
      <c r="E2" s="410"/>
      <c r="F2" s="410"/>
      <c r="G2" s="410"/>
      <c r="H2" s="410"/>
      <c r="I2" s="410"/>
      <c r="J2" s="410"/>
      <c r="K2" s="1201" t="str">
        <f>'Detail (2)'!F2</f>
        <v>DISTRICT :SINGRAULI</v>
      </c>
      <c r="L2" s="1201"/>
    </row>
    <row r="3" spans="1:17" x14ac:dyDescent="0.3">
      <c r="A3" s="1207" t="s">
        <v>16</v>
      </c>
      <c r="B3" s="1207"/>
      <c r="C3" s="1207"/>
      <c r="D3" s="1207"/>
      <c r="E3" s="1207"/>
      <c r="F3" s="1207"/>
      <c r="G3" s="1207"/>
      <c r="H3" s="1207"/>
      <c r="I3" s="1207"/>
      <c r="J3" s="1207"/>
      <c r="K3" s="1207"/>
      <c r="L3" s="1207"/>
    </row>
    <row r="4" spans="1:17" x14ac:dyDescent="0.3">
      <c r="A4" s="1207" t="s">
        <v>17</v>
      </c>
      <c r="B4" s="1207"/>
      <c r="C4" s="1207"/>
      <c r="D4" s="1207"/>
      <c r="E4" s="1207"/>
      <c r="F4" s="1207"/>
      <c r="G4" s="1207"/>
      <c r="H4" s="1207"/>
      <c r="I4" s="1207"/>
      <c r="J4" s="1207"/>
      <c r="K4" s="1207"/>
      <c r="L4" s="1207"/>
    </row>
    <row r="5" spans="1:17" x14ac:dyDescent="0.3">
      <c r="A5" s="1207" t="s">
        <v>266</v>
      </c>
      <c r="B5" s="1207"/>
      <c r="C5" s="1207"/>
      <c r="D5" s="1207"/>
      <c r="E5" s="1207"/>
      <c r="F5" s="1207"/>
      <c r="G5" s="1207"/>
      <c r="H5" s="1207"/>
      <c r="I5" s="1207"/>
      <c r="J5" s="1207"/>
      <c r="K5" s="1207"/>
      <c r="L5" s="1207"/>
      <c r="N5" s="412">
        <f>303.5-D8</f>
        <v>24.5</v>
      </c>
    </row>
    <row r="6" spans="1:17" x14ac:dyDescent="0.3">
      <c r="N6" s="409">
        <f>N5/10</f>
        <v>2.4500000000000002</v>
      </c>
    </row>
    <row r="7" spans="1:17" ht="26.4" x14ac:dyDescent="0.3">
      <c r="A7" s="414" t="s">
        <v>267</v>
      </c>
      <c r="B7" s="414" t="s">
        <v>268</v>
      </c>
      <c r="C7" s="415" t="s">
        <v>269</v>
      </c>
      <c r="D7" s="414" t="s">
        <v>270</v>
      </c>
      <c r="E7" s="414" t="s">
        <v>271</v>
      </c>
      <c r="F7" s="414" t="s">
        <v>272</v>
      </c>
      <c r="G7" s="414" t="s">
        <v>273</v>
      </c>
      <c r="H7" s="414" t="s">
        <v>274</v>
      </c>
      <c r="I7" s="414" t="s">
        <v>275</v>
      </c>
      <c r="J7" s="414" t="s">
        <v>276</v>
      </c>
      <c r="K7" s="416" t="s">
        <v>8</v>
      </c>
      <c r="L7" s="417" t="s">
        <v>277</v>
      </c>
      <c r="N7" s="409">
        <f>2.5+2*N6</f>
        <v>7.4</v>
      </c>
    </row>
    <row r="8" spans="1:17" hidden="1" x14ac:dyDescent="0.3">
      <c r="A8" s="418">
        <v>0</v>
      </c>
      <c r="B8" s="418">
        <v>0</v>
      </c>
      <c r="C8" s="418">
        <v>291</v>
      </c>
      <c r="D8" s="418">
        <v>279</v>
      </c>
      <c r="E8" s="418">
        <v>7.4</v>
      </c>
      <c r="F8" s="418">
        <f t="shared" ref="F8:F27" si="0">C8-D8</f>
        <v>12</v>
      </c>
      <c r="G8" s="419">
        <v>0.1</v>
      </c>
      <c r="H8" s="418">
        <f>E8+2*(F8*G8)</f>
        <v>9.8000000000000007</v>
      </c>
      <c r="I8" s="418">
        <f>(H8+E8)*F8/2</f>
        <v>103.20000000000002</v>
      </c>
      <c r="J8" s="418">
        <v>0</v>
      </c>
      <c r="K8" s="418">
        <f>J8*B8</f>
        <v>0</v>
      </c>
      <c r="L8" s="1205" t="s">
        <v>278</v>
      </c>
      <c r="N8" s="420">
        <f>C8+3</f>
        <v>294</v>
      </c>
    </row>
    <row r="9" spans="1:17" hidden="1" x14ac:dyDescent="0.3">
      <c r="A9" s="418">
        <v>0</v>
      </c>
      <c r="B9" s="418">
        <f>A9-A8</f>
        <v>0</v>
      </c>
      <c r="C9" s="418">
        <f>C8</f>
        <v>291</v>
      </c>
      <c r="D9" s="418">
        <f>D8</f>
        <v>279</v>
      </c>
      <c r="E9" s="418">
        <f>E8</f>
        <v>7.4</v>
      </c>
      <c r="F9" s="418">
        <f>C9-D9</f>
        <v>12</v>
      </c>
      <c r="G9" s="419">
        <v>0.1</v>
      </c>
      <c r="H9" s="418">
        <f>E9+2*(F9*G9)</f>
        <v>9.8000000000000007</v>
      </c>
      <c r="I9" s="418">
        <f>(H9+E9)*F9/2</f>
        <v>103.20000000000002</v>
      </c>
      <c r="J9" s="418">
        <f>(I9+I8)/2</f>
        <v>103.20000000000002</v>
      </c>
      <c r="K9" s="418">
        <f>J9*B9</f>
        <v>0</v>
      </c>
      <c r="L9" s="1206"/>
      <c r="N9" s="420">
        <f>C9+3</f>
        <v>294</v>
      </c>
      <c r="O9" s="409">
        <f>90+725</f>
        <v>815</v>
      </c>
    </row>
    <row r="10" spans="1:17" hidden="1" x14ac:dyDescent="0.3">
      <c r="A10" s="421"/>
      <c r="B10" s="418"/>
      <c r="C10" s="422"/>
      <c r="D10" s="418"/>
      <c r="E10" s="418"/>
      <c r="F10" s="418"/>
      <c r="G10" s="419"/>
      <c r="H10" s="418"/>
      <c r="I10" s="418"/>
      <c r="J10" s="418"/>
      <c r="K10" s="418"/>
      <c r="L10" s="423"/>
    </row>
    <row r="11" spans="1:17" hidden="1" x14ac:dyDescent="0.3">
      <c r="A11" s="421">
        <v>0</v>
      </c>
      <c r="B11" s="418">
        <v>0</v>
      </c>
      <c r="C11" s="422">
        <v>273</v>
      </c>
      <c r="D11" s="418">
        <v>270</v>
      </c>
      <c r="E11" s="422">
        <v>14.3</v>
      </c>
      <c r="F11" s="418">
        <f t="shared" ref="F11" si="1">C11-D11</f>
        <v>3</v>
      </c>
      <c r="G11" s="419">
        <v>0.5</v>
      </c>
      <c r="H11" s="418">
        <f t="shared" ref="H11:H12" si="2">E11+2*(F11*G11)</f>
        <v>17.3</v>
      </c>
      <c r="I11" s="418">
        <f t="shared" ref="I11:I12" si="3">(H11+E11)*F11/2</f>
        <v>47.400000000000006</v>
      </c>
      <c r="J11" s="418">
        <f>(I11)</f>
        <v>47.400000000000006</v>
      </c>
      <c r="K11" s="418">
        <f t="shared" ref="K11:K12" si="4">J11*B11</f>
        <v>0</v>
      </c>
      <c r="L11" s="423" t="s">
        <v>279</v>
      </c>
      <c r="N11" s="420">
        <f t="shared" ref="N11:N12" si="5">C11+3</f>
        <v>276</v>
      </c>
    </row>
    <row r="12" spans="1:17" hidden="1" x14ac:dyDescent="0.3">
      <c r="A12" s="421">
        <v>192</v>
      </c>
      <c r="B12" s="418">
        <v>0</v>
      </c>
      <c r="C12" s="422">
        <f>C11</f>
        <v>273</v>
      </c>
      <c r="D12" s="418">
        <f>D11</f>
        <v>270</v>
      </c>
      <c r="E12" s="422">
        <f>E11</f>
        <v>14.3</v>
      </c>
      <c r="F12" s="418">
        <f t="shared" si="0"/>
        <v>3</v>
      </c>
      <c r="G12" s="419">
        <v>0.5</v>
      </c>
      <c r="H12" s="418">
        <f t="shared" si="2"/>
        <v>17.3</v>
      </c>
      <c r="I12" s="418">
        <f t="shared" si="3"/>
        <v>47.400000000000006</v>
      </c>
      <c r="J12" s="418">
        <f>(I12)</f>
        <v>47.400000000000006</v>
      </c>
      <c r="K12" s="418">
        <f t="shared" si="4"/>
        <v>0</v>
      </c>
      <c r="L12" s="423" t="s">
        <v>279</v>
      </c>
      <c r="M12" s="412" t="e">
        <f>#REF!-E12</f>
        <v>#REF!</v>
      </c>
      <c r="N12" s="420">
        <f t="shared" si="5"/>
        <v>276</v>
      </c>
    </row>
    <row r="13" spans="1:17" hidden="1" x14ac:dyDescent="0.3">
      <c r="A13" s="421"/>
      <c r="B13" s="418"/>
      <c r="C13" s="422"/>
      <c r="D13" s="418"/>
      <c r="E13" s="418"/>
      <c r="F13" s="418"/>
      <c r="G13" s="419"/>
      <c r="H13" s="418"/>
      <c r="I13" s="418"/>
      <c r="J13" s="418"/>
      <c r="K13" s="418"/>
      <c r="L13" s="423"/>
      <c r="Q13" s="409">
        <v>139.88</v>
      </c>
    </row>
    <row r="14" spans="1:17" x14ac:dyDescent="0.3">
      <c r="A14" s="1021">
        <v>1510</v>
      </c>
      <c r="B14" s="418">
        <v>0</v>
      </c>
      <c r="C14">
        <v>377.62</v>
      </c>
      <c r="D14" s="418">
        <v>360</v>
      </c>
      <c r="E14" s="418">
        <v>24.92</v>
      </c>
      <c r="F14" s="418">
        <f t="shared" si="0"/>
        <v>17.620000000000005</v>
      </c>
      <c r="G14" s="419">
        <v>0.5</v>
      </c>
      <c r="H14" s="418">
        <f t="shared" ref="H14:H24" si="6">E14+2*(F14*G14)</f>
        <v>42.540000000000006</v>
      </c>
      <c r="I14" s="418">
        <f t="shared" ref="I14:I24" si="7">(H14+E14)*F14/2</f>
        <v>594.32260000000019</v>
      </c>
      <c r="J14" s="418">
        <f>(I14+I13)/2</f>
        <v>297.1613000000001</v>
      </c>
      <c r="K14" s="418">
        <f t="shared" ref="K14:K24" si="8">J14*B14</f>
        <v>0</v>
      </c>
      <c r="L14" s="423" t="s">
        <v>280</v>
      </c>
      <c r="N14" s="420">
        <f t="shared" ref="N14:N22" si="9">C14+3</f>
        <v>380.62</v>
      </c>
      <c r="Q14" s="409">
        <v>138.51</v>
      </c>
    </row>
    <row r="15" spans="1:17" x14ac:dyDescent="0.3">
      <c r="A15" s="1021">
        <v>1530</v>
      </c>
      <c r="B15" s="418">
        <f>A15-A14</f>
        <v>20</v>
      </c>
      <c r="C15">
        <v>370.34</v>
      </c>
      <c r="D15" s="418">
        <f>$D$14</f>
        <v>360</v>
      </c>
      <c r="E15" s="418">
        <f>$E$14</f>
        <v>24.92</v>
      </c>
      <c r="F15" s="418">
        <f t="shared" si="0"/>
        <v>10.339999999999975</v>
      </c>
      <c r="G15" s="419">
        <f>G14</f>
        <v>0.5</v>
      </c>
      <c r="H15" s="418">
        <f t="shared" si="6"/>
        <v>35.259999999999977</v>
      </c>
      <c r="I15" s="418">
        <f t="shared" si="7"/>
        <v>311.13059999999916</v>
      </c>
      <c r="J15" s="418">
        <f t="shared" ref="J15:J27" si="10">(I15+I14)/2</f>
        <v>452.72659999999968</v>
      </c>
      <c r="K15" s="418">
        <f t="shared" si="8"/>
        <v>9054.5319999999938</v>
      </c>
      <c r="L15" s="423" t="s">
        <v>280</v>
      </c>
      <c r="N15" s="420">
        <f t="shared" si="9"/>
        <v>373.34</v>
      </c>
      <c r="Q15" s="409">
        <v>135.58000000000001</v>
      </c>
    </row>
    <row r="16" spans="1:17" x14ac:dyDescent="0.3">
      <c r="A16" s="1021">
        <f>A15+30</f>
        <v>1560</v>
      </c>
      <c r="B16" s="418">
        <f t="shared" ref="B16:B17" si="11">A16-A15</f>
        <v>30</v>
      </c>
      <c r="C16">
        <v>366.72</v>
      </c>
      <c r="D16" s="418">
        <f t="shared" ref="D16:D24" si="12">$D$14</f>
        <v>360</v>
      </c>
      <c r="E16" s="418">
        <f t="shared" ref="E16:E24" si="13">$E$14</f>
        <v>24.92</v>
      </c>
      <c r="F16" s="418">
        <f t="shared" si="0"/>
        <v>6.7200000000000273</v>
      </c>
      <c r="G16" s="419">
        <f t="shared" ref="G16:G22" si="14">G15</f>
        <v>0.5</v>
      </c>
      <c r="H16" s="418">
        <f t="shared" si="6"/>
        <v>31.640000000000029</v>
      </c>
      <c r="I16" s="418">
        <f t="shared" si="7"/>
        <v>190.04160000000087</v>
      </c>
      <c r="J16" s="418">
        <f t="shared" si="10"/>
        <v>250.58610000000002</v>
      </c>
      <c r="K16" s="418">
        <f t="shared" si="8"/>
        <v>7517.5830000000005</v>
      </c>
      <c r="L16" s="423" t="s">
        <v>280</v>
      </c>
      <c r="N16" s="420">
        <f t="shared" si="9"/>
        <v>369.72</v>
      </c>
    </row>
    <row r="17" spans="1:17" x14ac:dyDescent="0.3">
      <c r="A17" s="1021">
        <f t="shared" ref="A17:A23" si="15">A16+30</f>
        <v>1590</v>
      </c>
      <c r="B17" s="418">
        <f t="shared" si="11"/>
        <v>30</v>
      </c>
      <c r="C17">
        <v>366.62</v>
      </c>
      <c r="D17" s="418">
        <f t="shared" si="12"/>
        <v>360</v>
      </c>
      <c r="E17" s="418">
        <f t="shared" si="13"/>
        <v>24.92</v>
      </c>
      <c r="F17" s="418">
        <f t="shared" si="0"/>
        <v>6.6200000000000045</v>
      </c>
      <c r="G17" s="419">
        <f t="shared" si="14"/>
        <v>0.5</v>
      </c>
      <c r="H17" s="418">
        <f t="shared" si="6"/>
        <v>31.540000000000006</v>
      </c>
      <c r="I17" s="418">
        <f t="shared" si="7"/>
        <v>186.88260000000017</v>
      </c>
      <c r="J17" s="418">
        <f t="shared" si="10"/>
        <v>188.46210000000053</v>
      </c>
      <c r="K17" s="418">
        <f t="shared" si="8"/>
        <v>5653.8630000000157</v>
      </c>
      <c r="L17" s="423" t="s">
        <v>280</v>
      </c>
      <c r="N17" s="420">
        <f t="shared" si="9"/>
        <v>369.62</v>
      </c>
    </row>
    <row r="18" spans="1:17" x14ac:dyDescent="0.3">
      <c r="A18" s="1021">
        <f t="shared" si="15"/>
        <v>1620</v>
      </c>
      <c r="B18" s="418">
        <f t="shared" ref="B18:B27" si="16">A18-A17</f>
        <v>30</v>
      </c>
      <c r="C18">
        <v>366.86</v>
      </c>
      <c r="D18" s="418">
        <f t="shared" si="12"/>
        <v>360</v>
      </c>
      <c r="E18" s="418">
        <f t="shared" si="13"/>
        <v>24.92</v>
      </c>
      <c r="F18" s="418">
        <f t="shared" si="0"/>
        <v>6.8600000000000136</v>
      </c>
      <c r="G18" s="419">
        <f t="shared" si="14"/>
        <v>0.5</v>
      </c>
      <c r="H18" s="418">
        <f t="shared" si="6"/>
        <v>31.780000000000015</v>
      </c>
      <c r="I18" s="418">
        <f t="shared" si="7"/>
        <v>194.48100000000045</v>
      </c>
      <c r="J18" s="418">
        <f t="shared" si="10"/>
        <v>190.68180000000029</v>
      </c>
      <c r="K18" s="418">
        <f t="shared" si="8"/>
        <v>5720.4540000000088</v>
      </c>
      <c r="L18" s="423" t="s">
        <v>280</v>
      </c>
      <c r="N18" s="420">
        <f t="shared" si="9"/>
        <v>369.86</v>
      </c>
    </row>
    <row r="19" spans="1:17" x14ac:dyDescent="0.3">
      <c r="A19" s="1021">
        <f t="shared" si="15"/>
        <v>1650</v>
      </c>
      <c r="B19" s="418">
        <f t="shared" si="16"/>
        <v>30</v>
      </c>
      <c r="C19">
        <v>366.81</v>
      </c>
      <c r="D19" s="418">
        <f t="shared" si="12"/>
        <v>360</v>
      </c>
      <c r="E19" s="418">
        <f t="shared" si="13"/>
        <v>24.92</v>
      </c>
      <c r="F19" s="418">
        <f t="shared" si="0"/>
        <v>6.8100000000000023</v>
      </c>
      <c r="G19" s="419">
        <f t="shared" si="14"/>
        <v>0.5</v>
      </c>
      <c r="H19" s="418">
        <f t="shared" si="6"/>
        <v>31.730000000000004</v>
      </c>
      <c r="I19" s="418">
        <f t="shared" si="7"/>
        <v>192.89325000000008</v>
      </c>
      <c r="J19" s="418">
        <f t="shared" si="10"/>
        <v>193.68712500000026</v>
      </c>
      <c r="K19" s="418">
        <f t="shared" si="8"/>
        <v>5810.6137500000077</v>
      </c>
      <c r="L19" s="423" t="s">
        <v>280</v>
      </c>
      <c r="N19" s="420">
        <f t="shared" si="9"/>
        <v>369.81</v>
      </c>
    </row>
    <row r="20" spans="1:17" x14ac:dyDescent="0.3">
      <c r="A20" s="1021">
        <f t="shared" si="15"/>
        <v>1680</v>
      </c>
      <c r="B20" s="418">
        <f t="shared" si="16"/>
        <v>30</v>
      </c>
      <c r="C20">
        <v>366.58</v>
      </c>
      <c r="D20" s="418">
        <f t="shared" si="12"/>
        <v>360</v>
      </c>
      <c r="E20" s="418">
        <f t="shared" si="13"/>
        <v>24.92</v>
      </c>
      <c r="F20" s="418">
        <f t="shared" si="0"/>
        <v>6.5799999999999841</v>
      </c>
      <c r="G20" s="419">
        <f t="shared" si="14"/>
        <v>0.5</v>
      </c>
      <c r="H20" s="418">
        <f t="shared" si="6"/>
        <v>31.499999999999986</v>
      </c>
      <c r="I20" s="418">
        <f t="shared" si="7"/>
        <v>185.6217999999995</v>
      </c>
      <c r="J20" s="418">
        <f t="shared" si="10"/>
        <v>189.25752499999979</v>
      </c>
      <c r="K20" s="418">
        <f t="shared" si="8"/>
        <v>5677.7257499999932</v>
      </c>
      <c r="L20" s="423" t="s">
        <v>280</v>
      </c>
      <c r="N20" s="420">
        <f t="shared" si="9"/>
        <v>369.58</v>
      </c>
    </row>
    <row r="21" spans="1:17" x14ac:dyDescent="0.3">
      <c r="A21" s="1021">
        <f t="shared" si="15"/>
        <v>1710</v>
      </c>
      <c r="B21" s="418">
        <f t="shared" si="16"/>
        <v>30</v>
      </c>
      <c r="C21">
        <v>367.3</v>
      </c>
      <c r="D21" s="418">
        <f t="shared" si="12"/>
        <v>360</v>
      </c>
      <c r="E21" s="418">
        <f t="shared" si="13"/>
        <v>24.92</v>
      </c>
      <c r="F21" s="418">
        <f t="shared" si="0"/>
        <v>7.3000000000000114</v>
      </c>
      <c r="G21" s="419">
        <f t="shared" si="14"/>
        <v>0.5</v>
      </c>
      <c r="H21" s="418">
        <f t="shared" si="6"/>
        <v>32.220000000000013</v>
      </c>
      <c r="I21" s="418">
        <f t="shared" si="7"/>
        <v>208.56100000000038</v>
      </c>
      <c r="J21" s="418">
        <f t="shared" si="10"/>
        <v>197.09139999999994</v>
      </c>
      <c r="K21" s="418">
        <f t="shared" si="8"/>
        <v>5912.7419999999984</v>
      </c>
      <c r="L21" s="423" t="s">
        <v>280</v>
      </c>
      <c r="N21" s="420">
        <f t="shared" si="9"/>
        <v>370.3</v>
      </c>
    </row>
    <row r="22" spans="1:17" x14ac:dyDescent="0.3">
      <c r="A22" s="1021">
        <f t="shared" si="15"/>
        <v>1740</v>
      </c>
      <c r="B22" s="418">
        <f t="shared" si="16"/>
        <v>30</v>
      </c>
      <c r="C22">
        <v>367.9</v>
      </c>
      <c r="D22" s="418">
        <f t="shared" si="12"/>
        <v>360</v>
      </c>
      <c r="E22" s="418">
        <f t="shared" si="13"/>
        <v>24.92</v>
      </c>
      <c r="F22" s="418">
        <f t="shared" si="0"/>
        <v>7.8999999999999773</v>
      </c>
      <c r="G22" s="419">
        <f t="shared" si="14"/>
        <v>0.5</v>
      </c>
      <c r="H22" s="418">
        <f t="shared" si="6"/>
        <v>32.819999999999979</v>
      </c>
      <c r="I22" s="418">
        <f t="shared" si="7"/>
        <v>228.07299999999927</v>
      </c>
      <c r="J22" s="418">
        <f t="shared" si="10"/>
        <v>218.31699999999984</v>
      </c>
      <c r="K22" s="418">
        <f t="shared" si="8"/>
        <v>6549.5099999999948</v>
      </c>
      <c r="L22" s="423" t="s">
        <v>280</v>
      </c>
      <c r="N22" s="420">
        <f t="shared" si="9"/>
        <v>370.9</v>
      </c>
    </row>
    <row r="23" spans="1:17" x14ac:dyDescent="0.3">
      <c r="A23" s="1021">
        <f t="shared" si="15"/>
        <v>1770</v>
      </c>
      <c r="B23" s="418">
        <f>A23-A22</f>
        <v>30</v>
      </c>
      <c r="C23">
        <v>372.94</v>
      </c>
      <c r="D23" s="418">
        <f t="shared" si="12"/>
        <v>360</v>
      </c>
      <c r="E23" s="418">
        <f t="shared" si="13"/>
        <v>24.92</v>
      </c>
      <c r="F23" s="418">
        <f>C23-D23</f>
        <v>12.939999999999998</v>
      </c>
      <c r="G23" s="419">
        <f>G21</f>
        <v>0.5</v>
      </c>
      <c r="H23" s="418">
        <f t="shared" ref="H23" si="17">E23+2*(F23*G23)</f>
        <v>37.86</v>
      </c>
      <c r="I23" s="418">
        <f t="shared" ref="I23" si="18">(H23+E23)*F23/2</f>
        <v>406.18659999999994</v>
      </c>
      <c r="J23" s="418">
        <f>(I23+I21)/2</f>
        <v>307.37380000000019</v>
      </c>
      <c r="K23" s="418">
        <f t="shared" ref="K23" si="19">J23*B23</f>
        <v>9221.2140000000054</v>
      </c>
      <c r="L23" s="423" t="s">
        <v>280</v>
      </c>
      <c r="N23" s="420">
        <f>C23+3</f>
        <v>375.94</v>
      </c>
    </row>
    <row r="24" spans="1:17" x14ac:dyDescent="0.3">
      <c r="A24" s="1021">
        <v>1785</v>
      </c>
      <c r="B24" s="418">
        <f>A24-A23</f>
        <v>15</v>
      </c>
      <c r="C24">
        <v>373.72</v>
      </c>
      <c r="D24" s="418">
        <f t="shared" si="12"/>
        <v>360</v>
      </c>
      <c r="E24" s="418">
        <f t="shared" si="13"/>
        <v>24.92</v>
      </c>
      <c r="F24" s="418">
        <f>C24-D24</f>
        <v>13.720000000000027</v>
      </c>
      <c r="G24" s="419">
        <f>G22</f>
        <v>0.5</v>
      </c>
      <c r="H24" s="418">
        <f t="shared" si="6"/>
        <v>38.640000000000029</v>
      </c>
      <c r="I24" s="418">
        <f t="shared" si="7"/>
        <v>436.02160000000106</v>
      </c>
      <c r="J24" s="418">
        <f>(I24+I22)/2</f>
        <v>332.04730000000018</v>
      </c>
      <c r="K24" s="418">
        <f t="shared" si="8"/>
        <v>4980.7095000000027</v>
      </c>
      <c r="L24" s="423" t="s">
        <v>280</v>
      </c>
      <c r="N24" s="420">
        <f>C24+3</f>
        <v>376.72</v>
      </c>
    </row>
    <row r="25" spans="1:17" x14ac:dyDescent="0.3">
      <c r="A25" s="421"/>
      <c r="B25" s="418"/>
      <c r="C25" s="422"/>
      <c r="D25" s="418"/>
      <c r="E25" s="418"/>
      <c r="F25" s="418"/>
      <c r="G25" s="419"/>
      <c r="H25" s="418"/>
      <c r="I25" s="418"/>
      <c r="J25" s="418"/>
      <c r="K25" s="418"/>
      <c r="L25" s="423"/>
      <c r="O25" s="412" t="e">
        <f>#REF!-#REF!</f>
        <v>#REF!</v>
      </c>
    </row>
    <row r="26" spans="1:17" hidden="1" x14ac:dyDescent="0.3">
      <c r="A26" s="421">
        <v>0</v>
      </c>
      <c r="B26" s="418">
        <v>0</v>
      </c>
      <c r="C26" s="422">
        <v>275</v>
      </c>
      <c r="D26" s="418">
        <f>C26-2</f>
        <v>273</v>
      </c>
      <c r="E26" s="418">
        <f>$E$12</f>
        <v>14.3</v>
      </c>
      <c r="F26" s="418">
        <f>C26-D26</f>
        <v>2</v>
      </c>
      <c r="G26" s="419">
        <v>0.5</v>
      </c>
      <c r="H26" s="418">
        <f t="shared" ref="H26:H27" si="20">E26+2*(F26*G26)</f>
        <v>16.3</v>
      </c>
      <c r="I26" s="418">
        <f t="shared" ref="I26:I27" si="21">(H26+E26)*F26/2</f>
        <v>30.6</v>
      </c>
      <c r="J26" s="418">
        <v>0</v>
      </c>
      <c r="K26" s="418">
        <f t="shared" ref="K26:K27" si="22">J26*B26</f>
        <v>0</v>
      </c>
      <c r="L26" s="423" t="s">
        <v>281</v>
      </c>
      <c r="N26" s="420">
        <f t="shared" ref="N26:N27" si="23">C26+3</f>
        <v>278</v>
      </c>
    </row>
    <row r="27" spans="1:17" hidden="1" x14ac:dyDescent="0.3">
      <c r="A27" s="421">
        <v>0</v>
      </c>
      <c r="B27" s="418">
        <f t="shared" si="16"/>
        <v>0</v>
      </c>
      <c r="C27" s="422">
        <v>275</v>
      </c>
      <c r="D27" s="418">
        <f>D26</f>
        <v>273</v>
      </c>
      <c r="E27" s="418">
        <f>$E$12</f>
        <v>14.3</v>
      </c>
      <c r="F27" s="418">
        <f t="shared" si="0"/>
        <v>2</v>
      </c>
      <c r="G27" s="419">
        <v>0.5</v>
      </c>
      <c r="H27" s="418">
        <f t="shared" si="20"/>
        <v>16.3</v>
      </c>
      <c r="I27" s="418">
        <f t="shared" si="21"/>
        <v>30.6</v>
      </c>
      <c r="J27" s="418">
        <f t="shared" si="10"/>
        <v>30.6</v>
      </c>
      <c r="K27" s="418">
        <f t="shared" si="22"/>
        <v>0</v>
      </c>
      <c r="L27" s="423" t="s">
        <v>281</v>
      </c>
      <c r="N27" s="420">
        <f t="shared" si="23"/>
        <v>278</v>
      </c>
    </row>
    <row r="28" spans="1:17" hidden="1" x14ac:dyDescent="0.3">
      <c r="A28" s="421"/>
      <c r="B28" s="418"/>
      <c r="C28" s="422"/>
      <c r="D28" s="418"/>
      <c r="E28" s="418"/>
      <c r="F28" s="418"/>
      <c r="G28" s="419"/>
      <c r="H28" s="418"/>
      <c r="I28" s="418"/>
      <c r="J28" s="418"/>
      <c r="K28" s="418"/>
      <c r="L28" s="423"/>
      <c r="N28" s="409">
        <f>232+71.4</f>
        <v>303.39999999999998</v>
      </c>
    </row>
    <row r="29" spans="1:17" hidden="1" x14ac:dyDescent="0.3">
      <c r="A29" s="418">
        <v>0</v>
      </c>
      <c r="B29" s="418">
        <v>0</v>
      </c>
      <c r="C29" s="418">
        <f>C27</f>
        <v>275</v>
      </c>
      <c r="D29" s="418">
        <v>279</v>
      </c>
      <c r="E29" s="418">
        <v>7.4</v>
      </c>
      <c r="F29" s="418">
        <f>C29-D29</f>
        <v>-4</v>
      </c>
      <c r="G29" s="419">
        <v>0.1</v>
      </c>
      <c r="H29" s="418">
        <f>E29+2*(F29*G29)</f>
        <v>6.6000000000000005</v>
      </c>
      <c r="I29" s="418">
        <f>(H29+E29)*F29/2</f>
        <v>-28</v>
      </c>
      <c r="J29" s="418">
        <v>0</v>
      </c>
      <c r="K29" s="418">
        <f>J29*B29</f>
        <v>0</v>
      </c>
      <c r="L29" s="1203" t="s">
        <v>282</v>
      </c>
      <c r="N29" s="420">
        <f t="shared" ref="N29:N30" si="24">C29+3</f>
        <v>278</v>
      </c>
    </row>
    <row r="30" spans="1:17" hidden="1" x14ac:dyDescent="0.3">
      <c r="A30" s="418">
        <v>0</v>
      </c>
      <c r="B30" s="418">
        <f>A30-A29</f>
        <v>0</v>
      </c>
      <c r="C30" s="418">
        <v>286.57</v>
      </c>
      <c r="D30" s="418">
        <f>D29</f>
        <v>279</v>
      </c>
      <c r="E30" s="418">
        <f>E29</f>
        <v>7.4</v>
      </c>
      <c r="F30" s="418">
        <f>C30-D30</f>
        <v>7.5699999999999932</v>
      </c>
      <c r="G30" s="419">
        <v>0.1</v>
      </c>
      <c r="H30" s="418">
        <f>E30+2*(F30*G30)</f>
        <v>8.9139999999999997</v>
      </c>
      <c r="I30" s="418">
        <f>(H30+E30)*F30/2</f>
        <v>61.748489999999947</v>
      </c>
      <c r="J30" s="418">
        <f>(I30+I29)/2</f>
        <v>16.874244999999974</v>
      </c>
      <c r="K30" s="418">
        <f>J30*B30</f>
        <v>0</v>
      </c>
      <c r="L30" s="1203"/>
      <c r="N30" s="420">
        <f t="shared" si="24"/>
        <v>289.57</v>
      </c>
    </row>
    <row r="31" spans="1:17" hidden="1" x14ac:dyDescent="0.3">
      <c r="A31" s="421"/>
      <c r="B31" s="418"/>
      <c r="C31" s="422"/>
      <c r="D31" s="418"/>
      <c r="E31" s="418"/>
      <c r="F31" s="418"/>
      <c r="G31" s="419"/>
      <c r="H31" s="418"/>
      <c r="I31" s="418"/>
      <c r="J31" s="418"/>
      <c r="K31" s="418"/>
      <c r="L31" s="423"/>
    </row>
    <row r="32" spans="1:17" ht="14.4" hidden="1" customHeight="1" x14ac:dyDescent="0.3">
      <c r="A32" s="424"/>
      <c r="B32" s="425"/>
      <c r="C32" s="426"/>
      <c r="D32" s="418" t="e">
        <f>#REF!</f>
        <v>#REF!</v>
      </c>
      <c r="E32" s="418"/>
      <c r="F32" s="418"/>
      <c r="G32" s="419"/>
      <c r="H32" s="418"/>
      <c r="I32" s="418"/>
      <c r="J32" s="418"/>
      <c r="K32" s="418"/>
      <c r="L32" s="423"/>
      <c r="Q32" s="409">
        <v>139.97999999999999</v>
      </c>
    </row>
    <row r="33" spans="1:17" ht="14.4" hidden="1" customHeight="1" x14ac:dyDescent="0.3">
      <c r="A33" s="424"/>
      <c r="B33" s="425"/>
      <c r="C33" s="426"/>
      <c r="D33" s="418" t="e">
        <f t="shared" ref="D33:D40" si="25">D32</f>
        <v>#REF!</v>
      </c>
      <c r="E33" s="418"/>
      <c r="F33" s="418"/>
      <c r="G33" s="419"/>
      <c r="H33" s="418"/>
      <c r="I33" s="418"/>
      <c r="J33" s="418"/>
      <c r="K33" s="418"/>
      <c r="L33" s="423"/>
      <c r="Q33" s="409">
        <v>139.13</v>
      </c>
    </row>
    <row r="34" spans="1:17" hidden="1" x14ac:dyDescent="0.3">
      <c r="A34" s="424"/>
      <c r="B34" s="425"/>
      <c r="C34" s="426"/>
      <c r="D34" s="418" t="e">
        <f t="shared" si="25"/>
        <v>#REF!</v>
      </c>
      <c r="E34" s="418"/>
      <c r="F34" s="418"/>
      <c r="G34" s="419"/>
      <c r="H34" s="418"/>
      <c r="I34" s="418"/>
      <c r="J34" s="418"/>
      <c r="K34" s="418"/>
      <c r="L34" s="423"/>
    </row>
    <row r="35" spans="1:17" hidden="1" x14ac:dyDescent="0.3">
      <c r="A35" s="424"/>
      <c r="B35" s="425"/>
      <c r="C35" s="426"/>
      <c r="D35" s="418" t="e">
        <f t="shared" si="25"/>
        <v>#REF!</v>
      </c>
      <c r="E35" s="418"/>
      <c r="F35" s="418"/>
      <c r="G35" s="419"/>
      <c r="H35" s="418"/>
      <c r="I35" s="418"/>
      <c r="J35" s="418"/>
      <c r="K35" s="418"/>
      <c r="L35" s="423"/>
    </row>
    <row r="36" spans="1:17" hidden="1" x14ac:dyDescent="0.3">
      <c r="A36" s="424"/>
      <c r="B36" s="425"/>
      <c r="C36" s="426"/>
      <c r="D36" s="418" t="e">
        <f t="shared" si="25"/>
        <v>#REF!</v>
      </c>
      <c r="E36" s="418"/>
      <c r="F36" s="418"/>
      <c r="G36" s="419"/>
      <c r="H36" s="418"/>
      <c r="I36" s="418"/>
      <c r="J36" s="418"/>
      <c r="K36" s="418"/>
      <c r="L36" s="423"/>
    </row>
    <row r="37" spans="1:17" hidden="1" x14ac:dyDescent="0.3">
      <c r="A37" s="424"/>
      <c r="B37" s="425"/>
      <c r="C37" s="426"/>
      <c r="D37" s="418" t="e">
        <f t="shared" si="25"/>
        <v>#REF!</v>
      </c>
      <c r="E37" s="418"/>
      <c r="F37" s="418"/>
      <c r="G37" s="419"/>
      <c r="H37" s="418"/>
      <c r="I37" s="418"/>
      <c r="J37" s="418"/>
      <c r="K37" s="418"/>
      <c r="L37" s="423"/>
    </row>
    <row r="38" spans="1:17" hidden="1" x14ac:dyDescent="0.3">
      <c r="A38" s="424"/>
      <c r="B38" s="425"/>
      <c r="C38" s="426"/>
      <c r="D38" s="418" t="e">
        <f t="shared" si="25"/>
        <v>#REF!</v>
      </c>
      <c r="E38" s="418"/>
      <c r="F38" s="418"/>
      <c r="G38" s="419"/>
      <c r="H38" s="418"/>
      <c r="I38" s="418"/>
      <c r="J38" s="418"/>
      <c r="K38" s="418"/>
      <c r="L38" s="423"/>
    </row>
    <row r="39" spans="1:17" hidden="1" x14ac:dyDescent="0.3">
      <c r="A39" s="424"/>
      <c r="B39" s="425"/>
      <c r="C39" s="426"/>
      <c r="D39" s="418" t="e">
        <f t="shared" si="25"/>
        <v>#REF!</v>
      </c>
      <c r="E39" s="418"/>
      <c r="F39" s="418"/>
      <c r="G39" s="419"/>
      <c r="H39" s="418"/>
      <c r="I39" s="418"/>
      <c r="J39" s="418"/>
      <c r="K39" s="418"/>
      <c r="L39" s="423"/>
    </row>
    <row r="40" spans="1:17" hidden="1" x14ac:dyDescent="0.3">
      <c r="A40" s="424"/>
      <c r="B40" s="425"/>
      <c r="C40" s="427"/>
      <c r="D40" s="418" t="e">
        <f t="shared" si="25"/>
        <v>#REF!</v>
      </c>
      <c r="E40" s="418"/>
      <c r="F40" s="418"/>
      <c r="G40" s="419"/>
      <c r="H40" s="418"/>
      <c r="I40" s="418"/>
      <c r="J40" s="418"/>
      <c r="K40" s="418"/>
      <c r="L40" s="423"/>
    </row>
    <row r="41" spans="1:17" hidden="1" x14ac:dyDescent="0.3">
      <c r="A41" s="421"/>
      <c r="B41" s="418"/>
      <c r="C41" s="422"/>
      <c r="D41" s="418"/>
      <c r="E41" s="418"/>
      <c r="F41" s="418"/>
      <c r="G41" s="419"/>
      <c r="H41" s="418"/>
      <c r="I41" s="418"/>
      <c r="J41" s="418"/>
      <c r="K41" s="418"/>
      <c r="L41" s="423"/>
    </row>
    <row r="42" spans="1:17" x14ac:dyDescent="0.3">
      <c r="A42" s="428">
        <v>0</v>
      </c>
      <c r="B42" s="425">
        <v>0</v>
      </c>
      <c r="C42" s="426">
        <f>AVERAGE(C14:C24)</f>
        <v>369.40090909090918</v>
      </c>
      <c r="D42" s="418">
        <f>D24</f>
        <v>360</v>
      </c>
      <c r="E42" s="418">
        <v>195</v>
      </c>
      <c r="F42" s="418">
        <f t="shared" ref="F42:F43" si="26">C42-D42</f>
        <v>9.400909090909181</v>
      </c>
      <c r="G42" s="419">
        <v>1</v>
      </c>
      <c r="H42" s="418">
        <f t="shared" ref="H42:H43" si="27">E42+2*(F42*G42)</f>
        <v>213.80181818181836</v>
      </c>
      <c r="I42" s="418">
        <f t="shared" ref="I42:I43" si="28">(H42+E42)*F42/2</f>
        <v>1921.5543644628292</v>
      </c>
      <c r="J42" s="418">
        <f t="shared" ref="J42:J54" si="29">(I42+I41)/2</f>
        <v>960.7771822314146</v>
      </c>
      <c r="K42" s="418">
        <f t="shared" ref="K42" si="30">J42*B42</f>
        <v>0</v>
      </c>
      <c r="L42" s="423" t="s">
        <v>216</v>
      </c>
      <c r="N42" s="420">
        <f t="shared" ref="N42:N43" si="31">C42+3</f>
        <v>372.40090909090918</v>
      </c>
    </row>
    <row r="43" spans="1:17" x14ac:dyDescent="0.3">
      <c r="A43" s="424">
        <v>49</v>
      </c>
      <c r="B43" s="425">
        <f>A43-A42</f>
        <v>49</v>
      </c>
      <c r="C43" s="426">
        <f>C42</f>
        <v>369.40090909090918</v>
      </c>
      <c r="D43" s="418">
        <f>D42</f>
        <v>360</v>
      </c>
      <c r="E43" s="418">
        <f t="shared" ref="E43" si="32">$E$42</f>
        <v>195</v>
      </c>
      <c r="F43" s="418">
        <f t="shared" si="26"/>
        <v>9.400909090909181</v>
      </c>
      <c r="G43" s="419">
        <v>1</v>
      </c>
      <c r="H43" s="418">
        <f t="shared" si="27"/>
        <v>213.80181818181836</v>
      </c>
      <c r="I43" s="418">
        <f t="shared" si="28"/>
        <v>1921.5543644628292</v>
      </c>
      <c r="J43" s="418">
        <f t="shared" si="29"/>
        <v>1921.5543644628292</v>
      </c>
      <c r="K43" s="418">
        <f>J43*B43</f>
        <v>94156.163858678628</v>
      </c>
      <c r="L43" s="423" t="s">
        <v>216</v>
      </c>
      <c r="N43" s="420">
        <f t="shared" si="31"/>
        <v>372.40090909090918</v>
      </c>
    </row>
    <row r="44" spans="1:17" hidden="1" x14ac:dyDescent="0.3">
      <c r="A44" s="424"/>
      <c r="B44" s="425"/>
      <c r="C44" s="426"/>
      <c r="D44" s="418"/>
      <c r="E44" s="418"/>
      <c r="F44" s="418"/>
      <c r="G44" s="419"/>
      <c r="H44" s="418"/>
      <c r="I44" s="418"/>
      <c r="J44" s="418"/>
      <c r="K44" s="418"/>
      <c r="L44" s="423"/>
    </row>
    <row r="45" spans="1:17" hidden="1" x14ac:dyDescent="0.3">
      <c r="A45" s="428">
        <v>0</v>
      </c>
      <c r="B45" s="425">
        <v>0</v>
      </c>
      <c r="C45" s="426"/>
      <c r="D45" s="418">
        <f>C45-2.5</f>
        <v>-2.5</v>
      </c>
      <c r="E45" s="418">
        <v>2.5</v>
      </c>
      <c r="F45" s="418">
        <f>C45-D45</f>
        <v>2.5</v>
      </c>
      <c r="G45" s="419">
        <v>0</v>
      </c>
      <c r="H45" s="418">
        <f t="shared" ref="H45:H48" si="33">E45+2*(F45*G45)</f>
        <v>2.5</v>
      </c>
      <c r="I45" s="418">
        <f>(H45+E45)*F45/2</f>
        <v>6.25</v>
      </c>
      <c r="J45" s="418">
        <f>(I45+I44)/2</f>
        <v>3.125</v>
      </c>
      <c r="K45" s="418">
        <f t="shared" ref="K45:K48" si="34">J45*B45</f>
        <v>0</v>
      </c>
      <c r="L45" s="423" t="s">
        <v>283</v>
      </c>
    </row>
    <row r="46" spans="1:17" hidden="1" x14ac:dyDescent="0.3">
      <c r="A46" s="424">
        <v>30</v>
      </c>
      <c r="B46" s="425">
        <v>0</v>
      </c>
      <c r="C46" s="426"/>
      <c r="D46" s="418">
        <f t="shared" ref="D46:D48" si="35">C46-2.5</f>
        <v>-2.5</v>
      </c>
      <c r="E46" s="418">
        <v>2.5</v>
      </c>
      <c r="F46" s="418">
        <f t="shared" ref="F46:F48" si="36">C46-D46</f>
        <v>2.5</v>
      </c>
      <c r="G46" s="419">
        <v>0</v>
      </c>
      <c r="H46" s="418">
        <f t="shared" si="33"/>
        <v>2.5</v>
      </c>
      <c r="I46" s="418">
        <f t="shared" ref="I46:I48" si="37">(H46+E46)*F46/2</f>
        <v>6.25</v>
      </c>
      <c r="J46" s="418">
        <f t="shared" ref="J46:J48" si="38">(I46+I45)/2</f>
        <v>6.25</v>
      </c>
      <c r="K46" s="418">
        <f t="shared" si="34"/>
        <v>0</v>
      </c>
      <c r="L46" s="423" t="s">
        <v>283</v>
      </c>
    </row>
    <row r="47" spans="1:17" hidden="1" x14ac:dyDescent="0.3">
      <c r="A47" s="424">
        <v>60</v>
      </c>
      <c r="B47" s="425">
        <v>0</v>
      </c>
      <c r="C47" s="426"/>
      <c r="D47" s="418">
        <f t="shared" si="35"/>
        <v>-2.5</v>
      </c>
      <c r="E47" s="418">
        <v>2.5</v>
      </c>
      <c r="F47" s="418">
        <f t="shared" si="36"/>
        <v>2.5</v>
      </c>
      <c r="G47" s="419">
        <v>0</v>
      </c>
      <c r="H47" s="418">
        <f t="shared" si="33"/>
        <v>2.5</v>
      </c>
      <c r="I47" s="418">
        <f t="shared" si="37"/>
        <v>6.25</v>
      </c>
      <c r="J47" s="418">
        <f t="shared" si="38"/>
        <v>6.25</v>
      </c>
      <c r="K47" s="418">
        <f t="shared" si="34"/>
        <v>0</v>
      </c>
      <c r="L47" s="423" t="s">
        <v>283</v>
      </c>
    </row>
    <row r="48" spans="1:17" hidden="1" x14ac:dyDescent="0.3">
      <c r="A48" s="424">
        <v>90</v>
      </c>
      <c r="B48" s="425">
        <v>0</v>
      </c>
      <c r="C48" s="426"/>
      <c r="D48" s="418">
        <f t="shared" si="35"/>
        <v>-2.5</v>
      </c>
      <c r="E48" s="418">
        <v>2.5</v>
      </c>
      <c r="F48" s="418">
        <f t="shared" si="36"/>
        <v>2.5</v>
      </c>
      <c r="G48" s="419">
        <v>0</v>
      </c>
      <c r="H48" s="418">
        <f t="shared" si="33"/>
        <v>2.5</v>
      </c>
      <c r="I48" s="418">
        <f t="shared" si="37"/>
        <v>6.25</v>
      </c>
      <c r="J48" s="418">
        <f t="shared" si="38"/>
        <v>6.25</v>
      </c>
      <c r="K48" s="418">
        <f t="shared" si="34"/>
        <v>0</v>
      </c>
      <c r="L48" s="423" t="s">
        <v>283</v>
      </c>
    </row>
    <row r="49" spans="1:14" x14ac:dyDescent="0.3">
      <c r="A49" s="424"/>
      <c r="B49" s="425"/>
      <c r="C49" s="422"/>
      <c r="D49" s="418"/>
      <c r="E49" s="418"/>
      <c r="F49" s="418"/>
      <c r="G49" s="419"/>
      <c r="H49" s="418"/>
      <c r="I49" s="418"/>
      <c r="J49" s="418"/>
      <c r="K49" s="418"/>
      <c r="L49" s="423"/>
    </row>
    <row r="50" spans="1:14" x14ac:dyDescent="0.3">
      <c r="A50" s="424">
        <v>0</v>
      </c>
      <c r="B50" s="425">
        <v>0</v>
      </c>
      <c r="C50" s="426">
        <f>C14</f>
        <v>377.62</v>
      </c>
      <c r="D50" s="418">
        <f>D24</f>
        <v>360</v>
      </c>
      <c r="E50" s="418">
        <v>20.3</v>
      </c>
      <c r="F50" s="418">
        <f t="shared" ref="F50:F51" si="39">C50-D50</f>
        <v>17.620000000000005</v>
      </c>
      <c r="G50" s="419">
        <v>0.5</v>
      </c>
      <c r="H50" s="418">
        <f t="shared" ref="H50:H60" si="40">E50+2*(F50*G50)</f>
        <v>37.92</v>
      </c>
      <c r="I50" s="418">
        <f t="shared" ref="I50:I54" si="41">(H50+E50)*F50/2</f>
        <v>512.91820000000007</v>
      </c>
      <c r="J50" s="418">
        <f>(I50)</f>
        <v>512.91820000000007</v>
      </c>
      <c r="K50" s="418">
        <f t="shared" ref="K50:K54" si="42">J50*B50</f>
        <v>0</v>
      </c>
      <c r="L50" s="429" t="s">
        <v>284</v>
      </c>
      <c r="N50" s="420">
        <f t="shared" ref="N50:N51" si="43">C50+3</f>
        <v>380.62</v>
      </c>
    </row>
    <row r="51" spans="1:14" x14ac:dyDescent="0.3">
      <c r="A51" s="1040">
        <f>QTTY!C23</f>
        <v>56.5</v>
      </c>
      <c r="B51" s="425">
        <f>A51</f>
        <v>56.5</v>
      </c>
      <c r="C51" s="426">
        <f>C50</f>
        <v>377.62</v>
      </c>
      <c r="D51" s="418">
        <f t="shared" ref="D51:E54" si="44">D50</f>
        <v>360</v>
      </c>
      <c r="E51" s="418">
        <f>E50</f>
        <v>20.3</v>
      </c>
      <c r="F51" s="418">
        <f t="shared" si="39"/>
        <v>17.620000000000005</v>
      </c>
      <c r="G51" s="419">
        <v>0.5</v>
      </c>
      <c r="H51" s="418">
        <f t="shared" si="40"/>
        <v>37.92</v>
      </c>
      <c r="I51" s="418">
        <f t="shared" si="41"/>
        <v>512.91820000000007</v>
      </c>
      <c r="J51" s="418">
        <f>(I51+I50)/2</f>
        <v>512.91820000000007</v>
      </c>
      <c r="K51" s="418">
        <f t="shared" si="42"/>
        <v>28979.878300000004</v>
      </c>
      <c r="L51" s="429" t="s">
        <v>284</v>
      </c>
      <c r="N51" s="420">
        <f t="shared" si="43"/>
        <v>380.62</v>
      </c>
    </row>
    <row r="52" spans="1:14" x14ac:dyDescent="0.3">
      <c r="A52" s="424"/>
      <c r="B52" s="425"/>
      <c r="C52" s="426"/>
      <c r="D52" s="418"/>
      <c r="E52" s="418"/>
      <c r="F52" s="418"/>
      <c r="G52" s="419"/>
      <c r="H52" s="418"/>
      <c r="I52" s="418"/>
      <c r="J52" s="418"/>
      <c r="K52" s="418"/>
      <c r="L52" s="429"/>
    </row>
    <row r="53" spans="1:14" x14ac:dyDescent="0.3">
      <c r="A53" s="424">
        <v>0</v>
      </c>
      <c r="B53" s="425">
        <v>0</v>
      </c>
      <c r="C53" s="426">
        <f>C51</f>
        <v>377.62</v>
      </c>
      <c r="D53" s="418">
        <f>D51</f>
        <v>360</v>
      </c>
      <c r="E53" s="418">
        <f>E51</f>
        <v>20.3</v>
      </c>
      <c r="F53" s="418">
        <f t="shared" ref="F53:F60" si="45">C53-D53</f>
        <v>17.620000000000005</v>
      </c>
      <c r="G53" s="419">
        <v>0.5</v>
      </c>
      <c r="H53" s="418">
        <f t="shared" si="40"/>
        <v>37.92</v>
      </c>
      <c r="I53" s="418">
        <f t="shared" si="41"/>
        <v>512.91820000000007</v>
      </c>
      <c r="J53" s="418">
        <f>(I53)</f>
        <v>512.91820000000007</v>
      </c>
      <c r="K53" s="418">
        <f t="shared" si="42"/>
        <v>0</v>
      </c>
      <c r="L53" s="429" t="s">
        <v>285</v>
      </c>
      <c r="N53" s="420">
        <f t="shared" ref="N53:N54" si="46">C53+3</f>
        <v>380.62</v>
      </c>
    </row>
    <row r="54" spans="1:14" x14ac:dyDescent="0.3">
      <c r="A54" s="1040">
        <f>A51</f>
        <v>56.5</v>
      </c>
      <c r="B54" s="1040">
        <f>A54</f>
        <v>56.5</v>
      </c>
      <c r="C54" s="426">
        <f>C53</f>
        <v>377.62</v>
      </c>
      <c r="D54" s="418">
        <f t="shared" si="44"/>
        <v>360</v>
      </c>
      <c r="E54" s="418">
        <f t="shared" si="44"/>
        <v>20.3</v>
      </c>
      <c r="F54" s="418">
        <f t="shared" si="45"/>
        <v>17.620000000000005</v>
      </c>
      <c r="G54" s="419">
        <v>0.5</v>
      </c>
      <c r="H54" s="418">
        <f t="shared" si="40"/>
        <v>37.92</v>
      </c>
      <c r="I54" s="418">
        <f t="shared" si="41"/>
        <v>512.91820000000007</v>
      </c>
      <c r="J54" s="418">
        <f t="shared" si="29"/>
        <v>512.91820000000007</v>
      </c>
      <c r="K54" s="418">
        <f t="shared" si="42"/>
        <v>28979.878300000004</v>
      </c>
      <c r="L54" s="429" t="s">
        <v>286</v>
      </c>
      <c r="N54" s="420">
        <f t="shared" si="46"/>
        <v>380.62</v>
      </c>
    </row>
    <row r="55" spans="1:14" x14ac:dyDescent="0.3">
      <c r="A55" s="424"/>
      <c r="B55" s="425"/>
      <c r="C55" s="422"/>
      <c r="D55" s="418"/>
      <c r="E55" s="418"/>
      <c r="F55" s="418"/>
      <c r="G55" s="419"/>
      <c r="H55" s="418"/>
      <c r="I55" s="418"/>
      <c r="J55" s="418"/>
      <c r="K55" s="418"/>
      <c r="L55" s="423"/>
    </row>
    <row r="56" spans="1:14" x14ac:dyDescent="0.3">
      <c r="A56" s="424">
        <v>0</v>
      </c>
      <c r="B56" s="425">
        <v>0</v>
      </c>
      <c r="C56" s="426">
        <f>C51</f>
        <v>377.62</v>
      </c>
      <c r="D56" s="418">
        <f>D54</f>
        <v>360</v>
      </c>
      <c r="E56" s="418">
        <v>20.3</v>
      </c>
      <c r="F56" s="418">
        <f t="shared" si="45"/>
        <v>17.620000000000005</v>
      </c>
      <c r="G56" s="419">
        <v>0.5</v>
      </c>
      <c r="H56" s="418">
        <f t="shared" si="40"/>
        <v>37.92</v>
      </c>
      <c r="I56" s="418">
        <f>(H56+E56)*F56/2</f>
        <v>512.91820000000007</v>
      </c>
      <c r="J56" s="418">
        <f t="shared" ref="J56:J60" si="47">(I56+I55)/2</f>
        <v>256.45910000000003</v>
      </c>
      <c r="K56" s="418">
        <f t="shared" ref="K56:K59" si="48">J56*B56</f>
        <v>0</v>
      </c>
      <c r="L56" s="429" t="s">
        <v>287</v>
      </c>
      <c r="N56" s="420">
        <f t="shared" ref="N56:N57" si="49">C56+3</f>
        <v>380.62</v>
      </c>
    </row>
    <row r="57" spans="1:14" x14ac:dyDescent="0.3">
      <c r="A57" s="424">
        <f>QTTY!C21</f>
        <v>38.700000000000003</v>
      </c>
      <c r="B57" s="425">
        <f>A57</f>
        <v>38.700000000000003</v>
      </c>
      <c r="C57" s="426">
        <f>C56</f>
        <v>377.62</v>
      </c>
      <c r="D57" s="418">
        <f>D56</f>
        <v>360</v>
      </c>
      <c r="E57" s="418">
        <f>E56</f>
        <v>20.3</v>
      </c>
      <c r="F57" s="418">
        <f t="shared" si="45"/>
        <v>17.620000000000005</v>
      </c>
      <c r="G57" s="419">
        <v>0.5</v>
      </c>
      <c r="H57" s="418">
        <f t="shared" si="40"/>
        <v>37.92</v>
      </c>
      <c r="I57" s="418">
        <f t="shared" ref="I57:I60" si="50">(H57+E57)*F57/2</f>
        <v>512.91820000000007</v>
      </c>
      <c r="J57" s="418">
        <f t="shared" si="47"/>
        <v>512.91820000000007</v>
      </c>
      <c r="K57" s="418">
        <f t="shared" si="48"/>
        <v>19849.934340000003</v>
      </c>
      <c r="L57" s="429" t="s">
        <v>288</v>
      </c>
      <c r="N57" s="420">
        <f t="shared" si="49"/>
        <v>380.62</v>
      </c>
    </row>
    <row r="58" spans="1:14" x14ac:dyDescent="0.3">
      <c r="A58" s="424"/>
      <c r="B58" s="425"/>
      <c r="C58" s="426"/>
      <c r="D58" s="418"/>
      <c r="E58" s="418"/>
      <c r="F58" s="418"/>
      <c r="G58" s="419"/>
      <c r="H58" s="418"/>
      <c r="I58" s="418"/>
      <c r="J58" s="418"/>
      <c r="K58" s="418"/>
      <c r="L58" s="429"/>
    </row>
    <row r="59" spans="1:14" x14ac:dyDescent="0.3">
      <c r="A59" s="424">
        <v>0</v>
      </c>
      <c r="B59" s="425">
        <v>0</v>
      </c>
      <c r="C59" s="426">
        <f>C54</f>
        <v>377.62</v>
      </c>
      <c r="D59" s="418">
        <f>D57</f>
        <v>360</v>
      </c>
      <c r="E59" s="418">
        <f>E57</f>
        <v>20.3</v>
      </c>
      <c r="F59" s="418">
        <f t="shared" si="45"/>
        <v>17.620000000000005</v>
      </c>
      <c r="G59" s="419">
        <v>0.5</v>
      </c>
      <c r="H59" s="418">
        <f t="shared" si="40"/>
        <v>37.92</v>
      </c>
      <c r="I59" s="418">
        <f t="shared" si="50"/>
        <v>512.91820000000007</v>
      </c>
      <c r="J59" s="418">
        <f>(I59+I57)/2</f>
        <v>512.91820000000007</v>
      </c>
      <c r="K59" s="418">
        <f t="shared" si="48"/>
        <v>0</v>
      </c>
      <c r="L59" s="429" t="s">
        <v>289</v>
      </c>
      <c r="N59" s="420">
        <f t="shared" ref="N59:N60" si="51">C59+3</f>
        <v>380.62</v>
      </c>
    </row>
    <row r="60" spans="1:14" x14ac:dyDescent="0.3">
      <c r="A60" s="1041">
        <f>QTTY!C22</f>
        <v>21.5</v>
      </c>
      <c r="B60" s="1040">
        <f>A60</f>
        <v>21.5</v>
      </c>
      <c r="C60" s="426">
        <f>C59</f>
        <v>377.62</v>
      </c>
      <c r="D60" s="418">
        <f t="shared" ref="D60" si="52">D59</f>
        <v>360</v>
      </c>
      <c r="E60" s="418">
        <f>E59</f>
        <v>20.3</v>
      </c>
      <c r="F60" s="418">
        <f t="shared" si="45"/>
        <v>17.620000000000005</v>
      </c>
      <c r="G60" s="419">
        <v>0.5</v>
      </c>
      <c r="H60" s="418">
        <f t="shared" si="40"/>
        <v>37.92</v>
      </c>
      <c r="I60" s="418">
        <f t="shared" si="50"/>
        <v>512.91820000000007</v>
      </c>
      <c r="J60" s="418">
        <f t="shared" si="47"/>
        <v>512.91820000000007</v>
      </c>
      <c r="K60" s="418">
        <f>J60*B60</f>
        <v>11027.741300000002</v>
      </c>
      <c r="L60" s="429" t="s">
        <v>290</v>
      </c>
      <c r="N60" s="420">
        <f t="shared" si="51"/>
        <v>380.62</v>
      </c>
    </row>
    <row r="61" spans="1:14" x14ac:dyDescent="0.3">
      <c r="A61" s="424"/>
      <c r="B61" s="425"/>
      <c r="C61" s="427"/>
      <c r="D61" s="418"/>
      <c r="E61" s="418"/>
      <c r="F61" s="418"/>
      <c r="G61" s="419"/>
      <c r="H61" s="418"/>
      <c r="I61" s="418"/>
      <c r="J61" s="418"/>
      <c r="K61" s="418"/>
      <c r="L61" s="423"/>
    </row>
    <row r="62" spans="1:14" x14ac:dyDescent="0.3">
      <c r="A62" s="424"/>
      <c r="B62" s="425"/>
      <c r="C62" s="427"/>
      <c r="D62" s="418"/>
      <c r="E62" s="418"/>
      <c r="F62" s="418"/>
      <c r="G62" s="419"/>
      <c r="H62" s="418"/>
      <c r="I62" s="418"/>
      <c r="J62" s="418"/>
      <c r="K62" s="418"/>
      <c r="L62" s="423"/>
    </row>
    <row r="63" spans="1:14" hidden="1" x14ac:dyDescent="0.3">
      <c r="A63" s="430"/>
      <c r="B63" s="431"/>
      <c r="C63" s="432"/>
      <c r="D63" s="433"/>
      <c r="E63" s="433"/>
      <c r="F63" s="433"/>
      <c r="G63" s="434"/>
      <c r="H63" s="433"/>
      <c r="I63" s="433"/>
      <c r="J63" s="433"/>
      <c r="K63" s="433"/>
      <c r="L63" s="435"/>
    </row>
    <row r="64" spans="1:14" hidden="1" x14ac:dyDescent="0.3">
      <c r="A64" s="436" t="s">
        <v>291</v>
      </c>
      <c r="B64" s="437" t="s">
        <v>163</v>
      </c>
      <c r="C64" s="437" t="s">
        <v>164</v>
      </c>
      <c r="D64" s="437" t="s">
        <v>165</v>
      </c>
      <c r="E64" s="438"/>
      <c r="F64" s="438"/>
      <c r="G64" s="438"/>
      <c r="H64" s="438"/>
      <c r="I64" s="438"/>
      <c r="J64" s="438"/>
      <c r="K64" s="438"/>
      <c r="L64" s="439"/>
    </row>
    <row r="65" spans="1:14" hidden="1" x14ac:dyDescent="0.3">
      <c r="A65" s="440"/>
      <c r="B65" s="423">
        <v>3</v>
      </c>
      <c r="C65" s="423">
        <v>3</v>
      </c>
      <c r="D65" s="423">
        <v>3</v>
      </c>
      <c r="E65" s="438"/>
      <c r="F65" s="438"/>
      <c r="G65" s="438"/>
      <c r="H65" s="438"/>
      <c r="I65" s="438"/>
      <c r="J65" s="441"/>
      <c r="K65" s="442">
        <v>0</v>
      </c>
      <c r="L65" s="439"/>
    </row>
    <row r="66" spans="1:14" x14ac:dyDescent="0.3">
      <c r="J66" s="411"/>
    </row>
    <row r="67" spans="1:14" x14ac:dyDescent="0.3">
      <c r="J67" s="411" t="s">
        <v>292</v>
      </c>
      <c r="K67" s="443">
        <f>SUM(K8:K61)</f>
        <v>249092.54309867867</v>
      </c>
    </row>
    <row r="68" spans="1:14" x14ac:dyDescent="0.3">
      <c r="E68" s="444" t="s">
        <v>293</v>
      </c>
      <c r="F68" s="409">
        <v>200</v>
      </c>
      <c r="G68" s="409">
        <v>300</v>
      </c>
      <c r="H68" s="409">
        <v>0</v>
      </c>
      <c r="I68" s="445">
        <f>H68*G68*F68</f>
        <v>0</v>
      </c>
      <c r="J68" s="411"/>
      <c r="K68" s="443"/>
    </row>
    <row r="69" spans="1:14" ht="19.95" customHeight="1" x14ac:dyDescent="0.3">
      <c r="B69" s="446"/>
      <c r="C69" s="446"/>
      <c r="D69" s="446"/>
      <c r="E69" s="444" t="s">
        <v>294</v>
      </c>
      <c r="F69" s="1204">
        <f>K67+I68</f>
        <v>249092.54309867867</v>
      </c>
      <c r="G69" s="1204"/>
      <c r="H69" s="1204"/>
    </row>
    <row r="70" spans="1:14" x14ac:dyDescent="0.3">
      <c r="A70" s="410"/>
      <c r="B70" s="410"/>
      <c r="C70" s="410"/>
      <c r="D70" s="1201" t="str">
        <f>CONCATENATE("i) HR (",M70*100,"%) =",)</f>
        <v>i) HR (50%) =</v>
      </c>
      <c r="E70" s="1201"/>
      <c r="F70" s="413" t="s">
        <v>114</v>
      </c>
      <c r="G70" s="1202">
        <f>F69*M70</f>
        <v>124546.27154933933</v>
      </c>
      <c r="H70" s="1202"/>
      <c r="M70" s="447">
        <v>0.5</v>
      </c>
    </row>
    <row r="71" spans="1:14" x14ac:dyDescent="0.3">
      <c r="A71" s="410"/>
      <c r="B71" s="410"/>
      <c r="C71" s="410"/>
      <c r="D71" s="1201" t="str">
        <f>CONCATENATE("ii) D.I.R/S.R (",M71*100,"%) =",)</f>
        <v>ii) D.I.R/S.R (20%) =</v>
      </c>
      <c r="E71" s="1201"/>
      <c r="F71" s="413" t="s">
        <v>114</v>
      </c>
      <c r="G71" s="1202">
        <f>F69*M71</f>
        <v>49818.508619735738</v>
      </c>
      <c r="H71" s="1202"/>
      <c r="M71" s="447">
        <v>0.2</v>
      </c>
    </row>
    <row r="72" spans="1:14" s="413" customFormat="1" x14ac:dyDescent="0.3">
      <c r="A72" s="410"/>
      <c r="B72" s="410"/>
      <c r="C72" s="410"/>
      <c r="D72" s="1201" t="str">
        <f>CONCATENATE("ii) Soil (",M72*100,"%) =",)</f>
        <v>ii) Soil (30%) =</v>
      </c>
      <c r="E72" s="1201"/>
      <c r="F72" s="413" t="s">
        <v>114</v>
      </c>
      <c r="G72" s="1202">
        <f>F69*M72</f>
        <v>74727.762929603603</v>
      </c>
      <c r="H72" s="1202"/>
      <c r="I72" s="409"/>
      <c r="J72" s="409"/>
      <c r="K72" s="409"/>
      <c r="M72" s="447">
        <v>0.3</v>
      </c>
      <c r="N72" s="409"/>
    </row>
    <row r="73" spans="1:14" s="413" customFormat="1" x14ac:dyDescent="0.3">
      <c r="A73" s="409"/>
      <c r="B73" s="409"/>
      <c r="C73" s="409"/>
      <c r="D73" s="409"/>
      <c r="E73" s="412"/>
      <c r="F73" s="412"/>
      <c r="G73" s="409"/>
      <c r="H73" s="409"/>
      <c r="I73" s="409"/>
      <c r="J73" s="409"/>
      <c r="K73" s="409"/>
      <c r="M73" s="409"/>
      <c r="N73" s="409"/>
    </row>
    <row r="74" spans="1:14" s="413" customFormat="1" x14ac:dyDescent="0.3">
      <c r="A74" s="409"/>
      <c r="B74" s="409"/>
      <c r="C74" s="409"/>
      <c r="D74" s="409"/>
      <c r="E74" s="412"/>
      <c r="F74" s="412"/>
      <c r="G74" s="409"/>
      <c r="H74" s="409"/>
      <c r="I74" s="409"/>
      <c r="J74" s="409"/>
      <c r="K74" s="409"/>
      <c r="M74" s="409"/>
      <c r="N74" s="409"/>
    </row>
    <row r="75" spans="1:14" s="413" customFormat="1" x14ac:dyDescent="0.3">
      <c r="A75" s="409"/>
      <c r="B75" s="409"/>
      <c r="C75" s="409"/>
      <c r="D75" s="409"/>
      <c r="E75" s="412"/>
      <c r="F75" s="412"/>
      <c r="G75" s="409"/>
      <c r="H75" s="409"/>
      <c r="I75" s="409"/>
      <c r="J75" s="409"/>
      <c r="K75" s="409"/>
      <c r="M75" s="409"/>
      <c r="N75" s="409"/>
    </row>
    <row r="76" spans="1:14" s="413" customFormat="1" x14ac:dyDescent="0.3">
      <c r="A76" s="409"/>
      <c r="B76" s="409"/>
      <c r="C76" s="409"/>
      <c r="D76" s="409"/>
      <c r="E76" s="412"/>
      <c r="F76" s="412"/>
      <c r="G76" s="409"/>
      <c r="H76" s="409"/>
      <c r="I76" s="409"/>
      <c r="J76" s="409"/>
      <c r="K76" s="409"/>
      <c r="M76" s="409"/>
      <c r="N76" s="409"/>
    </row>
    <row r="77" spans="1:14" s="413" customFormat="1" x14ac:dyDescent="0.3">
      <c r="A77" s="409"/>
      <c r="B77" s="409"/>
      <c r="C77" s="409"/>
      <c r="D77" s="409"/>
      <c r="E77" s="412"/>
      <c r="F77" s="412"/>
      <c r="G77" s="409"/>
      <c r="H77" s="409"/>
      <c r="I77" s="409"/>
      <c r="J77" s="409"/>
      <c r="K77" s="409"/>
      <c r="M77" s="409"/>
      <c r="N77" s="409"/>
    </row>
    <row r="78" spans="1:14" s="413" customFormat="1" x14ac:dyDescent="0.3">
      <c r="A78" s="409"/>
      <c r="B78" s="409"/>
      <c r="C78" s="409"/>
      <c r="D78" s="409"/>
      <c r="E78" s="412"/>
      <c r="F78" s="412"/>
      <c r="G78" s="409"/>
      <c r="H78" s="409"/>
      <c r="I78" s="409"/>
      <c r="J78" s="409"/>
      <c r="K78" s="409"/>
      <c r="M78" s="409"/>
      <c r="N78" s="409"/>
    </row>
    <row r="79" spans="1:14" s="413" customFormat="1" x14ac:dyDescent="0.3">
      <c r="A79" s="409"/>
      <c r="B79" s="409"/>
      <c r="C79" s="409"/>
      <c r="D79" s="409"/>
      <c r="E79" s="412"/>
      <c r="F79" s="412"/>
      <c r="G79" s="409"/>
      <c r="H79" s="409"/>
      <c r="I79" s="409"/>
      <c r="J79" s="409"/>
      <c r="K79" s="409"/>
      <c r="M79" s="409"/>
      <c r="N79" s="409"/>
    </row>
    <row r="80" spans="1:14" s="413" customFormat="1" x14ac:dyDescent="0.3">
      <c r="A80" s="409"/>
      <c r="B80" s="409"/>
      <c r="C80" s="409"/>
      <c r="D80" s="409"/>
      <c r="E80" s="412"/>
      <c r="F80" s="412"/>
      <c r="G80" s="409"/>
      <c r="H80" s="409"/>
      <c r="I80" s="409"/>
      <c r="J80" s="409"/>
      <c r="K80" s="409"/>
      <c r="M80" s="409"/>
      <c r="N80" s="409"/>
    </row>
    <row r="81" spans="1:14" s="413" customFormat="1" x14ac:dyDescent="0.3">
      <c r="A81" s="409"/>
      <c r="B81" s="409"/>
      <c r="C81" s="409"/>
      <c r="D81" s="409"/>
      <c r="E81" s="412"/>
      <c r="F81" s="412"/>
      <c r="G81" s="409"/>
      <c r="H81" s="409"/>
      <c r="I81" s="409"/>
      <c r="J81" s="409"/>
      <c r="K81" s="409"/>
      <c r="M81" s="409"/>
      <c r="N81" s="409"/>
    </row>
    <row r="82" spans="1:14" x14ac:dyDescent="0.3">
      <c r="E82" s="412"/>
      <c r="F82" s="412"/>
    </row>
    <row r="83" spans="1:14" x14ac:dyDescent="0.3">
      <c r="E83" s="412"/>
      <c r="F83" s="412"/>
    </row>
    <row r="84" spans="1:14" x14ac:dyDescent="0.3">
      <c r="E84" s="412"/>
      <c r="F84" s="412"/>
    </row>
    <row r="85" spans="1:14" x14ac:dyDescent="0.3">
      <c r="E85" s="412"/>
      <c r="F85" s="412"/>
    </row>
    <row r="86" spans="1:14" x14ac:dyDescent="0.3">
      <c r="E86" s="412"/>
      <c r="F86" s="412"/>
    </row>
    <row r="87" spans="1:14" x14ac:dyDescent="0.3">
      <c r="E87" s="412"/>
      <c r="F87" s="412"/>
    </row>
    <row r="88" spans="1:14" x14ac:dyDescent="0.3">
      <c r="E88" s="412"/>
      <c r="F88" s="412"/>
    </row>
    <row r="89" spans="1:14" x14ac:dyDescent="0.3">
      <c r="E89" s="412"/>
      <c r="F89" s="412"/>
    </row>
    <row r="90" spans="1:14" x14ac:dyDescent="0.3">
      <c r="E90" s="412"/>
      <c r="F90" s="412"/>
    </row>
    <row r="91" spans="1:14" x14ac:dyDescent="0.3">
      <c r="E91" s="412"/>
      <c r="F91" s="412"/>
    </row>
    <row r="92" spans="1:14" x14ac:dyDescent="0.3">
      <c r="E92" s="412"/>
      <c r="F92" s="412"/>
    </row>
    <row r="93" spans="1:14" x14ac:dyDescent="0.3">
      <c r="E93" s="412"/>
    </row>
    <row r="94" spans="1:14" x14ac:dyDescent="0.3">
      <c r="E94" s="412"/>
    </row>
    <row r="95" spans="1:14" x14ac:dyDescent="0.3">
      <c r="E95" s="412"/>
    </row>
    <row r="96" spans="1:14" x14ac:dyDescent="0.3">
      <c r="E96" s="412"/>
    </row>
    <row r="97" spans="5:5" x14ac:dyDescent="0.3">
      <c r="E97" s="412"/>
    </row>
    <row r="98" spans="5:5" x14ac:dyDescent="0.3">
      <c r="E98" s="412"/>
    </row>
    <row r="99" spans="5:5" x14ac:dyDescent="0.3">
      <c r="E99" s="412"/>
    </row>
    <row r="100" spans="5:5" x14ac:dyDescent="0.3">
      <c r="E100" s="412"/>
    </row>
    <row r="101" spans="5:5" x14ac:dyDescent="0.3">
      <c r="E101" s="412"/>
    </row>
    <row r="102" spans="5:5" x14ac:dyDescent="0.3">
      <c r="E102" s="412"/>
    </row>
    <row r="103" spans="5:5" x14ac:dyDescent="0.3">
      <c r="E103" s="412"/>
    </row>
    <row r="104" spans="5:5" x14ac:dyDescent="0.3">
      <c r="E104" s="412"/>
    </row>
    <row r="105" spans="5:5" x14ac:dyDescent="0.3">
      <c r="E105" s="412"/>
    </row>
    <row r="106" spans="5:5" x14ac:dyDescent="0.3">
      <c r="E106" s="412"/>
    </row>
    <row r="107" spans="5:5" x14ac:dyDescent="0.3">
      <c r="E107" s="412"/>
    </row>
    <row r="108" spans="5:5" x14ac:dyDescent="0.3">
      <c r="E108" s="412"/>
    </row>
    <row r="109" spans="5:5" x14ac:dyDescent="0.3">
      <c r="E109" s="412"/>
    </row>
    <row r="110" spans="5:5" x14ac:dyDescent="0.3">
      <c r="E110" s="412"/>
    </row>
    <row r="111" spans="5:5" x14ac:dyDescent="0.3">
      <c r="E111" s="412"/>
    </row>
    <row r="112" spans="5:5" x14ac:dyDescent="0.3">
      <c r="E112" s="412"/>
    </row>
    <row r="113" spans="5:5" x14ac:dyDescent="0.3">
      <c r="E113" s="412"/>
    </row>
    <row r="114" spans="5:5" x14ac:dyDescent="0.3">
      <c r="E114" s="412"/>
    </row>
    <row r="115" spans="5:5" x14ac:dyDescent="0.3">
      <c r="E115" s="412"/>
    </row>
    <row r="116" spans="5:5" x14ac:dyDescent="0.3">
      <c r="E116" s="412"/>
    </row>
    <row r="117" spans="5:5" x14ac:dyDescent="0.3">
      <c r="E117" s="412"/>
    </row>
    <row r="118" spans="5:5" x14ac:dyDescent="0.3">
      <c r="E118" s="412"/>
    </row>
    <row r="119" spans="5:5" x14ac:dyDescent="0.3">
      <c r="E119" s="412"/>
    </row>
    <row r="120" spans="5:5" x14ac:dyDescent="0.3">
      <c r="E120" s="412"/>
    </row>
    <row r="121" spans="5:5" x14ac:dyDescent="0.3">
      <c r="E121" s="412"/>
    </row>
    <row r="122" spans="5:5" x14ac:dyDescent="0.3">
      <c r="E122" s="412"/>
    </row>
  </sheetData>
  <sheetProtection selectLockedCells="1" selectUnlockedCells="1"/>
  <customSheetViews>
    <customSheetView guid="{5161B42F-120B-436B-80F4-9BB578173AD5}" hiddenRows="1" topLeftCell="A16">
      <selection activeCell="E30" sqref="E30"/>
      <pageMargins left="0.70866141732283472" right="0.70866141732283472" top="0.74803149606299213" bottom="0.74803149606299213" header="0.51181102362204722" footer="0.51181102362204722"/>
      <printOptions horizontalCentered="1"/>
      <pageSetup paperSize="9" scale="63" firstPageNumber="0" orientation="landscape" blackAndWhite="1" r:id="rId1"/>
      <headerFooter alignWithMargins="0"/>
    </customSheetView>
  </customSheetViews>
  <mergeCells count="14">
    <mergeCell ref="L8:L9"/>
    <mergeCell ref="A1:L1"/>
    <mergeCell ref="K2:L2"/>
    <mergeCell ref="A3:L3"/>
    <mergeCell ref="A4:L4"/>
    <mergeCell ref="A5:L5"/>
    <mergeCell ref="D72:E72"/>
    <mergeCell ref="G72:H72"/>
    <mergeCell ref="L29:L30"/>
    <mergeCell ref="F69:H69"/>
    <mergeCell ref="D70:E70"/>
    <mergeCell ref="G70:H70"/>
    <mergeCell ref="D71:E71"/>
    <mergeCell ref="G71:H71"/>
  </mergeCells>
  <printOptions horizontalCentered="1"/>
  <pageMargins left="0.70866141732283472" right="0.70866141732283472" top="0.74803149606299213" bottom="0.74803149606299213" header="0.51181102362204722" footer="0.51181102362204722"/>
  <pageSetup paperSize="9" scale="63" firstPageNumber="0" orientation="landscape" blackAndWhite="1"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BE118"/>
  <sheetViews>
    <sheetView view="pageBreakPreview" topLeftCell="B1" zoomScale="65" zoomScaleNormal="85" workbookViewId="0">
      <selection activeCell="F16" sqref="F16"/>
    </sheetView>
  </sheetViews>
  <sheetFormatPr defaultRowHeight="13.2" x14ac:dyDescent="0.25"/>
  <cols>
    <col min="1" max="1" width="4.44140625" style="565" customWidth="1"/>
    <col min="2" max="2" width="51.6640625" style="451" customWidth="1"/>
    <col min="3" max="3" width="6.6640625" style="451" customWidth="1"/>
    <col min="4" max="4" width="12.5546875" style="452" customWidth="1"/>
    <col min="5" max="5" width="7.33203125" style="453" customWidth="1"/>
    <col min="6" max="6" width="13.44140625" style="451" customWidth="1"/>
    <col min="7" max="10" width="8.33203125" style="561" customWidth="1"/>
    <col min="11" max="252" width="8.88671875" style="449"/>
    <col min="253" max="253" width="4.44140625" style="449" customWidth="1"/>
    <col min="254" max="254" width="36.6640625" style="449" customWidth="1"/>
    <col min="255" max="255" width="8.88671875" style="449"/>
    <col min="256" max="256" width="10.6640625" style="449" bestFit="1" customWidth="1"/>
    <col min="257" max="257" width="9.33203125" style="449" bestFit="1" customWidth="1"/>
    <col min="258" max="258" width="14.5546875" style="449" customWidth="1"/>
    <col min="259" max="260" width="9.33203125" style="449" bestFit="1" customWidth="1"/>
    <col min="261" max="261" width="9.6640625" style="449" bestFit="1" customWidth="1"/>
    <col min="262" max="262" width="11.33203125" style="449" bestFit="1" customWidth="1"/>
    <col min="263" max="265" width="9.33203125" style="449" bestFit="1" customWidth="1"/>
    <col min="266" max="508" width="8.88671875" style="449"/>
    <col min="509" max="509" width="4.44140625" style="449" customWidth="1"/>
    <col min="510" max="510" width="36.6640625" style="449" customWidth="1"/>
    <col min="511" max="511" width="8.88671875" style="449"/>
    <col min="512" max="512" width="10.6640625" style="449" bestFit="1" customWidth="1"/>
    <col min="513" max="513" width="9.33203125" style="449" bestFit="1" customWidth="1"/>
    <col min="514" max="514" width="14.5546875" style="449" customWidth="1"/>
    <col min="515" max="516" width="9.33203125" style="449" bestFit="1" customWidth="1"/>
    <col min="517" max="517" width="9.6640625" style="449" bestFit="1" customWidth="1"/>
    <col min="518" max="518" width="11.33203125" style="449" bestFit="1" customWidth="1"/>
    <col min="519" max="521" width="9.33203125" style="449" bestFit="1" customWidth="1"/>
    <col min="522" max="764" width="8.88671875" style="449"/>
    <col min="765" max="765" width="4.44140625" style="449" customWidth="1"/>
    <col min="766" max="766" width="36.6640625" style="449" customWidth="1"/>
    <col min="767" max="767" width="8.88671875" style="449"/>
    <col min="768" max="768" width="10.6640625" style="449" bestFit="1" customWidth="1"/>
    <col min="769" max="769" width="9.33203125" style="449" bestFit="1" customWidth="1"/>
    <col min="770" max="770" width="14.5546875" style="449" customWidth="1"/>
    <col min="771" max="772" width="9.33203125" style="449" bestFit="1" customWidth="1"/>
    <col min="773" max="773" width="9.6640625" style="449" bestFit="1" customWidth="1"/>
    <col min="774" max="774" width="11.33203125" style="449" bestFit="1" customWidth="1"/>
    <col min="775" max="777" width="9.33203125" style="449" bestFit="1" customWidth="1"/>
    <col min="778" max="1020" width="8.88671875" style="449"/>
    <col min="1021" max="1021" width="4.44140625" style="449" customWidth="1"/>
    <col min="1022" max="1022" width="36.6640625" style="449" customWidth="1"/>
    <col min="1023" max="1023" width="8.88671875" style="449"/>
    <col min="1024" max="1024" width="10.6640625" style="449" bestFit="1" customWidth="1"/>
    <col min="1025" max="1025" width="9.33203125" style="449" bestFit="1" customWidth="1"/>
    <col min="1026" max="1026" width="14.5546875" style="449" customWidth="1"/>
    <col min="1027" max="1028" width="9.33203125" style="449" bestFit="1" customWidth="1"/>
    <col min="1029" max="1029" width="9.6640625" style="449" bestFit="1" customWidth="1"/>
    <col min="1030" max="1030" width="11.33203125" style="449" bestFit="1" customWidth="1"/>
    <col min="1031" max="1033" width="9.33203125" style="449" bestFit="1" customWidth="1"/>
    <col min="1034" max="1276" width="8.88671875" style="449"/>
    <col min="1277" max="1277" width="4.44140625" style="449" customWidth="1"/>
    <col min="1278" max="1278" width="36.6640625" style="449" customWidth="1"/>
    <col min="1279" max="1279" width="8.88671875" style="449"/>
    <col min="1280" max="1280" width="10.6640625" style="449" bestFit="1" customWidth="1"/>
    <col min="1281" max="1281" width="9.33203125" style="449" bestFit="1" customWidth="1"/>
    <col min="1282" max="1282" width="14.5546875" style="449" customWidth="1"/>
    <col min="1283" max="1284" width="9.33203125" style="449" bestFit="1" customWidth="1"/>
    <col min="1285" max="1285" width="9.6640625" style="449" bestFit="1" customWidth="1"/>
    <col min="1286" max="1286" width="11.33203125" style="449" bestFit="1" customWidth="1"/>
    <col min="1287" max="1289" width="9.33203125" style="449" bestFit="1" customWidth="1"/>
    <col min="1290" max="1532" width="8.88671875" style="449"/>
    <col min="1533" max="1533" width="4.44140625" style="449" customWidth="1"/>
    <col min="1534" max="1534" width="36.6640625" style="449" customWidth="1"/>
    <col min="1535" max="1535" width="8.88671875" style="449"/>
    <col min="1536" max="1536" width="10.6640625" style="449" bestFit="1" customWidth="1"/>
    <col min="1537" max="1537" width="9.33203125" style="449" bestFit="1" customWidth="1"/>
    <col min="1538" max="1538" width="14.5546875" style="449" customWidth="1"/>
    <col min="1539" max="1540" width="9.33203125" style="449" bestFit="1" customWidth="1"/>
    <col min="1541" max="1541" width="9.6640625" style="449" bestFit="1" customWidth="1"/>
    <col min="1542" max="1542" width="11.33203125" style="449" bestFit="1" customWidth="1"/>
    <col min="1543" max="1545" width="9.33203125" style="449" bestFit="1" customWidth="1"/>
    <col min="1546" max="1788" width="8.88671875" style="449"/>
    <col min="1789" max="1789" width="4.44140625" style="449" customWidth="1"/>
    <col min="1790" max="1790" width="36.6640625" style="449" customWidth="1"/>
    <col min="1791" max="1791" width="8.88671875" style="449"/>
    <col min="1792" max="1792" width="10.6640625" style="449" bestFit="1" customWidth="1"/>
    <col min="1793" max="1793" width="9.33203125" style="449" bestFit="1" customWidth="1"/>
    <col min="1794" max="1794" width="14.5546875" style="449" customWidth="1"/>
    <col min="1795" max="1796" width="9.33203125" style="449" bestFit="1" customWidth="1"/>
    <col min="1797" max="1797" width="9.6640625" style="449" bestFit="1" customWidth="1"/>
    <col min="1798" max="1798" width="11.33203125" style="449" bestFit="1" customWidth="1"/>
    <col min="1799" max="1801" width="9.33203125" style="449" bestFit="1" customWidth="1"/>
    <col min="1802" max="2044" width="8.88671875" style="449"/>
    <col min="2045" max="2045" width="4.44140625" style="449" customWidth="1"/>
    <col min="2046" max="2046" width="36.6640625" style="449" customWidth="1"/>
    <col min="2047" max="2047" width="8.88671875" style="449"/>
    <col min="2048" max="2048" width="10.6640625" style="449" bestFit="1" customWidth="1"/>
    <col min="2049" max="2049" width="9.33203125" style="449" bestFit="1" customWidth="1"/>
    <col min="2050" max="2050" width="14.5546875" style="449" customWidth="1"/>
    <col min="2051" max="2052" width="9.33203125" style="449" bestFit="1" customWidth="1"/>
    <col min="2053" max="2053" width="9.6640625" style="449" bestFit="1" customWidth="1"/>
    <col min="2054" max="2054" width="11.33203125" style="449" bestFit="1" customWidth="1"/>
    <col min="2055" max="2057" width="9.33203125" style="449" bestFit="1" customWidth="1"/>
    <col min="2058" max="2300" width="8.88671875" style="449"/>
    <col min="2301" max="2301" width="4.44140625" style="449" customWidth="1"/>
    <col min="2302" max="2302" width="36.6640625" style="449" customWidth="1"/>
    <col min="2303" max="2303" width="8.88671875" style="449"/>
    <col min="2304" max="2304" width="10.6640625" style="449" bestFit="1" customWidth="1"/>
    <col min="2305" max="2305" width="9.33203125" style="449" bestFit="1" customWidth="1"/>
    <col min="2306" max="2306" width="14.5546875" style="449" customWidth="1"/>
    <col min="2307" max="2308" width="9.33203125" style="449" bestFit="1" customWidth="1"/>
    <col min="2309" max="2309" width="9.6640625" style="449" bestFit="1" customWidth="1"/>
    <col min="2310" max="2310" width="11.33203125" style="449" bestFit="1" customWidth="1"/>
    <col min="2311" max="2313" width="9.33203125" style="449" bestFit="1" customWidth="1"/>
    <col min="2314" max="2556" width="8.88671875" style="449"/>
    <col min="2557" max="2557" width="4.44140625" style="449" customWidth="1"/>
    <col min="2558" max="2558" width="36.6640625" style="449" customWidth="1"/>
    <col min="2559" max="2559" width="8.88671875" style="449"/>
    <col min="2560" max="2560" width="10.6640625" style="449" bestFit="1" customWidth="1"/>
    <col min="2561" max="2561" width="9.33203125" style="449" bestFit="1" customWidth="1"/>
    <col min="2562" max="2562" width="14.5546875" style="449" customWidth="1"/>
    <col min="2563" max="2564" width="9.33203125" style="449" bestFit="1" customWidth="1"/>
    <col min="2565" max="2565" width="9.6640625" style="449" bestFit="1" customWidth="1"/>
    <col min="2566" max="2566" width="11.33203125" style="449" bestFit="1" customWidth="1"/>
    <col min="2567" max="2569" width="9.33203125" style="449" bestFit="1" customWidth="1"/>
    <col min="2570" max="2812" width="8.88671875" style="449"/>
    <col min="2813" max="2813" width="4.44140625" style="449" customWidth="1"/>
    <col min="2814" max="2814" width="36.6640625" style="449" customWidth="1"/>
    <col min="2815" max="2815" width="8.88671875" style="449"/>
    <col min="2816" max="2816" width="10.6640625" style="449" bestFit="1" customWidth="1"/>
    <col min="2817" max="2817" width="9.33203125" style="449" bestFit="1" customWidth="1"/>
    <col min="2818" max="2818" width="14.5546875" style="449" customWidth="1"/>
    <col min="2819" max="2820" width="9.33203125" style="449" bestFit="1" customWidth="1"/>
    <col min="2821" max="2821" width="9.6640625" style="449" bestFit="1" customWidth="1"/>
    <col min="2822" max="2822" width="11.33203125" style="449" bestFit="1" customWidth="1"/>
    <col min="2823" max="2825" width="9.33203125" style="449" bestFit="1" customWidth="1"/>
    <col min="2826" max="3068" width="8.88671875" style="449"/>
    <col min="3069" max="3069" width="4.44140625" style="449" customWidth="1"/>
    <col min="3070" max="3070" width="36.6640625" style="449" customWidth="1"/>
    <col min="3071" max="3071" width="8.88671875" style="449"/>
    <col min="3072" max="3072" width="10.6640625" style="449" bestFit="1" customWidth="1"/>
    <col min="3073" max="3073" width="9.33203125" style="449" bestFit="1" customWidth="1"/>
    <col min="3074" max="3074" width="14.5546875" style="449" customWidth="1"/>
    <col min="3075" max="3076" width="9.33203125" style="449" bestFit="1" customWidth="1"/>
    <col min="3077" max="3077" width="9.6640625" style="449" bestFit="1" customWidth="1"/>
    <col min="3078" max="3078" width="11.33203125" style="449" bestFit="1" customWidth="1"/>
    <col min="3079" max="3081" width="9.33203125" style="449" bestFit="1" customWidth="1"/>
    <col min="3082" max="3324" width="8.88671875" style="449"/>
    <col min="3325" max="3325" width="4.44140625" style="449" customWidth="1"/>
    <col min="3326" max="3326" width="36.6640625" style="449" customWidth="1"/>
    <col min="3327" max="3327" width="8.88671875" style="449"/>
    <col min="3328" max="3328" width="10.6640625" style="449" bestFit="1" customWidth="1"/>
    <col min="3329" max="3329" width="9.33203125" style="449" bestFit="1" customWidth="1"/>
    <col min="3330" max="3330" width="14.5546875" style="449" customWidth="1"/>
    <col min="3331" max="3332" width="9.33203125" style="449" bestFit="1" customWidth="1"/>
    <col min="3333" max="3333" width="9.6640625" style="449" bestFit="1" customWidth="1"/>
    <col min="3334" max="3334" width="11.33203125" style="449" bestFit="1" customWidth="1"/>
    <col min="3335" max="3337" width="9.33203125" style="449" bestFit="1" customWidth="1"/>
    <col min="3338" max="3580" width="8.88671875" style="449"/>
    <col min="3581" max="3581" width="4.44140625" style="449" customWidth="1"/>
    <col min="3582" max="3582" width="36.6640625" style="449" customWidth="1"/>
    <col min="3583" max="3583" width="8.88671875" style="449"/>
    <col min="3584" max="3584" width="10.6640625" style="449" bestFit="1" customWidth="1"/>
    <col min="3585" max="3585" width="9.33203125" style="449" bestFit="1" customWidth="1"/>
    <col min="3586" max="3586" width="14.5546875" style="449" customWidth="1"/>
    <col min="3587" max="3588" width="9.33203125" style="449" bestFit="1" customWidth="1"/>
    <col min="3589" max="3589" width="9.6640625" style="449" bestFit="1" customWidth="1"/>
    <col min="3590" max="3590" width="11.33203125" style="449" bestFit="1" customWidth="1"/>
    <col min="3591" max="3593" width="9.33203125" style="449" bestFit="1" customWidth="1"/>
    <col min="3594" max="3836" width="8.88671875" style="449"/>
    <col min="3837" max="3837" width="4.44140625" style="449" customWidth="1"/>
    <col min="3838" max="3838" width="36.6640625" style="449" customWidth="1"/>
    <col min="3839" max="3839" width="8.88671875" style="449"/>
    <col min="3840" max="3840" width="10.6640625" style="449" bestFit="1" customWidth="1"/>
    <col min="3841" max="3841" width="9.33203125" style="449" bestFit="1" customWidth="1"/>
    <col min="3842" max="3842" width="14.5546875" style="449" customWidth="1"/>
    <col min="3843" max="3844" width="9.33203125" style="449" bestFit="1" customWidth="1"/>
    <col min="3845" max="3845" width="9.6640625" style="449" bestFit="1" customWidth="1"/>
    <col min="3846" max="3846" width="11.33203125" style="449" bestFit="1" customWidth="1"/>
    <col min="3847" max="3849" width="9.33203125" style="449" bestFit="1" customWidth="1"/>
    <col min="3850" max="4092" width="8.88671875" style="449"/>
    <col min="4093" max="4093" width="4.44140625" style="449" customWidth="1"/>
    <col min="4094" max="4094" width="36.6640625" style="449" customWidth="1"/>
    <col min="4095" max="4095" width="8.88671875" style="449"/>
    <col min="4096" max="4096" width="10.6640625" style="449" bestFit="1" customWidth="1"/>
    <col min="4097" max="4097" width="9.33203125" style="449" bestFit="1" customWidth="1"/>
    <col min="4098" max="4098" width="14.5546875" style="449" customWidth="1"/>
    <col min="4099" max="4100" width="9.33203125" style="449" bestFit="1" customWidth="1"/>
    <col min="4101" max="4101" width="9.6640625" style="449" bestFit="1" customWidth="1"/>
    <col min="4102" max="4102" width="11.33203125" style="449" bestFit="1" customWidth="1"/>
    <col min="4103" max="4105" width="9.33203125" style="449" bestFit="1" customWidth="1"/>
    <col min="4106" max="4348" width="8.88671875" style="449"/>
    <col min="4349" max="4349" width="4.44140625" style="449" customWidth="1"/>
    <col min="4350" max="4350" width="36.6640625" style="449" customWidth="1"/>
    <col min="4351" max="4351" width="8.88671875" style="449"/>
    <col min="4352" max="4352" width="10.6640625" style="449" bestFit="1" customWidth="1"/>
    <col min="4353" max="4353" width="9.33203125" style="449" bestFit="1" customWidth="1"/>
    <col min="4354" max="4354" width="14.5546875" style="449" customWidth="1"/>
    <col min="4355" max="4356" width="9.33203125" style="449" bestFit="1" customWidth="1"/>
    <col min="4357" max="4357" width="9.6640625" style="449" bestFit="1" customWidth="1"/>
    <col min="4358" max="4358" width="11.33203125" style="449" bestFit="1" customWidth="1"/>
    <col min="4359" max="4361" width="9.33203125" style="449" bestFit="1" customWidth="1"/>
    <col min="4362" max="4604" width="8.88671875" style="449"/>
    <col min="4605" max="4605" width="4.44140625" style="449" customWidth="1"/>
    <col min="4606" max="4606" width="36.6640625" style="449" customWidth="1"/>
    <col min="4607" max="4607" width="8.88671875" style="449"/>
    <col min="4608" max="4608" width="10.6640625" style="449" bestFit="1" customWidth="1"/>
    <col min="4609" max="4609" width="9.33203125" style="449" bestFit="1" customWidth="1"/>
    <col min="4610" max="4610" width="14.5546875" style="449" customWidth="1"/>
    <col min="4611" max="4612" width="9.33203125" style="449" bestFit="1" customWidth="1"/>
    <col min="4613" max="4613" width="9.6640625" style="449" bestFit="1" customWidth="1"/>
    <col min="4614" max="4614" width="11.33203125" style="449" bestFit="1" customWidth="1"/>
    <col min="4615" max="4617" width="9.33203125" style="449" bestFit="1" customWidth="1"/>
    <col min="4618" max="4860" width="8.88671875" style="449"/>
    <col min="4861" max="4861" width="4.44140625" style="449" customWidth="1"/>
    <col min="4862" max="4862" width="36.6640625" style="449" customWidth="1"/>
    <col min="4863" max="4863" width="8.88671875" style="449"/>
    <col min="4864" max="4864" width="10.6640625" style="449" bestFit="1" customWidth="1"/>
    <col min="4865" max="4865" width="9.33203125" style="449" bestFit="1" customWidth="1"/>
    <col min="4866" max="4866" width="14.5546875" style="449" customWidth="1"/>
    <col min="4867" max="4868" width="9.33203125" style="449" bestFit="1" customWidth="1"/>
    <col min="4869" max="4869" width="9.6640625" style="449" bestFit="1" customWidth="1"/>
    <col min="4870" max="4870" width="11.33203125" style="449" bestFit="1" customWidth="1"/>
    <col min="4871" max="4873" width="9.33203125" style="449" bestFit="1" customWidth="1"/>
    <col min="4874" max="5116" width="8.88671875" style="449"/>
    <col min="5117" max="5117" width="4.44140625" style="449" customWidth="1"/>
    <col min="5118" max="5118" width="36.6640625" style="449" customWidth="1"/>
    <col min="5119" max="5119" width="8.88671875" style="449"/>
    <col min="5120" max="5120" width="10.6640625" style="449" bestFit="1" customWidth="1"/>
    <col min="5121" max="5121" width="9.33203125" style="449" bestFit="1" customWidth="1"/>
    <col min="5122" max="5122" width="14.5546875" style="449" customWidth="1"/>
    <col min="5123" max="5124" width="9.33203125" style="449" bestFit="1" customWidth="1"/>
    <col min="5125" max="5125" width="9.6640625" style="449" bestFit="1" customWidth="1"/>
    <col min="5126" max="5126" width="11.33203125" style="449" bestFit="1" customWidth="1"/>
    <col min="5127" max="5129" width="9.33203125" style="449" bestFit="1" customWidth="1"/>
    <col min="5130" max="5372" width="8.88671875" style="449"/>
    <col min="5373" max="5373" width="4.44140625" style="449" customWidth="1"/>
    <col min="5374" max="5374" width="36.6640625" style="449" customWidth="1"/>
    <col min="5375" max="5375" width="8.88671875" style="449"/>
    <col min="5376" max="5376" width="10.6640625" style="449" bestFit="1" customWidth="1"/>
    <col min="5377" max="5377" width="9.33203125" style="449" bestFit="1" customWidth="1"/>
    <col min="5378" max="5378" width="14.5546875" style="449" customWidth="1"/>
    <col min="5379" max="5380" width="9.33203125" style="449" bestFit="1" customWidth="1"/>
    <col min="5381" max="5381" width="9.6640625" style="449" bestFit="1" customWidth="1"/>
    <col min="5382" max="5382" width="11.33203125" style="449" bestFit="1" customWidth="1"/>
    <col min="5383" max="5385" width="9.33203125" style="449" bestFit="1" customWidth="1"/>
    <col min="5386" max="5628" width="8.88671875" style="449"/>
    <col min="5629" max="5629" width="4.44140625" style="449" customWidth="1"/>
    <col min="5630" max="5630" width="36.6640625" style="449" customWidth="1"/>
    <col min="5631" max="5631" width="8.88671875" style="449"/>
    <col min="5632" max="5632" width="10.6640625" style="449" bestFit="1" customWidth="1"/>
    <col min="5633" max="5633" width="9.33203125" style="449" bestFit="1" customWidth="1"/>
    <col min="5634" max="5634" width="14.5546875" style="449" customWidth="1"/>
    <col min="5635" max="5636" width="9.33203125" style="449" bestFit="1" customWidth="1"/>
    <col min="5637" max="5637" width="9.6640625" style="449" bestFit="1" customWidth="1"/>
    <col min="5638" max="5638" width="11.33203125" style="449" bestFit="1" customWidth="1"/>
    <col min="5639" max="5641" width="9.33203125" style="449" bestFit="1" customWidth="1"/>
    <col min="5642" max="5884" width="8.88671875" style="449"/>
    <col min="5885" max="5885" width="4.44140625" style="449" customWidth="1"/>
    <col min="5886" max="5886" width="36.6640625" style="449" customWidth="1"/>
    <col min="5887" max="5887" width="8.88671875" style="449"/>
    <col min="5888" max="5888" width="10.6640625" style="449" bestFit="1" customWidth="1"/>
    <col min="5889" max="5889" width="9.33203125" style="449" bestFit="1" customWidth="1"/>
    <col min="5890" max="5890" width="14.5546875" style="449" customWidth="1"/>
    <col min="5891" max="5892" width="9.33203125" style="449" bestFit="1" customWidth="1"/>
    <col min="5893" max="5893" width="9.6640625" style="449" bestFit="1" customWidth="1"/>
    <col min="5894" max="5894" width="11.33203125" style="449" bestFit="1" customWidth="1"/>
    <col min="5895" max="5897" width="9.33203125" style="449" bestFit="1" customWidth="1"/>
    <col min="5898" max="6140" width="8.88671875" style="449"/>
    <col min="6141" max="6141" width="4.44140625" style="449" customWidth="1"/>
    <col min="6142" max="6142" width="36.6640625" style="449" customWidth="1"/>
    <col min="6143" max="6143" width="8.88671875" style="449"/>
    <col min="6144" max="6144" width="10.6640625" style="449" bestFit="1" customWidth="1"/>
    <col min="6145" max="6145" width="9.33203125" style="449" bestFit="1" customWidth="1"/>
    <col min="6146" max="6146" width="14.5546875" style="449" customWidth="1"/>
    <col min="6147" max="6148" width="9.33203125" style="449" bestFit="1" customWidth="1"/>
    <col min="6149" max="6149" width="9.6640625" style="449" bestFit="1" customWidth="1"/>
    <col min="6150" max="6150" width="11.33203125" style="449" bestFit="1" customWidth="1"/>
    <col min="6151" max="6153" width="9.33203125" style="449" bestFit="1" customWidth="1"/>
    <col min="6154" max="6396" width="8.88671875" style="449"/>
    <col min="6397" max="6397" width="4.44140625" style="449" customWidth="1"/>
    <col min="6398" max="6398" width="36.6640625" style="449" customWidth="1"/>
    <col min="6399" max="6399" width="8.88671875" style="449"/>
    <col min="6400" max="6400" width="10.6640625" style="449" bestFit="1" customWidth="1"/>
    <col min="6401" max="6401" width="9.33203125" style="449" bestFit="1" customWidth="1"/>
    <col min="6402" max="6402" width="14.5546875" style="449" customWidth="1"/>
    <col min="6403" max="6404" width="9.33203125" style="449" bestFit="1" customWidth="1"/>
    <col min="6405" max="6405" width="9.6640625" style="449" bestFit="1" customWidth="1"/>
    <col min="6406" max="6406" width="11.33203125" style="449" bestFit="1" customWidth="1"/>
    <col min="6407" max="6409" width="9.33203125" style="449" bestFit="1" customWidth="1"/>
    <col min="6410" max="6652" width="8.88671875" style="449"/>
    <col min="6653" max="6653" width="4.44140625" style="449" customWidth="1"/>
    <col min="6654" max="6654" width="36.6640625" style="449" customWidth="1"/>
    <col min="6655" max="6655" width="8.88671875" style="449"/>
    <col min="6656" max="6656" width="10.6640625" style="449" bestFit="1" customWidth="1"/>
    <col min="6657" max="6657" width="9.33203125" style="449" bestFit="1" customWidth="1"/>
    <col min="6658" max="6658" width="14.5546875" style="449" customWidth="1"/>
    <col min="6659" max="6660" width="9.33203125" style="449" bestFit="1" customWidth="1"/>
    <col min="6661" max="6661" width="9.6640625" style="449" bestFit="1" customWidth="1"/>
    <col min="6662" max="6662" width="11.33203125" style="449" bestFit="1" customWidth="1"/>
    <col min="6663" max="6665" width="9.33203125" style="449" bestFit="1" customWidth="1"/>
    <col min="6666" max="6908" width="8.88671875" style="449"/>
    <col min="6909" max="6909" width="4.44140625" style="449" customWidth="1"/>
    <col min="6910" max="6910" width="36.6640625" style="449" customWidth="1"/>
    <col min="6911" max="6911" width="8.88671875" style="449"/>
    <col min="6912" max="6912" width="10.6640625" style="449" bestFit="1" customWidth="1"/>
    <col min="6913" max="6913" width="9.33203125" style="449" bestFit="1" customWidth="1"/>
    <col min="6914" max="6914" width="14.5546875" style="449" customWidth="1"/>
    <col min="6915" max="6916" width="9.33203125" style="449" bestFit="1" customWidth="1"/>
    <col min="6917" max="6917" width="9.6640625" style="449" bestFit="1" customWidth="1"/>
    <col min="6918" max="6918" width="11.33203125" style="449" bestFit="1" customWidth="1"/>
    <col min="6919" max="6921" width="9.33203125" style="449" bestFit="1" customWidth="1"/>
    <col min="6922" max="7164" width="8.88671875" style="449"/>
    <col min="7165" max="7165" width="4.44140625" style="449" customWidth="1"/>
    <col min="7166" max="7166" width="36.6640625" style="449" customWidth="1"/>
    <col min="7167" max="7167" width="8.88671875" style="449"/>
    <col min="7168" max="7168" width="10.6640625" style="449" bestFit="1" customWidth="1"/>
    <col min="7169" max="7169" width="9.33203125" style="449" bestFit="1" customWidth="1"/>
    <col min="7170" max="7170" width="14.5546875" style="449" customWidth="1"/>
    <col min="7171" max="7172" width="9.33203125" style="449" bestFit="1" customWidth="1"/>
    <col min="7173" max="7173" width="9.6640625" style="449" bestFit="1" customWidth="1"/>
    <col min="7174" max="7174" width="11.33203125" style="449" bestFit="1" customWidth="1"/>
    <col min="7175" max="7177" width="9.33203125" style="449" bestFit="1" customWidth="1"/>
    <col min="7178" max="7420" width="8.88671875" style="449"/>
    <col min="7421" max="7421" width="4.44140625" style="449" customWidth="1"/>
    <col min="7422" max="7422" width="36.6640625" style="449" customWidth="1"/>
    <col min="7423" max="7423" width="8.88671875" style="449"/>
    <col min="7424" max="7424" width="10.6640625" style="449" bestFit="1" customWidth="1"/>
    <col min="7425" max="7425" width="9.33203125" style="449" bestFit="1" customWidth="1"/>
    <col min="7426" max="7426" width="14.5546875" style="449" customWidth="1"/>
    <col min="7427" max="7428" width="9.33203125" style="449" bestFit="1" customWidth="1"/>
    <col min="7429" max="7429" width="9.6640625" style="449" bestFit="1" customWidth="1"/>
    <col min="7430" max="7430" width="11.33203125" style="449" bestFit="1" customWidth="1"/>
    <col min="7431" max="7433" width="9.33203125" style="449" bestFit="1" customWidth="1"/>
    <col min="7434" max="7676" width="8.88671875" style="449"/>
    <col min="7677" max="7677" width="4.44140625" style="449" customWidth="1"/>
    <col min="7678" max="7678" width="36.6640625" style="449" customWidth="1"/>
    <col min="7679" max="7679" width="8.88671875" style="449"/>
    <col min="7680" max="7680" width="10.6640625" style="449" bestFit="1" customWidth="1"/>
    <col min="7681" max="7681" width="9.33203125" style="449" bestFit="1" customWidth="1"/>
    <col min="7682" max="7682" width="14.5546875" style="449" customWidth="1"/>
    <col min="7683" max="7684" width="9.33203125" style="449" bestFit="1" customWidth="1"/>
    <col min="7685" max="7685" width="9.6640625" style="449" bestFit="1" customWidth="1"/>
    <col min="7686" max="7686" width="11.33203125" style="449" bestFit="1" customWidth="1"/>
    <col min="7687" max="7689" width="9.33203125" style="449" bestFit="1" customWidth="1"/>
    <col min="7690" max="7932" width="8.88671875" style="449"/>
    <col min="7933" max="7933" width="4.44140625" style="449" customWidth="1"/>
    <col min="7934" max="7934" width="36.6640625" style="449" customWidth="1"/>
    <col min="7935" max="7935" width="8.88671875" style="449"/>
    <col min="7936" max="7936" width="10.6640625" style="449" bestFit="1" customWidth="1"/>
    <col min="7937" max="7937" width="9.33203125" style="449" bestFit="1" customWidth="1"/>
    <col min="7938" max="7938" width="14.5546875" style="449" customWidth="1"/>
    <col min="7939" max="7940" width="9.33203125" style="449" bestFit="1" customWidth="1"/>
    <col min="7941" max="7941" width="9.6640625" style="449" bestFit="1" customWidth="1"/>
    <col min="7942" max="7942" width="11.33203125" style="449" bestFit="1" customWidth="1"/>
    <col min="7943" max="7945" width="9.33203125" style="449" bestFit="1" customWidth="1"/>
    <col min="7946" max="8188" width="8.88671875" style="449"/>
    <col min="8189" max="8189" width="4.44140625" style="449" customWidth="1"/>
    <col min="8190" max="8190" width="36.6640625" style="449" customWidth="1"/>
    <col min="8191" max="8191" width="8.88671875" style="449"/>
    <col min="8192" max="8192" width="10.6640625" style="449" bestFit="1" customWidth="1"/>
    <col min="8193" max="8193" width="9.33203125" style="449" bestFit="1" customWidth="1"/>
    <col min="8194" max="8194" width="14.5546875" style="449" customWidth="1"/>
    <col min="8195" max="8196" width="9.33203125" style="449" bestFit="1" customWidth="1"/>
    <col min="8197" max="8197" width="9.6640625" style="449" bestFit="1" customWidth="1"/>
    <col min="8198" max="8198" width="11.33203125" style="449" bestFit="1" customWidth="1"/>
    <col min="8199" max="8201" width="9.33203125" style="449" bestFit="1" customWidth="1"/>
    <col min="8202" max="8444" width="8.88671875" style="449"/>
    <col min="8445" max="8445" width="4.44140625" style="449" customWidth="1"/>
    <col min="8446" max="8446" width="36.6640625" style="449" customWidth="1"/>
    <col min="8447" max="8447" width="8.88671875" style="449"/>
    <col min="8448" max="8448" width="10.6640625" style="449" bestFit="1" customWidth="1"/>
    <col min="8449" max="8449" width="9.33203125" style="449" bestFit="1" customWidth="1"/>
    <col min="8450" max="8450" width="14.5546875" style="449" customWidth="1"/>
    <col min="8451" max="8452" width="9.33203125" style="449" bestFit="1" customWidth="1"/>
    <col min="8453" max="8453" width="9.6640625" style="449" bestFit="1" customWidth="1"/>
    <col min="8454" max="8454" width="11.33203125" style="449" bestFit="1" customWidth="1"/>
    <col min="8455" max="8457" width="9.33203125" style="449" bestFit="1" customWidth="1"/>
    <col min="8458" max="8700" width="8.88671875" style="449"/>
    <col min="8701" max="8701" width="4.44140625" style="449" customWidth="1"/>
    <col min="8702" max="8702" width="36.6640625" style="449" customWidth="1"/>
    <col min="8703" max="8703" width="8.88671875" style="449"/>
    <col min="8704" max="8704" width="10.6640625" style="449" bestFit="1" customWidth="1"/>
    <col min="8705" max="8705" width="9.33203125" style="449" bestFit="1" customWidth="1"/>
    <col min="8706" max="8706" width="14.5546875" style="449" customWidth="1"/>
    <col min="8707" max="8708" width="9.33203125" style="449" bestFit="1" customWidth="1"/>
    <col min="8709" max="8709" width="9.6640625" style="449" bestFit="1" customWidth="1"/>
    <col min="8710" max="8710" width="11.33203125" style="449" bestFit="1" customWidth="1"/>
    <col min="8711" max="8713" width="9.33203125" style="449" bestFit="1" customWidth="1"/>
    <col min="8714" max="8956" width="8.88671875" style="449"/>
    <col min="8957" max="8957" width="4.44140625" style="449" customWidth="1"/>
    <col min="8958" max="8958" width="36.6640625" style="449" customWidth="1"/>
    <col min="8959" max="8959" width="8.88671875" style="449"/>
    <col min="8960" max="8960" width="10.6640625" style="449" bestFit="1" customWidth="1"/>
    <col min="8961" max="8961" width="9.33203125" style="449" bestFit="1" customWidth="1"/>
    <col min="8962" max="8962" width="14.5546875" style="449" customWidth="1"/>
    <col min="8963" max="8964" width="9.33203125" style="449" bestFit="1" customWidth="1"/>
    <col min="8965" max="8965" width="9.6640625" style="449" bestFit="1" customWidth="1"/>
    <col min="8966" max="8966" width="11.33203125" style="449" bestFit="1" customWidth="1"/>
    <col min="8967" max="8969" width="9.33203125" style="449" bestFit="1" customWidth="1"/>
    <col min="8970" max="9212" width="8.88671875" style="449"/>
    <col min="9213" max="9213" width="4.44140625" style="449" customWidth="1"/>
    <col min="9214" max="9214" width="36.6640625" style="449" customWidth="1"/>
    <col min="9215" max="9215" width="8.88671875" style="449"/>
    <col min="9216" max="9216" width="10.6640625" style="449" bestFit="1" customWidth="1"/>
    <col min="9217" max="9217" width="9.33203125" style="449" bestFit="1" customWidth="1"/>
    <col min="9218" max="9218" width="14.5546875" style="449" customWidth="1"/>
    <col min="9219" max="9220" width="9.33203125" style="449" bestFit="1" customWidth="1"/>
    <col min="9221" max="9221" width="9.6640625" style="449" bestFit="1" customWidth="1"/>
    <col min="9222" max="9222" width="11.33203125" style="449" bestFit="1" customWidth="1"/>
    <col min="9223" max="9225" width="9.33203125" style="449" bestFit="1" customWidth="1"/>
    <col min="9226" max="9468" width="8.88671875" style="449"/>
    <col min="9469" max="9469" width="4.44140625" style="449" customWidth="1"/>
    <col min="9470" max="9470" width="36.6640625" style="449" customWidth="1"/>
    <col min="9471" max="9471" width="8.88671875" style="449"/>
    <col min="9472" max="9472" width="10.6640625" style="449" bestFit="1" customWidth="1"/>
    <col min="9473" max="9473" width="9.33203125" style="449" bestFit="1" customWidth="1"/>
    <col min="9474" max="9474" width="14.5546875" style="449" customWidth="1"/>
    <col min="9475" max="9476" width="9.33203125" style="449" bestFit="1" customWidth="1"/>
    <col min="9477" max="9477" width="9.6640625" style="449" bestFit="1" customWidth="1"/>
    <col min="9478" max="9478" width="11.33203125" style="449" bestFit="1" customWidth="1"/>
    <col min="9479" max="9481" width="9.33203125" style="449" bestFit="1" customWidth="1"/>
    <col min="9482" max="9724" width="8.88671875" style="449"/>
    <col min="9725" max="9725" width="4.44140625" style="449" customWidth="1"/>
    <col min="9726" max="9726" width="36.6640625" style="449" customWidth="1"/>
    <col min="9727" max="9727" width="8.88671875" style="449"/>
    <col min="9728" max="9728" width="10.6640625" style="449" bestFit="1" customWidth="1"/>
    <col min="9729" max="9729" width="9.33203125" style="449" bestFit="1" customWidth="1"/>
    <col min="9730" max="9730" width="14.5546875" style="449" customWidth="1"/>
    <col min="9731" max="9732" width="9.33203125" style="449" bestFit="1" customWidth="1"/>
    <col min="9733" max="9733" width="9.6640625" style="449" bestFit="1" customWidth="1"/>
    <col min="9734" max="9734" width="11.33203125" style="449" bestFit="1" customWidth="1"/>
    <col min="9735" max="9737" width="9.33203125" style="449" bestFit="1" customWidth="1"/>
    <col min="9738" max="9980" width="8.88671875" style="449"/>
    <col min="9981" max="9981" width="4.44140625" style="449" customWidth="1"/>
    <col min="9982" max="9982" width="36.6640625" style="449" customWidth="1"/>
    <col min="9983" max="9983" width="8.88671875" style="449"/>
    <col min="9984" max="9984" width="10.6640625" style="449" bestFit="1" customWidth="1"/>
    <col min="9985" max="9985" width="9.33203125" style="449" bestFit="1" customWidth="1"/>
    <col min="9986" max="9986" width="14.5546875" style="449" customWidth="1"/>
    <col min="9987" max="9988" width="9.33203125" style="449" bestFit="1" customWidth="1"/>
    <col min="9989" max="9989" width="9.6640625" style="449" bestFit="1" customWidth="1"/>
    <col min="9990" max="9990" width="11.33203125" style="449" bestFit="1" customWidth="1"/>
    <col min="9991" max="9993" width="9.33203125" style="449" bestFit="1" customWidth="1"/>
    <col min="9994" max="10236" width="8.88671875" style="449"/>
    <col min="10237" max="10237" width="4.44140625" style="449" customWidth="1"/>
    <col min="10238" max="10238" width="36.6640625" style="449" customWidth="1"/>
    <col min="10239" max="10239" width="8.88671875" style="449"/>
    <col min="10240" max="10240" width="10.6640625" style="449" bestFit="1" customWidth="1"/>
    <col min="10241" max="10241" width="9.33203125" style="449" bestFit="1" customWidth="1"/>
    <col min="10242" max="10242" width="14.5546875" style="449" customWidth="1"/>
    <col min="10243" max="10244" width="9.33203125" style="449" bestFit="1" customWidth="1"/>
    <col min="10245" max="10245" width="9.6640625" style="449" bestFit="1" customWidth="1"/>
    <col min="10246" max="10246" width="11.33203125" style="449" bestFit="1" customWidth="1"/>
    <col min="10247" max="10249" width="9.33203125" style="449" bestFit="1" customWidth="1"/>
    <col min="10250" max="10492" width="8.88671875" style="449"/>
    <col min="10493" max="10493" width="4.44140625" style="449" customWidth="1"/>
    <col min="10494" max="10494" width="36.6640625" style="449" customWidth="1"/>
    <col min="10495" max="10495" width="8.88671875" style="449"/>
    <col min="10496" max="10496" width="10.6640625" style="449" bestFit="1" customWidth="1"/>
    <col min="10497" max="10497" width="9.33203125" style="449" bestFit="1" customWidth="1"/>
    <col min="10498" max="10498" width="14.5546875" style="449" customWidth="1"/>
    <col min="10499" max="10500" width="9.33203125" style="449" bestFit="1" customWidth="1"/>
    <col min="10501" max="10501" width="9.6640625" style="449" bestFit="1" customWidth="1"/>
    <col min="10502" max="10502" width="11.33203125" style="449" bestFit="1" customWidth="1"/>
    <col min="10503" max="10505" width="9.33203125" style="449" bestFit="1" customWidth="1"/>
    <col min="10506" max="10748" width="8.88671875" style="449"/>
    <col min="10749" max="10749" width="4.44140625" style="449" customWidth="1"/>
    <col min="10750" max="10750" width="36.6640625" style="449" customWidth="1"/>
    <col min="10751" max="10751" width="8.88671875" style="449"/>
    <col min="10752" max="10752" width="10.6640625" style="449" bestFit="1" customWidth="1"/>
    <col min="10753" max="10753" width="9.33203125" style="449" bestFit="1" customWidth="1"/>
    <col min="10754" max="10754" width="14.5546875" style="449" customWidth="1"/>
    <col min="10755" max="10756" width="9.33203125" style="449" bestFit="1" customWidth="1"/>
    <col min="10757" max="10757" width="9.6640625" style="449" bestFit="1" customWidth="1"/>
    <col min="10758" max="10758" width="11.33203125" style="449" bestFit="1" customWidth="1"/>
    <col min="10759" max="10761" width="9.33203125" style="449" bestFit="1" customWidth="1"/>
    <col min="10762" max="11004" width="8.88671875" style="449"/>
    <col min="11005" max="11005" width="4.44140625" style="449" customWidth="1"/>
    <col min="11006" max="11006" width="36.6640625" style="449" customWidth="1"/>
    <col min="11007" max="11007" width="8.88671875" style="449"/>
    <col min="11008" max="11008" width="10.6640625" style="449" bestFit="1" customWidth="1"/>
    <col min="11009" max="11009" width="9.33203125" style="449" bestFit="1" customWidth="1"/>
    <col min="11010" max="11010" width="14.5546875" style="449" customWidth="1"/>
    <col min="11011" max="11012" width="9.33203125" style="449" bestFit="1" customWidth="1"/>
    <col min="11013" max="11013" width="9.6640625" style="449" bestFit="1" customWidth="1"/>
    <col min="11014" max="11014" width="11.33203125" style="449" bestFit="1" customWidth="1"/>
    <col min="11015" max="11017" width="9.33203125" style="449" bestFit="1" customWidth="1"/>
    <col min="11018" max="11260" width="8.88671875" style="449"/>
    <col min="11261" max="11261" width="4.44140625" style="449" customWidth="1"/>
    <col min="11262" max="11262" width="36.6640625" style="449" customWidth="1"/>
    <col min="11263" max="11263" width="8.88671875" style="449"/>
    <col min="11264" max="11264" width="10.6640625" style="449" bestFit="1" customWidth="1"/>
    <col min="11265" max="11265" width="9.33203125" style="449" bestFit="1" customWidth="1"/>
    <col min="11266" max="11266" width="14.5546875" style="449" customWidth="1"/>
    <col min="11267" max="11268" width="9.33203125" style="449" bestFit="1" customWidth="1"/>
    <col min="11269" max="11269" width="9.6640625" style="449" bestFit="1" customWidth="1"/>
    <col min="11270" max="11270" width="11.33203125" style="449" bestFit="1" customWidth="1"/>
    <col min="11271" max="11273" width="9.33203125" style="449" bestFit="1" customWidth="1"/>
    <col min="11274" max="11516" width="8.88671875" style="449"/>
    <col min="11517" max="11517" width="4.44140625" style="449" customWidth="1"/>
    <col min="11518" max="11518" width="36.6640625" style="449" customWidth="1"/>
    <col min="11519" max="11519" width="8.88671875" style="449"/>
    <col min="11520" max="11520" width="10.6640625" style="449" bestFit="1" customWidth="1"/>
    <col min="11521" max="11521" width="9.33203125" style="449" bestFit="1" customWidth="1"/>
    <col min="11522" max="11522" width="14.5546875" style="449" customWidth="1"/>
    <col min="11523" max="11524" width="9.33203125" style="449" bestFit="1" customWidth="1"/>
    <col min="11525" max="11525" width="9.6640625" style="449" bestFit="1" customWidth="1"/>
    <col min="11526" max="11526" width="11.33203125" style="449" bestFit="1" customWidth="1"/>
    <col min="11527" max="11529" width="9.33203125" style="449" bestFit="1" customWidth="1"/>
    <col min="11530" max="11772" width="8.88671875" style="449"/>
    <col min="11773" max="11773" width="4.44140625" style="449" customWidth="1"/>
    <col min="11774" max="11774" width="36.6640625" style="449" customWidth="1"/>
    <col min="11775" max="11775" width="8.88671875" style="449"/>
    <col min="11776" max="11776" width="10.6640625" style="449" bestFit="1" customWidth="1"/>
    <col min="11777" max="11777" width="9.33203125" style="449" bestFit="1" customWidth="1"/>
    <col min="11778" max="11778" width="14.5546875" style="449" customWidth="1"/>
    <col min="11779" max="11780" width="9.33203125" style="449" bestFit="1" customWidth="1"/>
    <col min="11781" max="11781" width="9.6640625" style="449" bestFit="1" customWidth="1"/>
    <col min="11782" max="11782" width="11.33203125" style="449" bestFit="1" customWidth="1"/>
    <col min="11783" max="11785" width="9.33203125" style="449" bestFit="1" customWidth="1"/>
    <col min="11786" max="12028" width="8.88671875" style="449"/>
    <col min="12029" max="12029" width="4.44140625" style="449" customWidth="1"/>
    <col min="12030" max="12030" width="36.6640625" style="449" customWidth="1"/>
    <col min="12031" max="12031" width="8.88671875" style="449"/>
    <col min="12032" max="12032" width="10.6640625" style="449" bestFit="1" customWidth="1"/>
    <col min="12033" max="12033" width="9.33203125" style="449" bestFit="1" customWidth="1"/>
    <col min="12034" max="12034" width="14.5546875" style="449" customWidth="1"/>
    <col min="12035" max="12036" width="9.33203125" style="449" bestFit="1" customWidth="1"/>
    <col min="12037" max="12037" width="9.6640625" style="449" bestFit="1" customWidth="1"/>
    <col min="12038" max="12038" width="11.33203125" style="449" bestFit="1" customWidth="1"/>
    <col min="12039" max="12041" width="9.33203125" style="449" bestFit="1" customWidth="1"/>
    <col min="12042" max="12284" width="8.88671875" style="449"/>
    <col min="12285" max="12285" width="4.44140625" style="449" customWidth="1"/>
    <col min="12286" max="12286" width="36.6640625" style="449" customWidth="1"/>
    <col min="12287" max="12287" width="8.88671875" style="449"/>
    <col min="12288" max="12288" width="10.6640625" style="449" bestFit="1" customWidth="1"/>
    <col min="12289" max="12289" width="9.33203125" style="449" bestFit="1" customWidth="1"/>
    <col min="12290" max="12290" width="14.5546875" style="449" customWidth="1"/>
    <col min="12291" max="12292" width="9.33203125" style="449" bestFit="1" customWidth="1"/>
    <col min="12293" max="12293" width="9.6640625" style="449" bestFit="1" customWidth="1"/>
    <col min="12294" max="12294" width="11.33203125" style="449" bestFit="1" customWidth="1"/>
    <col min="12295" max="12297" width="9.33203125" style="449" bestFit="1" customWidth="1"/>
    <col min="12298" max="12540" width="8.88671875" style="449"/>
    <col min="12541" max="12541" width="4.44140625" style="449" customWidth="1"/>
    <col min="12542" max="12542" width="36.6640625" style="449" customWidth="1"/>
    <col min="12543" max="12543" width="8.88671875" style="449"/>
    <col min="12544" max="12544" width="10.6640625" style="449" bestFit="1" customWidth="1"/>
    <col min="12545" max="12545" width="9.33203125" style="449" bestFit="1" customWidth="1"/>
    <col min="12546" max="12546" width="14.5546875" style="449" customWidth="1"/>
    <col min="12547" max="12548" width="9.33203125" style="449" bestFit="1" customWidth="1"/>
    <col min="12549" max="12549" width="9.6640625" style="449" bestFit="1" customWidth="1"/>
    <col min="12550" max="12550" width="11.33203125" style="449" bestFit="1" customWidth="1"/>
    <col min="12551" max="12553" width="9.33203125" style="449" bestFit="1" customWidth="1"/>
    <col min="12554" max="12796" width="8.88671875" style="449"/>
    <col min="12797" max="12797" width="4.44140625" style="449" customWidth="1"/>
    <col min="12798" max="12798" width="36.6640625" style="449" customWidth="1"/>
    <col min="12799" max="12799" width="8.88671875" style="449"/>
    <col min="12800" max="12800" width="10.6640625" style="449" bestFit="1" customWidth="1"/>
    <col min="12801" max="12801" width="9.33203125" style="449" bestFit="1" customWidth="1"/>
    <col min="12802" max="12802" width="14.5546875" style="449" customWidth="1"/>
    <col min="12803" max="12804" width="9.33203125" style="449" bestFit="1" customWidth="1"/>
    <col min="12805" max="12805" width="9.6640625" style="449" bestFit="1" customWidth="1"/>
    <col min="12806" max="12806" width="11.33203125" style="449" bestFit="1" customWidth="1"/>
    <col min="12807" max="12809" width="9.33203125" style="449" bestFit="1" customWidth="1"/>
    <col min="12810" max="13052" width="8.88671875" style="449"/>
    <col min="13053" max="13053" width="4.44140625" style="449" customWidth="1"/>
    <col min="13054" max="13054" width="36.6640625" style="449" customWidth="1"/>
    <col min="13055" max="13055" width="8.88671875" style="449"/>
    <col min="13056" max="13056" width="10.6640625" style="449" bestFit="1" customWidth="1"/>
    <col min="13057" max="13057" width="9.33203125" style="449" bestFit="1" customWidth="1"/>
    <col min="13058" max="13058" width="14.5546875" style="449" customWidth="1"/>
    <col min="13059" max="13060" width="9.33203125" style="449" bestFit="1" customWidth="1"/>
    <col min="13061" max="13061" width="9.6640625" style="449" bestFit="1" customWidth="1"/>
    <col min="13062" max="13062" width="11.33203125" style="449" bestFit="1" customWidth="1"/>
    <col min="13063" max="13065" width="9.33203125" style="449" bestFit="1" customWidth="1"/>
    <col min="13066" max="13308" width="8.88671875" style="449"/>
    <col min="13309" max="13309" width="4.44140625" style="449" customWidth="1"/>
    <col min="13310" max="13310" width="36.6640625" style="449" customWidth="1"/>
    <col min="13311" max="13311" width="8.88671875" style="449"/>
    <col min="13312" max="13312" width="10.6640625" style="449" bestFit="1" customWidth="1"/>
    <col min="13313" max="13313" width="9.33203125" style="449" bestFit="1" customWidth="1"/>
    <col min="13314" max="13314" width="14.5546875" style="449" customWidth="1"/>
    <col min="13315" max="13316" width="9.33203125" style="449" bestFit="1" customWidth="1"/>
    <col min="13317" max="13317" width="9.6640625" style="449" bestFit="1" customWidth="1"/>
    <col min="13318" max="13318" width="11.33203125" style="449" bestFit="1" customWidth="1"/>
    <col min="13319" max="13321" width="9.33203125" style="449" bestFit="1" customWidth="1"/>
    <col min="13322" max="13564" width="8.88671875" style="449"/>
    <col min="13565" max="13565" width="4.44140625" style="449" customWidth="1"/>
    <col min="13566" max="13566" width="36.6640625" style="449" customWidth="1"/>
    <col min="13567" max="13567" width="8.88671875" style="449"/>
    <col min="13568" max="13568" width="10.6640625" style="449" bestFit="1" customWidth="1"/>
    <col min="13569" max="13569" width="9.33203125" style="449" bestFit="1" customWidth="1"/>
    <col min="13570" max="13570" width="14.5546875" style="449" customWidth="1"/>
    <col min="13571" max="13572" width="9.33203125" style="449" bestFit="1" customWidth="1"/>
    <col min="13573" max="13573" width="9.6640625" style="449" bestFit="1" customWidth="1"/>
    <col min="13574" max="13574" width="11.33203125" style="449" bestFit="1" customWidth="1"/>
    <col min="13575" max="13577" width="9.33203125" style="449" bestFit="1" customWidth="1"/>
    <col min="13578" max="13820" width="8.88671875" style="449"/>
    <col min="13821" max="13821" width="4.44140625" style="449" customWidth="1"/>
    <col min="13822" max="13822" width="36.6640625" style="449" customWidth="1"/>
    <col min="13823" max="13823" width="8.88671875" style="449"/>
    <col min="13824" max="13824" width="10.6640625" style="449" bestFit="1" customWidth="1"/>
    <col min="13825" max="13825" width="9.33203125" style="449" bestFit="1" customWidth="1"/>
    <col min="13826" max="13826" width="14.5546875" style="449" customWidth="1"/>
    <col min="13827" max="13828" width="9.33203125" style="449" bestFit="1" customWidth="1"/>
    <col min="13829" max="13829" width="9.6640625" style="449" bestFit="1" customWidth="1"/>
    <col min="13830" max="13830" width="11.33203125" style="449" bestFit="1" customWidth="1"/>
    <col min="13831" max="13833" width="9.33203125" style="449" bestFit="1" customWidth="1"/>
    <col min="13834" max="14076" width="8.88671875" style="449"/>
    <col min="14077" max="14077" width="4.44140625" style="449" customWidth="1"/>
    <col min="14078" max="14078" width="36.6640625" style="449" customWidth="1"/>
    <col min="14079" max="14079" width="8.88671875" style="449"/>
    <col min="14080" max="14080" width="10.6640625" style="449" bestFit="1" customWidth="1"/>
    <col min="14081" max="14081" width="9.33203125" style="449" bestFit="1" customWidth="1"/>
    <col min="14082" max="14082" width="14.5546875" style="449" customWidth="1"/>
    <col min="14083" max="14084" width="9.33203125" style="449" bestFit="1" customWidth="1"/>
    <col min="14085" max="14085" width="9.6640625" style="449" bestFit="1" customWidth="1"/>
    <col min="14086" max="14086" width="11.33203125" style="449" bestFit="1" customWidth="1"/>
    <col min="14087" max="14089" width="9.33203125" style="449" bestFit="1" customWidth="1"/>
    <col min="14090" max="14332" width="8.88671875" style="449"/>
    <col min="14333" max="14333" width="4.44140625" style="449" customWidth="1"/>
    <col min="14334" max="14334" width="36.6640625" style="449" customWidth="1"/>
    <col min="14335" max="14335" width="8.88671875" style="449"/>
    <col min="14336" max="14336" width="10.6640625" style="449" bestFit="1" customWidth="1"/>
    <col min="14337" max="14337" width="9.33203125" style="449" bestFit="1" customWidth="1"/>
    <col min="14338" max="14338" width="14.5546875" style="449" customWidth="1"/>
    <col min="14339" max="14340" width="9.33203125" style="449" bestFit="1" customWidth="1"/>
    <col min="14341" max="14341" width="9.6640625" style="449" bestFit="1" customWidth="1"/>
    <col min="14342" max="14342" width="11.33203125" style="449" bestFit="1" customWidth="1"/>
    <col min="14343" max="14345" width="9.33203125" style="449" bestFit="1" customWidth="1"/>
    <col min="14346" max="14588" width="8.88671875" style="449"/>
    <col min="14589" max="14589" width="4.44140625" style="449" customWidth="1"/>
    <col min="14590" max="14590" width="36.6640625" style="449" customWidth="1"/>
    <col min="14591" max="14591" width="8.88671875" style="449"/>
    <col min="14592" max="14592" width="10.6640625" style="449" bestFit="1" customWidth="1"/>
    <col min="14593" max="14593" width="9.33203125" style="449" bestFit="1" customWidth="1"/>
    <col min="14594" max="14594" width="14.5546875" style="449" customWidth="1"/>
    <col min="14595" max="14596" width="9.33203125" style="449" bestFit="1" customWidth="1"/>
    <col min="14597" max="14597" width="9.6640625" style="449" bestFit="1" customWidth="1"/>
    <col min="14598" max="14598" width="11.33203125" style="449" bestFit="1" customWidth="1"/>
    <col min="14599" max="14601" width="9.33203125" style="449" bestFit="1" customWidth="1"/>
    <col min="14602" max="14844" width="8.88671875" style="449"/>
    <col min="14845" max="14845" width="4.44140625" style="449" customWidth="1"/>
    <col min="14846" max="14846" width="36.6640625" style="449" customWidth="1"/>
    <col min="14847" max="14847" width="8.88671875" style="449"/>
    <col min="14848" max="14848" width="10.6640625" style="449" bestFit="1" customWidth="1"/>
    <col min="14849" max="14849" width="9.33203125" style="449" bestFit="1" customWidth="1"/>
    <col min="14850" max="14850" width="14.5546875" style="449" customWidth="1"/>
    <col min="14851" max="14852" width="9.33203125" style="449" bestFit="1" customWidth="1"/>
    <col min="14853" max="14853" width="9.6640625" style="449" bestFit="1" customWidth="1"/>
    <col min="14854" max="14854" width="11.33203125" style="449" bestFit="1" customWidth="1"/>
    <col min="14855" max="14857" width="9.33203125" style="449" bestFit="1" customWidth="1"/>
    <col min="14858" max="15100" width="8.88671875" style="449"/>
    <col min="15101" max="15101" width="4.44140625" style="449" customWidth="1"/>
    <col min="15102" max="15102" width="36.6640625" style="449" customWidth="1"/>
    <col min="15103" max="15103" width="8.88671875" style="449"/>
    <col min="15104" max="15104" width="10.6640625" style="449" bestFit="1" customWidth="1"/>
    <col min="15105" max="15105" width="9.33203125" style="449" bestFit="1" customWidth="1"/>
    <col min="15106" max="15106" width="14.5546875" style="449" customWidth="1"/>
    <col min="15107" max="15108" width="9.33203125" style="449" bestFit="1" customWidth="1"/>
    <col min="15109" max="15109" width="9.6640625" style="449" bestFit="1" customWidth="1"/>
    <col min="15110" max="15110" width="11.33203125" style="449" bestFit="1" customWidth="1"/>
    <col min="15111" max="15113" width="9.33203125" style="449" bestFit="1" customWidth="1"/>
    <col min="15114" max="15356" width="8.88671875" style="449"/>
    <col min="15357" max="15357" width="4.44140625" style="449" customWidth="1"/>
    <col min="15358" max="15358" width="36.6640625" style="449" customWidth="1"/>
    <col min="15359" max="15359" width="8.88671875" style="449"/>
    <col min="15360" max="15360" width="10.6640625" style="449" bestFit="1" customWidth="1"/>
    <col min="15361" max="15361" width="9.33203125" style="449" bestFit="1" customWidth="1"/>
    <col min="15362" max="15362" width="14.5546875" style="449" customWidth="1"/>
    <col min="15363" max="15364" width="9.33203125" style="449" bestFit="1" customWidth="1"/>
    <col min="15365" max="15365" width="9.6640625" style="449" bestFit="1" customWidth="1"/>
    <col min="15366" max="15366" width="11.33203125" style="449" bestFit="1" customWidth="1"/>
    <col min="15367" max="15369" width="9.33203125" style="449" bestFit="1" customWidth="1"/>
    <col min="15370" max="15612" width="8.88671875" style="449"/>
    <col min="15613" max="15613" width="4.44140625" style="449" customWidth="1"/>
    <col min="15614" max="15614" width="36.6640625" style="449" customWidth="1"/>
    <col min="15615" max="15615" width="8.88671875" style="449"/>
    <col min="15616" max="15616" width="10.6640625" style="449" bestFit="1" customWidth="1"/>
    <col min="15617" max="15617" width="9.33203125" style="449" bestFit="1" customWidth="1"/>
    <col min="15618" max="15618" width="14.5546875" style="449" customWidth="1"/>
    <col min="15619" max="15620" width="9.33203125" style="449" bestFit="1" customWidth="1"/>
    <col min="15621" max="15621" width="9.6640625" style="449" bestFit="1" customWidth="1"/>
    <col min="15622" max="15622" width="11.33203125" style="449" bestFit="1" customWidth="1"/>
    <col min="15623" max="15625" width="9.33203125" style="449" bestFit="1" customWidth="1"/>
    <col min="15626" max="15868" width="8.88671875" style="449"/>
    <col min="15869" max="15869" width="4.44140625" style="449" customWidth="1"/>
    <col min="15870" max="15870" width="36.6640625" style="449" customWidth="1"/>
    <col min="15871" max="15871" width="8.88671875" style="449"/>
    <col min="15872" max="15872" width="10.6640625" style="449" bestFit="1" customWidth="1"/>
    <col min="15873" max="15873" width="9.33203125" style="449" bestFit="1" customWidth="1"/>
    <col min="15874" max="15874" width="14.5546875" style="449" customWidth="1"/>
    <col min="15875" max="15876" width="9.33203125" style="449" bestFit="1" customWidth="1"/>
    <col min="15877" max="15877" width="9.6640625" style="449" bestFit="1" customWidth="1"/>
    <col min="15878" max="15878" width="11.33203125" style="449" bestFit="1" customWidth="1"/>
    <col min="15879" max="15881" width="9.33203125" style="449" bestFit="1" customWidth="1"/>
    <col min="15882" max="16124" width="8.88671875" style="449"/>
    <col min="16125" max="16125" width="4.44140625" style="449" customWidth="1"/>
    <col min="16126" max="16126" width="36.6640625" style="449" customWidth="1"/>
    <col min="16127" max="16127" width="8.88671875" style="449"/>
    <col min="16128" max="16128" width="10.6640625" style="449" bestFit="1" customWidth="1"/>
    <col min="16129" max="16129" width="9.33203125" style="449" bestFit="1" customWidth="1"/>
    <col min="16130" max="16130" width="14.5546875" style="449" customWidth="1"/>
    <col min="16131" max="16132" width="9.33203125" style="449" bestFit="1" customWidth="1"/>
    <col min="16133" max="16133" width="9.6640625" style="449" bestFit="1" customWidth="1"/>
    <col min="16134" max="16134" width="11.33203125" style="449" bestFit="1" customWidth="1"/>
    <col min="16135" max="16137" width="9.33203125" style="449" bestFit="1" customWidth="1"/>
    <col min="16138" max="16384" width="8.88671875" style="449"/>
  </cols>
  <sheetData>
    <row r="1" spans="1:10" x14ac:dyDescent="0.25">
      <c r="A1" s="1211" t="str">
        <f>'Abt (3)'!A1:G1</f>
        <v>ROSHNABAD BARRAGE</v>
      </c>
      <c r="B1" s="1211"/>
      <c r="C1" s="1211"/>
      <c r="D1" s="1211"/>
      <c r="E1" s="1211"/>
      <c r="F1" s="1211"/>
      <c r="G1" s="1211"/>
      <c r="H1" s="448"/>
      <c r="I1" s="448"/>
      <c r="J1" s="448"/>
    </row>
    <row r="2" spans="1:10" hidden="1" x14ac:dyDescent="0.25">
      <c r="A2" s="450" t="e">
        <f>#REF!</f>
        <v>#REF!</v>
      </c>
      <c r="F2" s="454" t="e">
        <f>#REF!</f>
        <v>#REF!</v>
      </c>
      <c r="G2" s="451"/>
      <c r="H2" s="451"/>
      <c r="I2" s="451"/>
      <c r="J2" s="451"/>
    </row>
    <row r="3" spans="1:10" x14ac:dyDescent="0.25">
      <c r="A3" s="1212" t="s">
        <v>297</v>
      </c>
      <c r="B3" s="1212"/>
      <c r="C3" s="1212"/>
      <c r="D3" s="1212"/>
      <c r="E3" s="1212"/>
      <c r="F3" s="1212"/>
      <c r="G3" s="1212"/>
      <c r="H3" s="455"/>
      <c r="I3" s="455"/>
      <c r="J3" s="455"/>
    </row>
    <row r="4" spans="1:10" x14ac:dyDescent="0.25">
      <c r="A4" s="1213" t="s">
        <v>298</v>
      </c>
      <c r="B4" s="1214"/>
      <c r="C4" s="1214"/>
      <c r="D4" s="1214"/>
      <c r="E4" s="1214"/>
      <c r="F4" s="1214"/>
      <c r="G4" s="1214"/>
      <c r="H4" s="456"/>
      <c r="I4" s="456"/>
      <c r="J4" s="456"/>
    </row>
    <row r="5" spans="1:10" x14ac:dyDescent="0.25">
      <c r="A5" s="1211"/>
      <c r="B5" s="1211"/>
      <c r="C5" s="1211"/>
      <c r="D5" s="1211"/>
      <c r="E5" s="1211"/>
      <c r="F5" s="1211"/>
      <c r="G5" s="457"/>
      <c r="H5" s="457"/>
      <c r="I5" s="457"/>
      <c r="J5" s="457"/>
    </row>
    <row r="6" spans="1:10" s="462" customFormat="1" ht="26.4" x14ac:dyDescent="0.3">
      <c r="A6" s="458" t="s">
        <v>162</v>
      </c>
      <c r="B6" s="458" t="s">
        <v>299</v>
      </c>
      <c r="C6" s="458" t="s">
        <v>7</v>
      </c>
      <c r="D6" s="458" t="s">
        <v>300</v>
      </c>
      <c r="E6" s="459" t="s">
        <v>301</v>
      </c>
      <c r="F6" s="460" t="s">
        <v>302</v>
      </c>
      <c r="G6" s="459" t="s">
        <v>303</v>
      </c>
      <c r="H6" s="461"/>
      <c r="I6" s="461"/>
      <c r="J6" s="461"/>
    </row>
    <row r="7" spans="1:10" s="466" customFormat="1" x14ac:dyDescent="0.3">
      <c r="A7" s="463">
        <v>1</v>
      </c>
      <c r="B7" s="464">
        <v>2</v>
      </c>
      <c r="C7" s="464">
        <v>3</v>
      </c>
      <c r="D7" s="465">
        <v>4</v>
      </c>
      <c r="E7" s="464">
        <v>5</v>
      </c>
      <c r="F7" s="464">
        <v>6</v>
      </c>
      <c r="G7" s="463">
        <v>7</v>
      </c>
    </row>
    <row r="8" spans="1:10" s="466" customFormat="1" ht="43.2" x14ac:dyDescent="0.3">
      <c r="A8" s="467">
        <v>1</v>
      </c>
      <c r="B8" s="468" t="s">
        <v>304</v>
      </c>
      <c r="C8" s="467" t="s">
        <v>170</v>
      </c>
      <c r="D8" s="469">
        <f>J.C!G49</f>
        <v>32120</v>
      </c>
      <c r="E8" s="470">
        <v>0.7</v>
      </c>
      <c r="F8" s="471">
        <f>D8*E8</f>
        <v>22484</v>
      </c>
      <c r="G8" s="467">
        <v>9.01</v>
      </c>
      <c r="H8" s="462"/>
      <c r="I8" s="462"/>
      <c r="J8" s="472">
        <f>F8/100000</f>
        <v>0.22484000000000001</v>
      </c>
    </row>
    <row r="9" spans="1:10" s="462" customFormat="1" ht="43.2" x14ac:dyDescent="0.3">
      <c r="A9" s="467">
        <f>A8+1</f>
        <v>2</v>
      </c>
      <c r="B9" s="468" t="s">
        <v>305</v>
      </c>
      <c r="C9" s="467" t="s">
        <v>170</v>
      </c>
      <c r="D9" s="473">
        <f>J.C!G50</f>
        <v>32120</v>
      </c>
      <c r="E9" s="470">
        <v>1.6</v>
      </c>
      <c r="F9" s="471">
        <f>D9*E9</f>
        <v>51392</v>
      </c>
      <c r="G9" s="467">
        <v>9.02</v>
      </c>
      <c r="J9" s="472">
        <f t="shared" ref="J9:J54" si="0">F9/100000</f>
        <v>0.51392000000000004</v>
      </c>
    </row>
    <row r="10" spans="1:10" s="462" customFormat="1" ht="43.2" x14ac:dyDescent="0.3">
      <c r="A10" s="467">
        <v>3</v>
      </c>
      <c r="B10" s="468" t="s">
        <v>306</v>
      </c>
      <c r="C10" s="467" t="s">
        <v>170</v>
      </c>
      <c r="D10" s="473">
        <f>J.C!G51</f>
        <v>16060</v>
      </c>
      <c r="E10" s="470">
        <v>2.9</v>
      </c>
      <c r="F10" s="471">
        <f>D10*E10</f>
        <v>46574</v>
      </c>
      <c r="G10" s="474">
        <v>9.0299999999999994</v>
      </c>
      <c r="J10" s="472">
        <f t="shared" si="0"/>
        <v>0.46573999999999999</v>
      </c>
    </row>
    <row r="11" spans="1:10" s="462" customFormat="1" ht="26.4" x14ac:dyDescent="0.3">
      <c r="A11" s="467">
        <v>4</v>
      </c>
      <c r="B11" s="475" t="s">
        <v>307</v>
      </c>
      <c r="C11" s="467"/>
      <c r="D11" s="473"/>
      <c r="E11" s="470"/>
      <c r="F11" s="471"/>
      <c r="G11" s="474"/>
      <c r="J11" s="472">
        <f t="shared" si="0"/>
        <v>0</v>
      </c>
    </row>
    <row r="12" spans="1:10" s="462" customFormat="1" ht="14.4" x14ac:dyDescent="0.3">
      <c r="A12" s="467"/>
      <c r="B12" s="475" t="s">
        <v>308</v>
      </c>
      <c r="C12" s="467"/>
      <c r="D12" s="473">
        <v>1000</v>
      </c>
      <c r="E12" s="470">
        <v>44</v>
      </c>
      <c r="F12" s="471">
        <f>D12*E12</f>
        <v>44000</v>
      </c>
      <c r="G12" s="474" t="s">
        <v>309</v>
      </c>
      <c r="J12" s="472">
        <f t="shared" si="0"/>
        <v>0.44</v>
      </c>
    </row>
    <row r="13" spans="1:10" s="462" customFormat="1" ht="14.4" x14ac:dyDescent="0.3">
      <c r="A13" s="467"/>
      <c r="B13" s="475" t="s">
        <v>310</v>
      </c>
      <c r="C13" s="467"/>
      <c r="D13" s="473">
        <v>560</v>
      </c>
      <c r="E13" s="470">
        <v>88</v>
      </c>
      <c r="F13" s="471">
        <f>D13*E13</f>
        <v>49280</v>
      </c>
      <c r="G13" s="474" t="s">
        <v>311</v>
      </c>
      <c r="J13" s="472">
        <f t="shared" si="0"/>
        <v>0.49280000000000002</v>
      </c>
    </row>
    <row r="14" spans="1:10" s="466" customFormat="1" ht="57.6" x14ac:dyDescent="0.3">
      <c r="A14" s="467">
        <v>5</v>
      </c>
      <c r="B14" s="468" t="s">
        <v>312</v>
      </c>
      <c r="C14" s="476" t="s">
        <v>296</v>
      </c>
      <c r="D14" s="469">
        <f>WIDTH!K47</f>
        <v>10958.999999998339</v>
      </c>
      <c r="E14" s="470">
        <v>63</v>
      </c>
      <c r="F14" s="471">
        <f>E14*D14</f>
        <v>690416.99999989534</v>
      </c>
      <c r="G14" s="474">
        <v>3.48</v>
      </c>
      <c r="H14" s="462"/>
      <c r="I14" s="462"/>
      <c r="J14" s="472">
        <f t="shared" si="0"/>
        <v>6.9041699999989534</v>
      </c>
    </row>
    <row r="15" spans="1:10" s="466" customFormat="1" ht="14.4" x14ac:dyDescent="0.3">
      <c r="A15" s="467"/>
      <c r="B15" s="477" t="s">
        <v>313</v>
      </c>
      <c r="C15" s="467"/>
      <c r="D15" s="469"/>
      <c r="E15" s="470"/>
      <c r="F15" s="471"/>
      <c r="G15" s="467"/>
      <c r="H15" s="462"/>
      <c r="I15" s="462"/>
      <c r="J15" s="472">
        <f t="shared" si="0"/>
        <v>0</v>
      </c>
    </row>
    <row r="16" spans="1:10" s="466" customFormat="1" ht="107.4" customHeight="1" x14ac:dyDescent="0.3">
      <c r="A16" s="467">
        <v>6</v>
      </c>
      <c r="B16" s="478" t="s">
        <v>314</v>
      </c>
      <c r="C16" s="479" t="s">
        <v>192</v>
      </c>
      <c r="D16" s="469"/>
      <c r="E16" s="470"/>
      <c r="F16" s="471"/>
      <c r="G16" s="479">
        <v>2.0099999999999998</v>
      </c>
      <c r="H16" s="480"/>
      <c r="I16" s="480"/>
      <c r="J16" s="472">
        <f t="shared" si="0"/>
        <v>0</v>
      </c>
    </row>
    <row r="17" spans="1:10" s="466" customFormat="1" ht="14.4" x14ac:dyDescent="0.3">
      <c r="A17" s="467" t="s">
        <v>315</v>
      </c>
      <c r="B17" s="481" t="s">
        <v>316</v>
      </c>
      <c r="C17" s="467"/>
      <c r="D17" s="469">
        <f>CUTOFF3!E50</f>
        <v>970319.2945375354</v>
      </c>
      <c r="E17" s="482">
        <v>57</v>
      </c>
      <c r="F17" s="471">
        <f>ROUND(E17*D17,0)</f>
        <v>55308200</v>
      </c>
      <c r="G17" s="467"/>
      <c r="H17" s="462">
        <v>6730</v>
      </c>
      <c r="I17" s="462"/>
      <c r="J17" s="472">
        <f t="shared" si="0"/>
        <v>553.08199999999999</v>
      </c>
    </row>
    <row r="18" spans="1:10" s="466" customFormat="1" ht="14.4" x14ac:dyDescent="0.3">
      <c r="A18" s="467" t="s">
        <v>317</v>
      </c>
      <c r="B18" s="483" t="s">
        <v>318</v>
      </c>
      <c r="C18" s="467"/>
      <c r="D18" s="469">
        <f>'EX, For filter'!F50</f>
        <v>10459.5</v>
      </c>
      <c r="E18" s="484">
        <f>E17</f>
        <v>57</v>
      </c>
      <c r="F18" s="485">
        <f>ROUND(E18*D18,0)</f>
        <v>596192</v>
      </c>
      <c r="G18" s="467"/>
      <c r="H18" s="462">
        <v>638</v>
      </c>
      <c r="I18" s="462"/>
      <c r="J18" s="472">
        <f t="shared" si="0"/>
        <v>5.9619200000000001</v>
      </c>
    </row>
    <row r="19" spans="1:10" s="466" customFormat="1" ht="14.4" x14ac:dyDescent="0.3">
      <c r="A19" s="467" t="s">
        <v>319</v>
      </c>
      <c r="B19" s="483" t="s">
        <v>320</v>
      </c>
      <c r="C19" s="467"/>
      <c r="D19" s="469">
        <f>'Toe Drain Ex'!L56</f>
        <v>1120.2400000000005</v>
      </c>
      <c r="E19" s="484">
        <f>E18</f>
        <v>57</v>
      </c>
      <c r="F19" s="471">
        <f>ROUND(E19*D19,0)</f>
        <v>63854</v>
      </c>
      <c r="G19" s="467"/>
      <c r="H19" s="462"/>
      <c r="I19" s="462"/>
      <c r="J19" s="472">
        <f t="shared" si="0"/>
        <v>0.63854</v>
      </c>
    </row>
    <row r="20" spans="1:10" s="466" customFormat="1" ht="90" customHeight="1" x14ac:dyDescent="0.3">
      <c r="A20" s="467">
        <v>7</v>
      </c>
      <c r="B20" s="478" t="s">
        <v>659</v>
      </c>
      <c r="C20" s="479" t="s">
        <v>192</v>
      </c>
      <c r="D20" s="469"/>
      <c r="E20" s="470"/>
      <c r="F20" s="471"/>
      <c r="G20" s="479">
        <v>2.02</v>
      </c>
      <c r="H20" s="480"/>
      <c r="I20" s="480"/>
      <c r="J20" s="472">
        <f t="shared" si="0"/>
        <v>0</v>
      </c>
    </row>
    <row r="21" spans="1:10" s="466" customFormat="1" ht="14.4" x14ac:dyDescent="0.3">
      <c r="A21" s="486" t="str">
        <f t="shared" ref="A21:B23" si="1">A17</f>
        <v>(A)</v>
      </c>
      <c r="B21" s="486" t="str">
        <f t="shared" si="1"/>
        <v>CUT-OFF TRENCH</v>
      </c>
      <c r="C21" s="467"/>
      <c r="D21" s="469">
        <f>CUTOFF3!E51</f>
        <v>970319.2945375354</v>
      </c>
      <c r="E21" s="487">
        <v>125</v>
      </c>
      <c r="F21" s="471">
        <f>ROUND(E21*D21,0)</f>
        <v>121289912</v>
      </c>
      <c r="G21" s="479">
        <v>2.02</v>
      </c>
      <c r="H21" s="480">
        <v>17499</v>
      </c>
      <c r="I21" s="480"/>
      <c r="J21" s="472">
        <f t="shared" si="0"/>
        <v>1212.89912</v>
      </c>
    </row>
    <row r="22" spans="1:10" s="466" customFormat="1" ht="14.4" x14ac:dyDescent="0.3">
      <c r="A22" s="486" t="str">
        <f t="shared" si="1"/>
        <v>(B)</v>
      </c>
      <c r="B22" s="486" t="str">
        <f t="shared" si="1"/>
        <v>FILTER</v>
      </c>
      <c r="C22" s="467"/>
      <c r="D22" s="469">
        <f>'EX, For filter'!F48</f>
        <v>10459.5</v>
      </c>
      <c r="E22" s="488">
        <f>E21</f>
        <v>125</v>
      </c>
      <c r="F22" s="485">
        <f>ROUND(E22*D22,0)</f>
        <v>1307438</v>
      </c>
      <c r="G22" s="467"/>
      <c r="H22" s="462"/>
      <c r="I22" s="462"/>
      <c r="J22" s="472">
        <f t="shared" si="0"/>
        <v>13.07438</v>
      </c>
    </row>
    <row r="23" spans="1:10" s="466" customFormat="1" ht="14.4" x14ac:dyDescent="0.3">
      <c r="A23" s="486" t="str">
        <f t="shared" si="1"/>
        <v>(C)</v>
      </c>
      <c r="B23" s="486" t="str">
        <f t="shared" si="1"/>
        <v>DRAIN</v>
      </c>
      <c r="C23" s="467"/>
      <c r="D23" s="469">
        <f>'Toe Drain Ex'!L57</f>
        <v>980.21000000000026</v>
      </c>
      <c r="E23" s="488">
        <f>E22</f>
        <v>125</v>
      </c>
      <c r="F23" s="485">
        <f>ROUND(E23*D23,0)</f>
        <v>122526</v>
      </c>
      <c r="G23" s="467"/>
      <c r="H23" s="462"/>
      <c r="I23" s="462"/>
      <c r="J23" s="472">
        <f t="shared" si="0"/>
        <v>1.22526</v>
      </c>
    </row>
    <row r="24" spans="1:10" s="466" customFormat="1" ht="86.4" x14ac:dyDescent="0.3">
      <c r="A24" s="486">
        <v>8</v>
      </c>
      <c r="B24" s="489" t="s">
        <v>321</v>
      </c>
      <c r="C24" s="479" t="s">
        <v>192</v>
      </c>
      <c r="D24" s="469"/>
      <c r="E24" s="482"/>
      <c r="F24" s="471"/>
      <c r="G24" s="479">
        <v>2.0299999999999998</v>
      </c>
      <c r="H24" s="480"/>
      <c r="I24" s="480"/>
      <c r="J24" s="472">
        <f t="shared" si="0"/>
        <v>0</v>
      </c>
    </row>
    <row r="25" spans="1:10" s="466" customFormat="1" ht="14.4" x14ac:dyDescent="0.3">
      <c r="A25" s="486" t="str">
        <f t="shared" ref="A25:B27" si="2">A21</f>
        <v>(A)</v>
      </c>
      <c r="B25" s="486" t="str">
        <f t="shared" si="2"/>
        <v>CUT-OFF TRENCH</v>
      </c>
      <c r="C25" s="479"/>
      <c r="D25" s="469">
        <f>CUTOFF3!E52</f>
        <v>1293759.0593833807</v>
      </c>
      <c r="E25" s="482">
        <v>387</v>
      </c>
      <c r="F25" s="471">
        <f t="shared" ref="F25:F31" si="3">ROUND(E25*D25,0)</f>
        <v>500684756</v>
      </c>
      <c r="G25" s="479">
        <v>2.0299999999999998</v>
      </c>
      <c r="H25" s="480">
        <v>2692</v>
      </c>
      <c r="I25" s="480"/>
      <c r="J25" s="472">
        <f t="shared" si="0"/>
        <v>5006.8475600000002</v>
      </c>
    </row>
    <row r="26" spans="1:10" s="466" customFormat="1" ht="14.4" x14ac:dyDescent="0.3">
      <c r="A26" s="486" t="str">
        <f t="shared" si="2"/>
        <v>(B)</v>
      </c>
      <c r="B26" s="486" t="str">
        <f t="shared" si="2"/>
        <v>FILTER</v>
      </c>
      <c r="C26" s="479"/>
      <c r="D26" s="469">
        <f>D22*0</f>
        <v>0</v>
      </c>
      <c r="E26" s="482">
        <f>E25</f>
        <v>387</v>
      </c>
      <c r="F26" s="471">
        <f t="shared" si="3"/>
        <v>0</v>
      </c>
      <c r="G26" s="479"/>
      <c r="H26" s="480"/>
      <c r="I26" s="480"/>
      <c r="J26" s="472">
        <f t="shared" si="0"/>
        <v>0</v>
      </c>
    </row>
    <row r="27" spans="1:10" s="466" customFormat="1" ht="14.4" x14ac:dyDescent="0.3">
      <c r="A27" s="486" t="str">
        <f t="shared" si="2"/>
        <v>(C)</v>
      </c>
      <c r="B27" s="486" t="str">
        <f t="shared" si="2"/>
        <v>DRAIN</v>
      </c>
      <c r="C27" s="479"/>
      <c r="D27" s="469">
        <f>'Toe Drain Ex'!L58</f>
        <v>700.1500000000002</v>
      </c>
      <c r="E27" s="482">
        <f>E25</f>
        <v>387</v>
      </c>
      <c r="F27" s="471">
        <f t="shared" si="3"/>
        <v>270958</v>
      </c>
      <c r="G27" s="479"/>
      <c r="H27" s="480"/>
      <c r="I27" s="480"/>
      <c r="J27" s="472">
        <f t="shared" si="0"/>
        <v>2.7095799999999999</v>
      </c>
    </row>
    <row r="28" spans="1:10" s="466" customFormat="1" ht="130.94999999999999" customHeight="1" x14ac:dyDescent="0.3">
      <c r="A28" s="467">
        <f>A24+1</f>
        <v>9</v>
      </c>
      <c r="B28" s="489" t="s">
        <v>322</v>
      </c>
      <c r="C28" s="467" t="s">
        <v>296</v>
      </c>
      <c r="D28" s="469">
        <f>'e-w'!F72</f>
        <v>21541148.45082213</v>
      </c>
      <c r="E28" s="470">
        <v>99</v>
      </c>
      <c r="F28" s="485">
        <f t="shared" si="3"/>
        <v>2132573697</v>
      </c>
      <c r="G28" s="479">
        <v>2.0699999999999998</v>
      </c>
      <c r="H28" s="480">
        <v>137936</v>
      </c>
      <c r="I28" s="480"/>
      <c r="J28" s="472">
        <f t="shared" si="0"/>
        <v>21325.736970000002</v>
      </c>
    </row>
    <row r="29" spans="1:10" s="466" customFormat="1" ht="150" customHeight="1" x14ac:dyDescent="0.3">
      <c r="A29" s="467">
        <f>A28+1</f>
        <v>10</v>
      </c>
      <c r="B29" s="489" t="s">
        <v>323</v>
      </c>
      <c r="C29" s="467" t="s">
        <v>296</v>
      </c>
      <c r="D29" s="469">
        <v>3685</v>
      </c>
      <c r="E29" s="470">
        <v>109</v>
      </c>
      <c r="F29" s="485">
        <f t="shared" si="3"/>
        <v>401665</v>
      </c>
      <c r="G29" s="467">
        <v>2.08</v>
      </c>
      <c r="H29" s="462">
        <v>26922</v>
      </c>
      <c r="I29" s="462"/>
      <c r="J29" s="472">
        <f t="shared" si="0"/>
        <v>4.0166500000000003</v>
      </c>
    </row>
    <row r="30" spans="1:10" s="466" customFormat="1" ht="39.6" x14ac:dyDescent="0.3">
      <c r="A30" s="467">
        <f>A29+1</f>
        <v>11</v>
      </c>
      <c r="B30" s="490" t="s">
        <v>324</v>
      </c>
      <c r="C30" s="476" t="s">
        <v>296</v>
      </c>
      <c r="D30" s="469">
        <f>Util!C29+CUTOFF3!L47</f>
        <v>24376393.898426946</v>
      </c>
      <c r="E30" s="470">
        <v>20</v>
      </c>
      <c r="F30" s="471">
        <f t="shared" si="3"/>
        <v>487527878</v>
      </c>
      <c r="G30" s="467">
        <v>2.09</v>
      </c>
      <c r="H30" s="462"/>
      <c r="I30" s="462"/>
      <c r="J30" s="472">
        <f t="shared" si="0"/>
        <v>4875.2787799999996</v>
      </c>
    </row>
    <row r="31" spans="1:10" s="466" customFormat="1" ht="28.8" x14ac:dyDescent="0.3">
      <c r="A31" s="467">
        <f>A30+1</f>
        <v>12</v>
      </c>
      <c r="B31" s="468" t="s">
        <v>325</v>
      </c>
      <c r="C31" s="476" t="s">
        <v>296</v>
      </c>
      <c r="D31" s="469">
        <f>D30</f>
        <v>24376393.898426946</v>
      </c>
      <c r="E31" s="470">
        <v>10</v>
      </c>
      <c r="F31" s="471">
        <f t="shared" si="3"/>
        <v>243763939</v>
      </c>
      <c r="G31" s="469">
        <v>2.1</v>
      </c>
      <c r="H31" s="491"/>
      <c r="I31" s="491"/>
      <c r="J31" s="472">
        <f t="shared" si="0"/>
        <v>2437.6393899999998</v>
      </c>
    </row>
    <row r="32" spans="1:10" s="466" customFormat="1" ht="39.6" x14ac:dyDescent="0.3">
      <c r="A32" s="467">
        <f>A31+1</f>
        <v>13</v>
      </c>
      <c r="B32" s="489" t="s">
        <v>326</v>
      </c>
      <c r="C32" s="492"/>
      <c r="D32" s="492"/>
      <c r="E32" s="1044"/>
      <c r="F32" s="492"/>
      <c r="G32" s="493">
        <v>3.37</v>
      </c>
      <c r="H32" s="480"/>
      <c r="I32" s="480"/>
      <c r="J32" s="472">
        <f t="shared" si="0"/>
        <v>0</v>
      </c>
    </row>
    <row r="33" spans="1:13" s="466" customFormat="1" ht="14.4" x14ac:dyDescent="0.3">
      <c r="A33" s="467"/>
      <c r="B33" s="486" t="s">
        <v>327</v>
      </c>
      <c r="C33" s="467" t="s">
        <v>296</v>
      </c>
      <c r="D33" s="469">
        <f>B.T.!M45</f>
        <v>20720</v>
      </c>
      <c r="E33" s="470">
        <v>949</v>
      </c>
      <c r="F33" s="471">
        <f>ROUND(E33*D33,0)</f>
        <v>19663280</v>
      </c>
      <c r="G33" s="494" t="s">
        <v>328</v>
      </c>
      <c r="H33" s="480">
        <v>8672</v>
      </c>
      <c r="I33" s="480"/>
      <c r="J33" s="472">
        <f t="shared" si="0"/>
        <v>196.6328</v>
      </c>
    </row>
    <row r="34" spans="1:13" s="466" customFormat="1" ht="58.2" customHeight="1" x14ac:dyDescent="0.3">
      <c r="A34" s="1208">
        <f>A32+1</f>
        <v>14</v>
      </c>
      <c r="B34" s="489" t="s">
        <v>329</v>
      </c>
      <c r="C34" s="495"/>
      <c r="D34" s="496"/>
      <c r="E34" s="496"/>
      <c r="F34" s="497"/>
      <c r="G34" s="467">
        <v>3.35</v>
      </c>
      <c r="H34" s="462"/>
      <c r="I34" s="462"/>
      <c r="J34" s="472">
        <f t="shared" si="0"/>
        <v>0</v>
      </c>
    </row>
    <row r="35" spans="1:13" s="466" customFormat="1" ht="14.4" x14ac:dyDescent="0.3">
      <c r="A35" s="1208"/>
      <c r="B35" s="489" t="s">
        <v>330</v>
      </c>
      <c r="C35" s="498" t="s">
        <v>296</v>
      </c>
      <c r="D35" s="499">
        <f>'(Extended filter)'!G49+'inclind filter above BT'!H50+'inclined Filetr above hearting'!H49</f>
        <v>15597.801440851774</v>
      </c>
      <c r="E35" s="500">
        <v>1094</v>
      </c>
      <c r="F35" s="497">
        <f>ROUND(E35*D35,0)</f>
        <v>17063995</v>
      </c>
      <c r="G35" s="501" t="s">
        <v>331</v>
      </c>
      <c r="H35" s="502">
        <v>6374</v>
      </c>
      <c r="I35" s="502"/>
      <c r="J35" s="472">
        <f t="shared" si="0"/>
        <v>170.63995</v>
      </c>
    </row>
    <row r="36" spans="1:13" s="466" customFormat="1" ht="14.4" x14ac:dyDescent="0.3">
      <c r="A36" s="1208"/>
      <c r="B36" s="468" t="s">
        <v>332</v>
      </c>
      <c r="C36" s="498" t="s">
        <v>296</v>
      </c>
      <c r="D36" s="499">
        <f>'(Extended filter)'!G50+'inclind filter above BT'!H51+'inclined Filetr above hearting'!H50</f>
        <v>324610.64321527345</v>
      </c>
      <c r="E36" s="500">
        <v>1241</v>
      </c>
      <c r="F36" s="497">
        <f>ROUND(E36*D36,0)</f>
        <v>402841808</v>
      </c>
      <c r="G36" s="479" t="s">
        <v>333</v>
      </c>
      <c r="H36" s="480">
        <v>10824</v>
      </c>
      <c r="I36" s="480"/>
      <c r="J36" s="472">
        <f t="shared" si="0"/>
        <v>4028.4180799999999</v>
      </c>
    </row>
    <row r="37" spans="1:13" s="466" customFormat="1" ht="14.4" hidden="1" x14ac:dyDescent="0.3">
      <c r="A37" s="1208">
        <f>A34+1</f>
        <v>15</v>
      </c>
      <c r="B37" s="489" t="s">
        <v>334</v>
      </c>
      <c r="C37" s="498"/>
      <c r="D37" s="503"/>
      <c r="E37" s="504"/>
      <c r="F37" s="497"/>
      <c r="G37" s="467">
        <v>3.36</v>
      </c>
      <c r="H37" s="462"/>
      <c r="I37" s="462"/>
      <c r="J37" s="472">
        <f t="shared" si="0"/>
        <v>0</v>
      </c>
    </row>
    <row r="38" spans="1:13" s="466" customFormat="1" ht="14.4" hidden="1" x14ac:dyDescent="0.3">
      <c r="A38" s="1208"/>
      <c r="B38" s="489" t="s">
        <v>335</v>
      </c>
      <c r="C38" s="467" t="s">
        <v>296</v>
      </c>
      <c r="D38" s="469">
        <v>0</v>
      </c>
      <c r="E38" s="470">
        <v>880</v>
      </c>
      <c r="F38" s="471">
        <f>ROUND(E38*D38,0)</f>
        <v>0</v>
      </c>
      <c r="G38" s="501" t="s">
        <v>336</v>
      </c>
      <c r="H38" s="502"/>
      <c r="I38" s="502"/>
      <c r="J38" s="472">
        <f t="shared" si="0"/>
        <v>0</v>
      </c>
    </row>
    <row r="39" spans="1:13" s="466" customFormat="1" ht="28.8" hidden="1" x14ac:dyDescent="0.3">
      <c r="A39" s="1208"/>
      <c r="B39" s="489" t="s">
        <v>337</v>
      </c>
      <c r="C39" s="467" t="s">
        <v>296</v>
      </c>
      <c r="D39" s="469">
        <v>0</v>
      </c>
      <c r="E39" s="470">
        <v>1035</v>
      </c>
      <c r="F39" s="471">
        <f>ROUND(E39*D39,0)</f>
        <v>0</v>
      </c>
      <c r="G39" s="479" t="s">
        <v>338</v>
      </c>
      <c r="H39" s="480"/>
      <c r="I39" s="480"/>
      <c r="J39" s="472">
        <f t="shared" si="0"/>
        <v>0</v>
      </c>
    </row>
    <row r="40" spans="1:13" s="466" customFormat="1" ht="135.6" customHeight="1" x14ac:dyDescent="0.3">
      <c r="A40" s="467">
        <f>A34+1</f>
        <v>15</v>
      </c>
      <c r="B40" s="490" t="s">
        <v>339</v>
      </c>
      <c r="C40" s="463"/>
      <c r="D40" s="503"/>
      <c r="E40" s="504"/>
      <c r="F40" s="497"/>
      <c r="G40" s="467">
        <v>3.34</v>
      </c>
      <c r="H40" s="462"/>
      <c r="I40" s="462"/>
      <c r="J40" s="472">
        <f t="shared" si="0"/>
        <v>0</v>
      </c>
      <c r="M40" s="505">
        <f>D36+D41</f>
        <v>326030.44421527343</v>
      </c>
    </row>
    <row r="41" spans="1:13" s="466" customFormat="1" ht="14.4" x14ac:dyDescent="0.3">
      <c r="A41" s="467"/>
      <c r="B41" s="489" t="s">
        <v>340</v>
      </c>
      <c r="C41" s="467" t="s">
        <v>296</v>
      </c>
      <c r="D41" s="503">
        <f>'Toe Drain Quantity'!I51</f>
        <v>1419.8010000000011</v>
      </c>
      <c r="E41" s="506">
        <v>1247</v>
      </c>
      <c r="F41" s="471">
        <f>ROUND(E41*D41,0)</f>
        <v>1770492</v>
      </c>
      <c r="G41" s="467" t="s">
        <v>341</v>
      </c>
      <c r="H41" s="462"/>
      <c r="I41" s="462"/>
      <c r="J41" s="472">
        <f t="shared" si="0"/>
        <v>17.704920000000001</v>
      </c>
      <c r="M41" s="505">
        <f>D35+D42</f>
        <v>15830.265440851774</v>
      </c>
    </row>
    <row r="42" spans="1:13" s="466" customFormat="1" ht="14.4" x14ac:dyDescent="0.3">
      <c r="A42" s="467"/>
      <c r="B42" s="489" t="s">
        <v>342</v>
      </c>
      <c r="C42" s="467" t="s">
        <v>296</v>
      </c>
      <c r="D42" s="503">
        <f>'Toe Drain Quantity'!I50</f>
        <v>232.46400000000006</v>
      </c>
      <c r="E42" s="506">
        <v>1090</v>
      </c>
      <c r="F42" s="471">
        <f>ROUND(E42*D42,0)</f>
        <v>253386</v>
      </c>
      <c r="G42" s="467" t="s">
        <v>343</v>
      </c>
      <c r="H42" s="462"/>
      <c r="I42" s="462"/>
      <c r="J42" s="472">
        <f t="shared" si="0"/>
        <v>2.5338599999999998</v>
      </c>
    </row>
    <row r="43" spans="1:13" s="466" customFormat="1" ht="14.4" x14ac:dyDescent="0.3">
      <c r="A43" s="467"/>
      <c r="B43" s="489" t="s">
        <v>344</v>
      </c>
      <c r="C43" s="467" t="s">
        <v>296</v>
      </c>
      <c r="D43" s="469">
        <f>'Toe Drain Quantity'!I49</f>
        <v>149.61972381908205</v>
      </c>
      <c r="E43" s="507">
        <v>566</v>
      </c>
      <c r="F43" s="471">
        <f>ROUND(E43*D43,0)</f>
        <v>84685</v>
      </c>
      <c r="G43" s="467" t="s">
        <v>345</v>
      </c>
      <c r="H43" s="462"/>
      <c r="I43" s="462"/>
      <c r="J43" s="472">
        <f t="shared" si="0"/>
        <v>0.84684999999999999</v>
      </c>
    </row>
    <row r="44" spans="1:13" s="466" customFormat="1" ht="39.6" x14ac:dyDescent="0.3">
      <c r="A44" s="467">
        <f>A40+1</f>
        <v>16</v>
      </c>
      <c r="B44" s="508" t="s">
        <v>346</v>
      </c>
      <c r="C44" s="476" t="s">
        <v>296</v>
      </c>
      <c r="D44" s="470">
        <f>pich!E60</f>
        <v>266.39999999999998</v>
      </c>
      <c r="E44" s="470">
        <v>847</v>
      </c>
      <c r="F44" s="471">
        <f>D44*E44</f>
        <v>225640.8</v>
      </c>
      <c r="G44" s="467">
        <v>3.45</v>
      </c>
      <c r="H44" s="462"/>
      <c r="I44" s="462"/>
      <c r="J44" s="472">
        <f t="shared" si="0"/>
        <v>2.256408</v>
      </c>
    </row>
    <row r="45" spans="1:13" s="466" customFormat="1" ht="92.4" x14ac:dyDescent="0.3">
      <c r="A45" s="467">
        <f>A44+1</f>
        <v>17</v>
      </c>
      <c r="B45" s="508" t="s">
        <v>347</v>
      </c>
      <c r="C45" s="476" t="s">
        <v>296</v>
      </c>
      <c r="D45" s="470">
        <f>pich!M52+pich!N52</f>
        <v>29064.427844236612</v>
      </c>
      <c r="E45" s="470">
        <v>1280</v>
      </c>
      <c r="F45" s="471">
        <f>D45*E45</f>
        <v>37202467.640622862</v>
      </c>
      <c r="G45" s="467" t="s">
        <v>348</v>
      </c>
      <c r="H45" s="462">
        <v>8373</v>
      </c>
      <c r="I45" s="462"/>
      <c r="J45" s="472">
        <f t="shared" si="0"/>
        <v>372.02467640622859</v>
      </c>
    </row>
    <row r="46" spans="1:13" s="466" customFormat="1" ht="27" customHeight="1" x14ac:dyDescent="0.3">
      <c r="A46" s="467">
        <f>A45+1</f>
        <v>18</v>
      </c>
      <c r="B46" s="489" t="s">
        <v>349</v>
      </c>
      <c r="C46" s="467" t="s">
        <v>296</v>
      </c>
      <c r="D46" s="469">
        <f>pich!M54</f>
        <v>8719.3283532709829</v>
      </c>
      <c r="E46" s="470">
        <v>838</v>
      </c>
      <c r="F46" s="471">
        <f>D46*E46</f>
        <v>7306797.1600410836</v>
      </c>
      <c r="G46" s="467">
        <v>3.42</v>
      </c>
      <c r="H46" s="462"/>
      <c r="I46" s="462"/>
      <c r="J46" s="472">
        <f t="shared" si="0"/>
        <v>73.067971600410843</v>
      </c>
    </row>
    <row r="47" spans="1:13" s="466" customFormat="1" ht="39.6" x14ac:dyDescent="0.3">
      <c r="A47" s="467">
        <f>A46+1</f>
        <v>19</v>
      </c>
      <c r="B47" s="489" t="s">
        <v>350</v>
      </c>
      <c r="C47" s="467" t="s">
        <v>170</v>
      </c>
      <c r="D47" s="470">
        <f>Turf!G46</f>
        <v>23764</v>
      </c>
      <c r="E47" s="470">
        <v>42</v>
      </c>
      <c r="F47" s="471">
        <f>ROUND(E47*D47,0)</f>
        <v>998088</v>
      </c>
      <c r="G47" s="509">
        <v>3.5</v>
      </c>
      <c r="H47" s="510"/>
      <c r="I47" s="510"/>
      <c r="J47" s="472">
        <f t="shared" si="0"/>
        <v>9.9808800000000009</v>
      </c>
    </row>
    <row r="48" spans="1:13" s="466" customFormat="1" ht="14.4" x14ac:dyDescent="0.3">
      <c r="A48" s="467">
        <f>A47+1</f>
        <v>20</v>
      </c>
      <c r="B48" s="468" t="s">
        <v>351</v>
      </c>
      <c r="C48" s="467" t="s">
        <v>170</v>
      </c>
      <c r="D48" s="469">
        <f>D47</f>
        <v>23764</v>
      </c>
      <c r="E48" s="470">
        <v>27</v>
      </c>
      <c r="F48" s="471">
        <f>ROUND(E48*D48,0)</f>
        <v>641628</v>
      </c>
      <c r="G48" s="467">
        <v>3.51</v>
      </c>
      <c r="H48" s="462"/>
      <c r="I48" s="462"/>
      <c r="J48" s="472">
        <f t="shared" si="0"/>
        <v>6.4162800000000004</v>
      </c>
    </row>
    <row r="49" spans="1:10" s="466" customFormat="1" ht="43.2" x14ac:dyDescent="0.3">
      <c r="A49" s="1208">
        <f>A48+1</f>
        <v>21</v>
      </c>
      <c r="B49" s="468" t="s">
        <v>352</v>
      </c>
      <c r="C49" s="498"/>
      <c r="D49" s="503"/>
      <c r="E49" s="504"/>
      <c r="F49" s="497"/>
      <c r="G49" s="467">
        <v>3.55</v>
      </c>
      <c r="H49" s="462"/>
      <c r="I49" s="462"/>
      <c r="J49" s="472">
        <f t="shared" si="0"/>
        <v>0</v>
      </c>
    </row>
    <row r="50" spans="1:10" s="466" customFormat="1" ht="14.4" x14ac:dyDescent="0.3">
      <c r="A50" s="1208"/>
      <c r="B50" s="511" t="s">
        <v>353</v>
      </c>
      <c r="C50" s="479" t="s">
        <v>354</v>
      </c>
      <c r="D50" s="512">
        <v>1226.6099999999999</v>
      </c>
      <c r="E50" s="470">
        <v>214</v>
      </c>
      <c r="F50" s="497">
        <f>ROUND(E50*D50,0)</f>
        <v>262495</v>
      </c>
      <c r="G50" s="479" t="s">
        <v>355</v>
      </c>
      <c r="H50" s="480"/>
      <c r="I50" s="480"/>
      <c r="J50" s="472">
        <f t="shared" si="0"/>
        <v>2.6249500000000001</v>
      </c>
    </row>
    <row r="51" spans="1:10" s="518" customFormat="1" ht="118.2" customHeight="1" x14ac:dyDescent="0.3">
      <c r="A51" s="513">
        <f>A49+1</f>
        <v>22</v>
      </c>
      <c r="B51" s="80" t="s">
        <v>356</v>
      </c>
      <c r="C51" s="68"/>
      <c r="D51" s="514"/>
      <c r="E51" s="515"/>
      <c r="F51" s="516"/>
      <c r="G51" s="515"/>
      <c r="H51" s="517"/>
      <c r="I51" s="517"/>
      <c r="J51" s="472">
        <f t="shared" si="0"/>
        <v>0</v>
      </c>
    </row>
    <row r="52" spans="1:10" s="518" customFormat="1" ht="15.6" customHeight="1" x14ac:dyDescent="0.3">
      <c r="A52" s="513"/>
      <c r="B52" s="80" t="s">
        <v>357</v>
      </c>
      <c r="C52" s="68" t="s">
        <v>295</v>
      </c>
      <c r="D52" s="514">
        <f>Grouting!G45</f>
        <v>1554</v>
      </c>
      <c r="E52" s="515">
        <v>1176</v>
      </c>
      <c r="F52" s="497">
        <f t="shared" ref="F52:F53" si="4">ROUND(E52*D52,0)</f>
        <v>1827504</v>
      </c>
      <c r="G52" s="515" t="s">
        <v>358</v>
      </c>
      <c r="H52" s="517"/>
      <c r="I52" s="517"/>
      <c r="J52" s="472"/>
    </row>
    <row r="53" spans="1:10" s="518" customFormat="1" ht="30" customHeight="1" x14ac:dyDescent="0.3">
      <c r="A53" s="513"/>
      <c r="B53" s="80" t="s">
        <v>359</v>
      </c>
      <c r="C53" s="68" t="s">
        <v>295</v>
      </c>
      <c r="D53" s="514">
        <f>D52</f>
        <v>1554</v>
      </c>
      <c r="E53" s="515">
        <v>1294</v>
      </c>
      <c r="F53" s="497">
        <f t="shared" si="4"/>
        <v>2010876</v>
      </c>
      <c r="G53" s="515" t="s">
        <v>360</v>
      </c>
      <c r="H53" s="517"/>
      <c r="I53" s="517"/>
      <c r="J53" s="472"/>
    </row>
    <row r="54" spans="1:10" s="103" customFormat="1" ht="72" x14ac:dyDescent="0.3">
      <c r="A54" s="519">
        <f>A51+1</f>
        <v>23</v>
      </c>
      <c r="B54" s="520" t="s">
        <v>361</v>
      </c>
      <c r="C54" s="521" t="s">
        <v>43</v>
      </c>
      <c r="D54" s="522">
        <f>Grouting!F49</f>
        <v>5619.5074999999979</v>
      </c>
      <c r="E54" s="523">
        <v>12033</v>
      </c>
      <c r="F54" s="524">
        <f t="shared" ref="F54" si="5">D54*E54</f>
        <v>67619533.747499973</v>
      </c>
      <c r="G54" s="523">
        <v>3.09</v>
      </c>
      <c r="H54" s="525"/>
      <c r="I54" s="525"/>
      <c r="J54" s="472">
        <f t="shared" si="0"/>
        <v>676.19533747499975</v>
      </c>
    </row>
    <row r="55" spans="1:10" s="466" customFormat="1" ht="14.4" x14ac:dyDescent="0.3">
      <c r="A55" s="467"/>
      <c r="B55" s="526"/>
      <c r="C55" s="479"/>
      <c r="D55" s="503"/>
      <c r="E55" s="527"/>
      <c r="F55" s="528"/>
      <c r="G55" s="515"/>
      <c r="H55" s="517"/>
      <c r="I55" s="517"/>
      <c r="J55" s="517"/>
    </row>
    <row r="56" spans="1:10" s="466" customFormat="1" ht="14.4" x14ac:dyDescent="0.3">
      <c r="A56" s="467">
        <f>A54+1</f>
        <v>24</v>
      </c>
      <c r="B56" s="526" t="s">
        <v>362</v>
      </c>
      <c r="C56" s="479" t="s">
        <v>363</v>
      </c>
      <c r="D56" s="469">
        <f>Util!I12</f>
        <v>1171287.3234450417</v>
      </c>
      <c r="E56" s="529">
        <v>105</v>
      </c>
      <c r="F56" s="530">
        <f>-D56*E56</f>
        <v>-122985168.96172938</v>
      </c>
      <c r="G56" s="515"/>
      <c r="H56" s="517"/>
      <c r="I56" s="517"/>
      <c r="J56" s="517"/>
    </row>
    <row r="57" spans="1:10" s="466" customFormat="1" ht="14.4" hidden="1" x14ac:dyDescent="0.3">
      <c r="A57" s="486"/>
      <c r="B57" s="531" t="s">
        <v>364</v>
      </c>
      <c r="C57" s="467"/>
      <c r="D57" s="469"/>
      <c r="E57" s="532"/>
      <c r="F57" s="533"/>
      <c r="G57" s="467"/>
      <c r="H57" s="462"/>
      <c r="I57" s="462"/>
      <c r="J57" s="462"/>
    </row>
    <row r="58" spans="1:10" s="466" customFormat="1" ht="14.4" hidden="1" x14ac:dyDescent="0.3">
      <c r="A58" s="486">
        <f>A56+1</f>
        <v>25</v>
      </c>
      <c r="B58" s="531" t="s">
        <v>365</v>
      </c>
      <c r="C58" s="467" t="s">
        <v>296</v>
      </c>
      <c r="D58" s="469"/>
      <c r="E58" s="532"/>
      <c r="F58" s="533"/>
      <c r="G58" s="534"/>
      <c r="H58" s="462"/>
      <c r="I58" s="462"/>
      <c r="J58" s="462"/>
    </row>
    <row r="59" spans="1:10" s="466" customFormat="1" ht="14.4" hidden="1" x14ac:dyDescent="0.3">
      <c r="A59" s="486"/>
      <c r="B59" s="531" t="s">
        <v>366</v>
      </c>
      <c r="C59" s="467"/>
      <c r="D59" s="469"/>
      <c r="E59" s="532"/>
      <c r="F59" s="533">
        <f>E59*D59</f>
        <v>0</v>
      </c>
      <c r="G59" s="534"/>
      <c r="H59" s="462"/>
      <c r="I59" s="462"/>
      <c r="J59" s="462"/>
    </row>
    <row r="60" spans="1:10" s="466" customFormat="1" ht="14.4" hidden="1" x14ac:dyDescent="0.3">
      <c r="A60" s="486"/>
      <c r="B60" s="531" t="s">
        <v>367</v>
      </c>
      <c r="C60" s="467"/>
      <c r="D60" s="469"/>
      <c r="E60" s="532"/>
      <c r="F60" s="533">
        <f>E60*D60</f>
        <v>0</v>
      </c>
      <c r="G60" s="534"/>
      <c r="H60" s="462"/>
      <c r="I60" s="462"/>
      <c r="J60" s="462"/>
    </row>
    <row r="61" spans="1:10" s="466" customFormat="1" ht="14.4" hidden="1" x14ac:dyDescent="0.3">
      <c r="A61" s="486"/>
      <c r="B61" s="531"/>
      <c r="C61" s="467"/>
      <c r="D61" s="469"/>
      <c r="E61" s="532"/>
      <c r="F61" s="533"/>
      <c r="G61" s="534"/>
      <c r="H61" s="462"/>
      <c r="I61" s="462"/>
      <c r="J61" s="462"/>
    </row>
    <row r="62" spans="1:10" s="466" customFormat="1" ht="14.4" hidden="1" x14ac:dyDescent="0.3">
      <c r="A62" s="486">
        <f>A58+1</f>
        <v>26</v>
      </c>
      <c r="B62" s="531" t="s">
        <v>368</v>
      </c>
      <c r="C62" s="467" t="s">
        <v>369</v>
      </c>
      <c r="D62" s="469"/>
      <c r="E62" s="532"/>
      <c r="F62" s="533">
        <f>E62*D62</f>
        <v>0</v>
      </c>
      <c r="G62" s="534"/>
      <c r="H62" s="462"/>
      <c r="I62" s="462"/>
      <c r="J62" s="462"/>
    </row>
    <row r="63" spans="1:10" s="466" customFormat="1" ht="14.4" hidden="1" x14ac:dyDescent="0.3">
      <c r="A63" s="486"/>
      <c r="B63" s="531"/>
      <c r="C63" s="467"/>
      <c r="D63" s="469"/>
      <c r="E63" s="532"/>
      <c r="F63" s="533"/>
      <c r="G63" s="534"/>
      <c r="H63" s="462"/>
      <c r="I63" s="462"/>
      <c r="J63" s="462"/>
    </row>
    <row r="64" spans="1:10" s="466" customFormat="1" ht="14.4" hidden="1" x14ac:dyDescent="0.3">
      <c r="A64" s="467">
        <f>A62+1</f>
        <v>27</v>
      </c>
      <c r="B64" s="489" t="s">
        <v>370</v>
      </c>
      <c r="C64" s="467" t="s">
        <v>295</v>
      </c>
      <c r="D64" s="535"/>
      <c r="E64" s="470">
        <v>243</v>
      </c>
      <c r="F64" s="533">
        <v>0</v>
      </c>
      <c r="G64" s="536">
        <v>5.26</v>
      </c>
      <c r="H64" s="537"/>
      <c r="I64" s="537"/>
      <c r="J64" s="537"/>
    </row>
    <row r="65" spans="1:57" s="466" customFormat="1" ht="14.4" x14ac:dyDescent="0.3">
      <c r="A65" s="467"/>
      <c r="B65" s="538"/>
      <c r="C65" s="498"/>
      <c r="D65" s="503"/>
      <c r="E65" s="539" t="s">
        <v>159</v>
      </c>
      <c r="F65" s="540">
        <f>SUM(F8:F64)</f>
        <v>3981602669.3864346</v>
      </c>
      <c r="G65" s="467"/>
      <c r="H65" s="462"/>
      <c r="I65" s="462"/>
      <c r="J65" s="462"/>
    </row>
    <row r="66" spans="1:57" s="466" customFormat="1" x14ac:dyDescent="0.3">
      <c r="A66" s="463"/>
      <c r="B66" s="1209" t="s">
        <v>371</v>
      </c>
      <c r="C66" s="1209"/>
      <c r="D66" s="1209"/>
      <c r="E66" s="1209"/>
      <c r="F66" s="540">
        <f>F65</f>
        <v>3981602669.3864346</v>
      </c>
      <c r="G66" s="467"/>
      <c r="H66" s="462"/>
      <c r="I66" s="462"/>
      <c r="J66" s="462"/>
    </row>
    <row r="67" spans="1:57" s="451" customFormat="1" x14ac:dyDescent="0.3">
      <c r="A67" s="1210" t="s">
        <v>81</v>
      </c>
      <c r="B67" s="1210"/>
      <c r="C67" s="1210"/>
      <c r="D67" s="1210"/>
      <c r="E67" s="1210"/>
      <c r="F67" s="541">
        <f>ROUND((F65)/100000,2)</f>
        <v>39816.03</v>
      </c>
      <c r="G67" s="542"/>
      <c r="H67" s="543"/>
      <c r="I67" s="543"/>
      <c r="J67" s="543"/>
    </row>
    <row r="68" spans="1:57" s="553" customFormat="1" x14ac:dyDescent="0.25">
      <c r="A68" s="457"/>
      <c r="B68" s="544"/>
      <c r="C68" s="451"/>
      <c r="D68" s="452"/>
      <c r="E68" s="545"/>
      <c r="F68" s="546"/>
      <c r="G68" s="547"/>
      <c r="H68" s="547"/>
      <c r="I68" s="547"/>
      <c r="J68" s="547"/>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9"/>
      <c r="AV68" s="549"/>
      <c r="AW68" s="549"/>
      <c r="AX68" s="549"/>
      <c r="AY68" s="549"/>
      <c r="AZ68" s="549"/>
      <c r="BA68" s="550"/>
      <c r="BB68" s="551"/>
      <c r="BC68" s="552"/>
      <c r="BE68" s="550"/>
    </row>
    <row r="69" spans="1:57" s="553" customFormat="1" x14ac:dyDescent="0.3">
      <c r="A69" s="457"/>
      <c r="B69" s="453"/>
      <c r="C69" s="451"/>
      <c r="D69" s="452"/>
      <c r="E69" s="545"/>
      <c r="F69" s="546"/>
      <c r="G69" s="547"/>
      <c r="H69" s="547"/>
      <c r="I69" s="547"/>
      <c r="J69" s="547"/>
    </row>
    <row r="70" spans="1:57" s="553" customFormat="1" ht="14.4" x14ac:dyDescent="0.3">
      <c r="A70" s="457"/>
      <c r="B70" s="554"/>
      <c r="C70" s="451"/>
      <c r="D70" s="452"/>
      <c r="E70" s="545"/>
      <c r="F70" s="546"/>
      <c r="G70" s="555"/>
      <c r="H70" s="555"/>
      <c r="I70" s="555"/>
      <c r="J70" s="555"/>
    </row>
    <row r="71" spans="1:57" s="553" customFormat="1" x14ac:dyDescent="0.3">
      <c r="A71" s="556"/>
      <c r="B71" s="556"/>
      <c r="C71" s="457"/>
      <c r="D71" s="556"/>
      <c r="E71" s="556"/>
      <c r="F71" s="457"/>
      <c r="G71" s="547"/>
      <c r="H71" s="547"/>
      <c r="I71" s="547"/>
      <c r="J71" s="547"/>
    </row>
    <row r="72" spans="1:57" s="553" customFormat="1" x14ac:dyDescent="0.3">
      <c r="A72" s="556"/>
      <c r="B72" s="556"/>
      <c r="C72" s="457"/>
      <c r="D72" s="556"/>
      <c r="E72" s="556"/>
      <c r="F72" s="457"/>
      <c r="G72" s="547"/>
      <c r="H72" s="547"/>
      <c r="I72" s="547"/>
      <c r="J72" s="547"/>
    </row>
    <row r="73" spans="1:57" s="553" customFormat="1" x14ac:dyDescent="0.3">
      <c r="A73" s="556"/>
      <c r="B73" s="556"/>
      <c r="C73" s="457"/>
      <c r="D73" s="556"/>
      <c r="E73" s="556"/>
      <c r="F73" s="457"/>
      <c r="G73" s="547"/>
      <c r="H73" s="547"/>
      <c r="I73" s="547"/>
      <c r="J73" s="547"/>
    </row>
    <row r="74" spans="1:57" s="553" customFormat="1" ht="17.399999999999999" x14ac:dyDescent="0.3">
      <c r="A74" s="557"/>
      <c r="B74" s="558"/>
      <c r="C74" s="558"/>
      <c r="F74" s="558"/>
      <c r="G74" s="547"/>
      <c r="H74" s="547"/>
      <c r="I74" s="547"/>
      <c r="J74" s="547"/>
    </row>
    <row r="75" spans="1:57" s="553" customFormat="1" ht="17.399999999999999" x14ac:dyDescent="0.3">
      <c r="A75" s="557"/>
      <c r="B75" s="558"/>
      <c r="C75" s="451"/>
      <c r="D75" s="452"/>
      <c r="E75"/>
      <c r="F75" s="558"/>
      <c r="G75" s="547"/>
      <c r="H75" s="547"/>
      <c r="I75" s="547"/>
      <c r="J75" s="547"/>
    </row>
    <row r="76" spans="1:57" s="553" customFormat="1" x14ac:dyDescent="0.3">
      <c r="A76" s="457"/>
      <c r="G76" s="547"/>
      <c r="H76" s="547"/>
      <c r="I76" s="547"/>
      <c r="J76" s="547"/>
    </row>
    <row r="77" spans="1:57" s="553" customFormat="1" x14ac:dyDescent="0.3">
      <c r="A77" s="457"/>
      <c r="B77" s="453"/>
      <c r="C77" s="451"/>
      <c r="D77" s="452"/>
      <c r="E77" s="545"/>
      <c r="F77" s="546"/>
      <c r="G77" s="547"/>
      <c r="H77" s="547"/>
      <c r="I77" s="547"/>
      <c r="J77" s="547"/>
    </row>
    <row r="78" spans="1:57" s="553" customFormat="1" x14ac:dyDescent="0.3">
      <c r="A78" s="457"/>
      <c r="B78" s="453"/>
      <c r="C78" s="451"/>
      <c r="D78" s="452"/>
      <c r="E78" s="545"/>
      <c r="F78" s="546"/>
      <c r="G78" s="547"/>
      <c r="H78" s="547"/>
      <c r="I78" s="547"/>
      <c r="J78" s="547"/>
    </row>
    <row r="79" spans="1:57" s="553" customFormat="1" x14ac:dyDescent="0.3">
      <c r="A79" s="457"/>
      <c r="B79" s="453"/>
      <c r="C79" s="451"/>
      <c r="D79" s="452"/>
      <c r="E79" s="545"/>
      <c r="F79" s="546"/>
      <c r="G79" s="547"/>
      <c r="H79" s="547"/>
      <c r="I79" s="547"/>
      <c r="J79" s="547"/>
    </row>
    <row r="80" spans="1:57" s="553" customFormat="1" x14ac:dyDescent="0.3">
      <c r="A80" s="457"/>
      <c r="B80" s="453"/>
      <c r="C80" s="451"/>
      <c r="D80" s="452"/>
      <c r="E80" s="545"/>
      <c r="F80" s="546"/>
      <c r="G80" s="547"/>
      <c r="H80" s="547"/>
      <c r="I80" s="547"/>
      <c r="J80" s="547"/>
    </row>
    <row r="81" spans="1:10" s="553" customFormat="1" x14ac:dyDescent="0.3">
      <c r="A81" s="457"/>
      <c r="B81" s="453"/>
      <c r="C81" s="451"/>
      <c r="D81" s="452"/>
      <c r="E81" s="545"/>
      <c r="F81" s="546"/>
      <c r="G81" s="547"/>
      <c r="H81" s="547"/>
      <c r="I81" s="547"/>
      <c r="J81" s="547"/>
    </row>
    <row r="82" spans="1:10" s="553" customFormat="1" x14ac:dyDescent="0.3">
      <c r="A82" s="457"/>
      <c r="B82" s="453"/>
      <c r="C82" s="451"/>
      <c r="D82" s="452"/>
      <c r="E82" s="448"/>
      <c r="F82" s="559"/>
      <c r="G82" s="560"/>
      <c r="H82" s="560"/>
      <c r="I82" s="560"/>
      <c r="J82" s="560"/>
    </row>
    <row r="83" spans="1:10" s="553" customFormat="1" x14ac:dyDescent="0.3">
      <c r="A83" s="457"/>
      <c r="B83" s="453"/>
      <c r="C83" s="451"/>
      <c r="D83" s="452"/>
      <c r="E83" s="448"/>
      <c r="F83" s="559"/>
      <c r="G83" s="560"/>
      <c r="H83" s="560"/>
      <c r="I83" s="560"/>
      <c r="J83" s="560"/>
    </row>
    <row r="84" spans="1:10" s="553" customFormat="1" x14ac:dyDescent="0.3">
      <c r="A84" s="457"/>
      <c r="B84" s="453"/>
      <c r="C84" s="451"/>
      <c r="D84" s="452"/>
      <c r="E84" s="448"/>
      <c r="F84" s="559"/>
      <c r="G84" s="560"/>
      <c r="H84" s="560"/>
      <c r="I84" s="560"/>
      <c r="J84" s="560"/>
    </row>
    <row r="85" spans="1:10" s="553" customFormat="1" x14ac:dyDescent="0.3">
      <c r="A85" s="457"/>
      <c r="B85" s="453"/>
      <c r="C85" s="451"/>
      <c r="D85" s="452"/>
      <c r="E85" s="448"/>
      <c r="F85" s="559"/>
      <c r="G85" s="560"/>
      <c r="H85" s="560"/>
      <c r="I85" s="560"/>
      <c r="J85" s="560"/>
    </row>
    <row r="86" spans="1:10" s="553" customFormat="1" x14ac:dyDescent="0.3">
      <c r="A86" s="457"/>
      <c r="B86" s="453"/>
      <c r="C86" s="451"/>
      <c r="D86" s="452"/>
      <c r="E86" s="448"/>
      <c r="F86" s="559"/>
      <c r="G86" s="560"/>
      <c r="H86" s="560"/>
      <c r="I86" s="560"/>
      <c r="J86" s="560"/>
    </row>
    <row r="87" spans="1:10" s="553" customFormat="1" x14ac:dyDescent="0.3">
      <c r="A87" s="457"/>
      <c r="B87" s="453"/>
      <c r="C87" s="451"/>
      <c r="D87" s="452"/>
      <c r="E87" s="448"/>
      <c r="F87" s="559"/>
      <c r="G87" s="549"/>
      <c r="H87" s="549"/>
      <c r="I87" s="549"/>
      <c r="J87" s="549"/>
    </row>
    <row r="88" spans="1:10" s="553" customFormat="1" x14ac:dyDescent="0.3">
      <c r="A88" s="457"/>
      <c r="B88" s="453"/>
      <c r="C88" s="451"/>
      <c r="D88" s="452"/>
      <c r="E88" s="448"/>
      <c r="F88" s="559"/>
      <c r="G88" s="549"/>
      <c r="H88" s="549"/>
      <c r="I88" s="549"/>
      <c r="J88" s="549"/>
    </row>
    <row r="89" spans="1:10" s="553" customFormat="1" x14ac:dyDescent="0.3">
      <c r="A89" s="457"/>
      <c r="B89" s="453"/>
      <c r="C89" s="451"/>
      <c r="D89" s="452"/>
      <c r="E89" s="448"/>
      <c r="F89" s="559"/>
      <c r="G89" s="549"/>
      <c r="H89" s="549"/>
      <c r="I89" s="549"/>
      <c r="J89" s="549"/>
    </row>
    <row r="90" spans="1:10" s="553" customFormat="1" x14ac:dyDescent="0.3">
      <c r="A90" s="457"/>
      <c r="B90" s="453"/>
      <c r="C90" s="451"/>
      <c r="D90" s="452"/>
      <c r="E90" s="448"/>
      <c r="F90" s="559"/>
      <c r="G90" s="549"/>
      <c r="H90" s="549"/>
      <c r="I90" s="549"/>
      <c r="J90" s="549"/>
    </row>
    <row r="91" spans="1:10" s="451" customFormat="1" x14ac:dyDescent="0.3">
      <c r="A91" s="561"/>
      <c r="B91" s="562"/>
      <c r="D91" s="452"/>
      <c r="E91" s="453"/>
      <c r="F91" s="559"/>
      <c r="G91" s="563"/>
      <c r="H91" s="563"/>
      <c r="I91" s="563"/>
      <c r="J91" s="563"/>
    </row>
    <row r="92" spans="1:10" s="451" customFormat="1" x14ac:dyDescent="0.3">
      <c r="A92" s="561"/>
      <c r="B92" s="562"/>
      <c r="D92" s="452"/>
      <c r="E92" s="453"/>
      <c r="F92" s="559"/>
      <c r="G92" s="563"/>
      <c r="H92" s="563"/>
      <c r="I92" s="563"/>
      <c r="J92" s="563"/>
    </row>
    <row r="93" spans="1:10" s="451" customFormat="1" x14ac:dyDescent="0.3">
      <c r="A93" s="561"/>
      <c r="B93" s="562"/>
      <c r="D93" s="452"/>
      <c r="E93" s="453"/>
      <c r="F93" s="559"/>
      <c r="G93" s="563"/>
      <c r="H93" s="563"/>
      <c r="I93" s="563"/>
      <c r="J93" s="563"/>
    </row>
    <row r="94" spans="1:10" s="451" customFormat="1" x14ac:dyDescent="0.3">
      <c r="A94" s="561"/>
      <c r="B94" s="562"/>
      <c r="D94" s="452"/>
      <c r="E94" s="453"/>
      <c r="F94" s="559"/>
      <c r="G94" s="563"/>
      <c r="H94" s="563"/>
      <c r="I94" s="563"/>
      <c r="J94" s="563"/>
    </row>
    <row r="95" spans="1:10" s="451" customFormat="1" x14ac:dyDescent="0.3">
      <c r="A95" s="561"/>
      <c r="B95" s="562"/>
      <c r="D95" s="452"/>
      <c r="E95" s="453"/>
      <c r="F95" s="559"/>
      <c r="G95" s="563"/>
      <c r="H95" s="563"/>
      <c r="I95" s="563"/>
      <c r="J95" s="563"/>
    </row>
    <row r="96" spans="1:10" s="451" customFormat="1" x14ac:dyDescent="0.3">
      <c r="A96" s="561"/>
      <c r="B96" s="562"/>
      <c r="D96" s="452"/>
      <c r="E96" s="453"/>
      <c r="F96" s="564"/>
      <c r="G96" s="563"/>
      <c r="H96" s="563"/>
      <c r="I96" s="563"/>
      <c r="J96" s="563"/>
    </row>
    <row r="97" spans="1:10" s="451" customFormat="1" x14ac:dyDescent="0.3">
      <c r="A97" s="561"/>
      <c r="B97" s="562"/>
      <c r="D97" s="452"/>
      <c r="E97" s="453"/>
      <c r="F97" s="564"/>
      <c r="G97" s="563"/>
      <c r="H97" s="563"/>
      <c r="I97" s="563"/>
      <c r="J97" s="563"/>
    </row>
    <row r="98" spans="1:10" s="451" customFormat="1" x14ac:dyDescent="0.3">
      <c r="A98" s="561"/>
      <c r="B98" s="562"/>
      <c r="D98" s="452"/>
      <c r="E98" s="453"/>
      <c r="F98" s="564"/>
      <c r="G98" s="563"/>
      <c r="H98" s="563"/>
      <c r="I98" s="563"/>
      <c r="J98" s="563"/>
    </row>
    <row r="99" spans="1:10" s="451" customFormat="1" x14ac:dyDescent="0.3">
      <c r="A99" s="561"/>
      <c r="B99" s="562"/>
      <c r="D99" s="452"/>
      <c r="E99" s="453"/>
      <c r="F99" s="564"/>
      <c r="G99" s="563"/>
      <c r="H99" s="563"/>
      <c r="I99" s="563"/>
      <c r="J99" s="563"/>
    </row>
    <row r="100" spans="1:10" s="451" customFormat="1" x14ac:dyDescent="0.3">
      <c r="A100" s="561"/>
      <c r="B100" s="562"/>
      <c r="D100" s="452"/>
      <c r="E100" s="453"/>
      <c r="F100" s="564"/>
      <c r="G100" s="563"/>
      <c r="H100" s="563"/>
      <c r="I100" s="563"/>
      <c r="J100" s="563"/>
    </row>
    <row r="101" spans="1:10" s="451" customFormat="1" x14ac:dyDescent="0.3">
      <c r="A101" s="561"/>
      <c r="B101" s="562"/>
      <c r="D101" s="452"/>
      <c r="E101" s="453"/>
      <c r="F101" s="564"/>
      <c r="G101" s="563"/>
      <c r="H101" s="563"/>
      <c r="I101" s="563"/>
      <c r="J101" s="563"/>
    </row>
    <row r="102" spans="1:10" s="451" customFormat="1" x14ac:dyDescent="0.3">
      <c r="A102" s="561"/>
      <c r="B102" s="562"/>
      <c r="D102" s="452"/>
      <c r="E102" s="453"/>
      <c r="F102" s="564"/>
      <c r="G102" s="563"/>
      <c r="H102" s="563"/>
      <c r="I102" s="563"/>
      <c r="J102" s="563"/>
    </row>
    <row r="103" spans="1:10" s="451" customFormat="1" x14ac:dyDescent="0.3">
      <c r="A103" s="561"/>
      <c r="B103" s="562"/>
      <c r="D103" s="452"/>
      <c r="E103" s="453"/>
      <c r="F103" s="564"/>
      <c r="G103" s="563"/>
      <c r="H103" s="563"/>
      <c r="I103" s="563"/>
      <c r="J103" s="563"/>
    </row>
    <row r="104" spans="1:10" s="451" customFormat="1" x14ac:dyDescent="0.3">
      <c r="A104" s="561"/>
      <c r="B104" s="562"/>
      <c r="D104" s="452"/>
      <c r="E104" s="453"/>
      <c r="F104" s="564"/>
      <c r="G104" s="563"/>
      <c r="H104" s="563"/>
      <c r="I104" s="563"/>
      <c r="J104" s="563"/>
    </row>
    <row r="105" spans="1:10" s="451" customFormat="1" x14ac:dyDescent="0.3">
      <c r="A105" s="561"/>
      <c r="B105" s="562"/>
      <c r="D105" s="452"/>
      <c r="E105" s="453"/>
      <c r="F105" s="564"/>
      <c r="G105" s="563"/>
      <c r="H105" s="563"/>
      <c r="I105" s="563"/>
      <c r="J105" s="563"/>
    </row>
    <row r="106" spans="1:10" s="451" customFormat="1" x14ac:dyDescent="0.3">
      <c r="A106" s="561"/>
      <c r="B106" s="562"/>
      <c r="D106" s="452"/>
      <c r="E106" s="453"/>
      <c r="F106" s="564"/>
      <c r="G106" s="563"/>
      <c r="H106" s="563"/>
      <c r="I106" s="563"/>
      <c r="J106" s="563"/>
    </row>
    <row r="107" spans="1:10" s="451" customFormat="1" x14ac:dyDescent="0.3">
      <c r="A107" s="561"/>
      <c r="D107" s="452"/>
      <c r="E107" s="453"/>
      <c r="F107" s="564"/>
      <c r="G107" s="563"/>
      <c r="H107" s="563"/>
      <c r="I107" s="563"/>
      <c r="J107" s="563"/>
    </row>
    <row r="108" spans="1:10" s="451" customFormat="1" x14ac:dyDescent="0.3">
      <c r="A108" s="561"/>
      <c r="D108" s="452"/>
      <c r="E108" s="453"/>
      <c r="G108" s="561"/>
      <c r="H108" s="561"/>
      <c r="I108" s="561"/>
      <c r="J108" s="561"/>
    </row>
    <row r="109" spans="1:10" s="451" customFormat="1" x14ac:dyDescent="0.3">
      <c r="A109" s="561"/>
      <c r="D109" s="452"/>
      <c r="E109" s="453"/>
      <c r="G109" s="561"/>
      <c r="H109" s="561"/>
      <c r="I109" s="561"/>
      <c r="J109" s="561"/>
    </row>
    <row r="110" spans="1:10" s="451" customFormat="1" x14ac:dyDescent="0.3">
      <c r="A110" s="561"/>
      <c r="D110" s="452"/>
      <c r="E110" s="453"/>
      <c r="G110" s="561"/>
      <c r="H110" s="561"/>
      <c r="I110" s="561"/>
      <c r="J110" s="561"/>
    </row>
    <row r="111" spans="1:10" s="451" customFormat="1" x14ac:dyDescent="0.3">
      <c r="A111" s="561"/>
      <c r="D111" s="452"/>
      <c r="E111" s="453"/>
      <c r="G111" s="561"/>
      <c r="H111" s="561"/>
      <c r="I111" s="561"/>
      <c r="J111" s="561"/>
    </row>
    <row r="112" spans="1:10" s="451" customFormat="1" x14ac:dyDescent="0.3">
      <c r="A112" s="561"/>
      <c r="D112" s="452"/>
      <c r="E112" s="453"/>
      <c r="G112" s="561"/>
      <c r="H112" s="561"/>
      <c r="I112" s="561"/>
      <c r="J112" s="561"/>
    </row>
    <row r="113" spans="1:10" s="451" customFormat="1" x14ac:dyDescent="0.3">
      <c r="A113" s="561"/>
      <c r="D113" s="452"/>
      <c r="E113" s="453"/>
      <c r="G113" s="561"/>
      <c r="H113" s="561"/>
      <c r="I113" s="561"/>
      <c r="J113" s="561"/>
    </row>
    <row r="114" spans="1:10" x14ac:dyDescent="0.25">
      <c r="A114" s="561"/>
    </row>
    <row r="115" spans="1:10" x14ac:dyDescent="0.25">
      <c r="A115" s="561"/>
    </row>
    <row r="116" spans="1:10" x14ac:dyDescent="0.25">
      <c r="A116" s="561"/>
    </row>
    <row r="117" spans="1:10" x14ac:dyDescent="0.25">
      <c r="A117" s="561"/>
    </row>
    <row r="118" spans="1:10" x14ac:dyDescent="0.25">
      <c r="A118" s="561"/>
    </row>
  </sheetData>
  <customSheetViews>
    <customSheetView guid="{5161B42F-120B-436B-80F4-9BB578173AD5}" scale="65" showPageBreaks="1" fitToPage="1" printArea="1" hiddenRows="1" view="pageBreakPreview" topLeftCell="B46">
      <selection activeCell="D54" sqref="D54"/>
      <pageMargins left="0.7" right="0.7" top="0.75" bottom="0.75" header="0.3" footer="0.3"/>
      <printOptions horizontalCentered="1"/>
      <pageSetup scale="86" fitToHeight="0" orientation="portrait" r:id="rId1"/>
      <headerFooter>
        <oddFooter>&amp;R&amp;P</oddFooter>
      </headerFooter>
    </customSheetView>
  </customSheetViews>
  <mergeCells count="9">
    <mergeCell ref="A49:A50"/>
    <mergeCell ref="B66:E66"/>
    <mergeCell ref="A67:E67"/>
    <mergeCell ref="A1:G1"/>
    <mergeCell ref="A3:G3"/>
    <mergeCell ref="A4:G4"/>
    <mergeCell ref="A5:F5"/>
    <mergeCell ref="A34:A36"/>
    <mergeCell ref="A37:A39"/>
  </mergeCells>
  <printOptions horizontalCentered="1"/>
  <pageMargins left="0.7" right="0.7" top="0.75" bottom="0.75" header="0.3" footer="0.3"/>
  <pageSetup scale="86" fitToHeight="0" orientation="portrait" r:id="rId2"/>
  <headerFooter>
    <oddFooter>&amp;R&amp;P</oddFooter>
  </headerFooter>
  <cellWatches>
    <cellWatch r="C54"/>
    <cellWatch r="D54"/>
    <cellWatch r="E54"/>
    <cellWatch r="F54"/>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31"/>
  <sheetViews>
    <sheetView view="pageBreakPreview" zoomScale="60" zoomScaleNormal="70" workbookViewId="0">
      <selection activeCell="I2" sqref="I2"/>
    </sheetView>
  </sheetViews>
  <sheetFormatPr defaultRowHeight="13.2" x14ac:dyDescent="0.25"/>
  <cols>
    <col min="1" max="1" width="11.6640625" style="449" customWidth="1"/>
    <col min="2" max="2" width="29.44140625" style="449" customWidth="1"/>
    <col min="3" max="3" width="13.44140625" style="449" bestFit="1" customWidth="1"/>
    <col min="4" max="4" width="13" style="449" bestFit="1" customWidth="1"/>
    <col min="5" max="5" width="11.5546875" style="449" customWidth="1"/>
    <col min="6" max="6" width="10.44140625" style="449" customWidth="1"/>
    <col min="7" max="7" width="14.44140625" style="449" bestFit="1" customWidth="1"/>
    <col min="8" max="8" width="12.44140625" style="449" bestFit="1" customWidth="1"/>
    <col min="9" max="9" width="10.109375" style="449" customWidth="1"/>
    <col min="10" max="10" width="8.88671875" style="449"/>
    <col min="11" max="11" width="9.5546875" style="449" bestFit="1" customWidth="1"/>
    <col min="12" max="12" width="9.44140625" style="449" customWidth="1"/>
    <col min="13" max="13" width="10.5546875" style="449" bestFit="1" customWidth="1"/>
    <col min="14" max="256" width="8.88671875" style="449"/>
    <col min="257" max="257" width="11.6640625" style="449" customWidth="1"/>
    <col min="258" max="258" width="29.44140625" style="449" customWidth="1"/>
    <col min="259" max="259" width="10.6640625" style="449" bestFit="1" customWidth="1"/>
    <col min="260" max="260" width="12.6640625" style="449" bestFit="1" customWidth="1"/>
    <col min="261" max="261" width="11" style="449" customWidth="1"/>
    <col min="262" max="262" width="10.44140625" style="449" customWidth="1"/>
    <col min="263" max="263" width="14.109375" style="449" bestFit="1" customWidth="1"/>
    <col min="264" max="264" width="11.88671875" style="449" bestFit="1" customWidth="1"/>
    <col min="265" max="265" width="10.109375" style="449" customWidth="1"/>
    <col min="266" max="266" width="8.88671875" style="449"/>
    <col min="267" max="267" width="9.5546875" style="449" bestFit="1" customWidth="1"/>
    <col min="268" max="268" width="9.44140625" style="449" customWidth="1"/>
    <col min="269" max="269" width="10.5546875" style="449" bestFit="1" customWidth="1"/>
    <col min="270" max="512" width="8.88671875" style="449"/>
    <col min="513" max="513" width="11.6640625" style="449" customWidth="1"/>
    <col min="514" max="514" width="29.44140625" style="449" customWidth="1"/>
    <col min="515" max="515" width="10.6640625" style="449" bestFit="1" customWidth="1"/>
    <col min="516" max="516" width="12.6640625" style="449" bestFit="1" customWidth="1"/>
    <col min="517" max="517" width="11" style="449" customWidth="1"/>
    <col min="518" max="518" width="10.44140625" style="449" customWidth="1"/>
    <col min="519" max="519" width="14.109375" style="449" bestFit="1" customWidth="1"/>
    <col min="520" max="520" width="11.88671875" style="449" bestFit="1" customWidth="1"/>
    <col min="521" max="521" width="10.109375" style="449" customWidth="1"/>
    <col min="522" max="522" width="8.88671875" style="449"/>
    <col min="523" max="523" width="9.5546875" style="449" bestFit="1" customWidth="1"/>
    <col min="524" max="524" width="9.44140625" style="449" customWidth="1"/>
    <col min="525" max="525" width="10.5546875" style="449" bestFit="1" customWidth="1"/>
    <col min="526" max="768" width="8.88671875" style="449"/>
    <col min="769" max="769" width="11.6640625" style="449" customWidth="1"/>
    <col min="770" max="770" width="29.44140625" style="449" customWidth="1"/>
    <col min="771" max="771" width="10.6640625" style="449" bestFit="1" customWidth="1"/>
    <col min="772" max="772" width="12.6640625" style="449" bestFit="1" customWidth="1"/>
    <col min="773" max="773" width="11" style="449" customWidth="1"/>
    <col min="774" max="774" width="10.44140625" style="449" customWidth="1"/>
    <col min="775" max="775" width="14.109375" style="449" bestFit="1" customWidth="1"/>
    <col min="776" max="776" width="11.88671875" style="449" bestFit="1" customWidth="1"/>
    <col min="777" max="777" width="10.109375" style="449" customWidth="1"/>
    <col min="778" max="778" width="8.88671875" style="449"/>
    <col min="779" max="779" width="9.5546875" style="449" bestFit="1" customWidth="1"/>
    <col min="780" max="780" width="9.44140625" style="449" customWidth="1"/>
    <col min="781" max="781" width="10.5546875" style="449" bestFit="1" customWidth="1"/>
    <col min="782" max="1024" width="8.88671875" style="449"/>
    <col min="1025" max="1025" width="11.6640625" style="449" customWidth="1"/>
    <col min="1026" max="1026" width="29.44140625" style="449" customWidth="1"/>
    <col min="1027" max="1027" width="10.6640625" style="449" bestFit="1" customWidth="1"/>
    <col min="1028" max="1028" width="12.6640625" style="449" bestFit="1" customWidth="1"/>
    <col min="1029" max="1029" width="11" style="449" customWidth="1"/>
    <col min="1030" max="1030" width="10.44140625" style="449" customWidth="1"/>
    <col min="1031" max="1031" width="14.109375" style="449" bestFit="1" customWidth="1"/>
    <col min="1032" max="1032" width="11.88671875" style="449" bestFit="1" customWidth="1"/>
    <col min="1033" max="1033" width="10.109375" style="449" customWidth="1"/>
    <col min="1034" max="1034" width="8.88671875" style="449"/>
    <col min="1035" max="1035" width="9.5546875" style="449" bestFit="1" customWidth="1"/>
    <col min="1036" max="1036" width="9.44140625" style="449" customWidth="1"/>
    <col min="1037" max="1037" width="10.5546875" style="449" bestFit="1" customWidth="1"/>
    <col min="1038" max="1280" width="8.88671875" style="449"/>
    <col min="1281" max="1281" width="11.6640625" style="449" customWidth="1"/>
    <col min="1282" max="1282" width="29.44140625" style="449" customWidth="1"/>
    <col min="1283" max="1283" width="10.6640625" style="449" bestFit="1" customWidth="1"/>
    <col min="1284" max="1284" width="12.6640625" style="449" bestFit="1" customWidth="1"/>
    <col min="1285" max="1285" width="11" style="449" customWidth="1"/>
    <col min="1286" max="1286" width="10.44140625" style="449" customWidth="1"/>
    <col min="1287" max="1287" width="14.109375" style="449" bestFit="1" customWidth="1"/>
    <col min="1288" max="1288" width="11.88671875" style="449" bestFit="1" customWidth="1"/>
    <col min="1289" max="1289" width="10.109375" style="449" customWidth="1"/>
    <col min="1290" max="1290" width="8.88671875" style="449"/>
    <col min="1291" max="1291" width="9.5546875" style="449" bestFit="1" customWidth="1"/>
    <col min="1292" max="1292" width="9.44140625" style="449" customWidth="1"/>
    <col min="1293" max="1293" width="10.5546875" style="449" bestFit="1" customWidth="1"/>
    <col min="1294" max="1536" width="8.88671875" style="449"/>
    <col min="1537" max="1537" width="11.6640625" style="449" customWidth="1"/>
    <col min="1538" max="1538" width="29.44140625" style="449" customWidth="1"/>
    <col min="1539" max="1539" width="10.6640625" style="449" bestFit="1" customWidth="1"/>
    <col min="1540" max="1540" width="12.6640625" style="449" bestFit="1" customWidth="1"/>
    <col min="1541" max="1541" width="11" style="449" customWidth="1"/>
    <col min="1542" max="1542" width="10.44140625" style="449" customWidth="1"/>
    <col min="1543" max="1543" width="14.109375" style="449" bestFit="1" customWidth="1"/>
    <col min="1544" max="1544" width="11.88671875" style="449" bestFit="1" customWidth="1"/>
    <col min="1545" max="1545" width="10.109375" style="449" customWidth="1"/>
    <col min="1546" max="1546" width="8.88671875" style="449"/>
    <col min="1547" max="1547" width="9.5546875" style="449" bestFit="1" customWidth="1"/>
    <col min="1548" max="1548" width="9.44140625" style="449" customWidth="1"/>
    <col min="1549" max="1549" width="10.5546875" style="449" bestFit="1" customWidth="1"/>
    <col min="1550" max="1792" width="8.88671875" style="449"/>
    <col min="1793" max="1793" width="11.6640625" style="449" customWidth="1"/>
    <col min="1794" max="1794" width="29.44140625" style="449" customWidth="1"/>
    <col min="1795" max="1795" width="10.6640625" style="449" bestFit="1" customWidth="1"/>
    <col min="1796" max="1796" width="12.6640625" style="449" bestFit="1" customWidth="1"/>
    <col min="1797" max="1797" width="11" style="449" customWidth="1"/>
    <col min="1798" max="1798" width="10.44140625" style="449" customWidth="1"/>
    <col min="1799" max="1799" width="14.109375" style="449" bestFit="1" customWidth="1"/>
    <col min="1800" max="1800" width="11.88671875" style="449" bestFit="1" customWidth="1"/>
    <col min="1801" max="1801" width="10.109375" style="449" customWidth="1"/>
    <col min="1802" max="1802" width="8.88671875" style="449"/>
    <col min="1803" max="1803" width="9.5546875" style="449" bestFit="1" customWidth="1"/>
    <col min="1804" max="1804" width="9.44140625" style="449" customWidth="1"/>
    <col min="1805" max="1805" width="10.5546875" style="449" bestFit="1" customWidth="1"/>
    <col min="1806" max="2048" width="8.88671875" style="449"/>
    <col min="2049" max="2049" width="11.6640625" style="449" customWidth="1"/>
    <col min="2050" max="2050" width="29.44140625" style="449" customWidth="1"/>
    <col min="2051" max="2051" width="10.6640625" style="449" bestFit="1" customWidth="1"/>
    <col min="2052" max="2052" width="12.6640625" style="449" bestFit="1" customWidth="1"/>
    <col min="2053" max="2053" width="11" style="449" customWidth="1"/>
    <col min="2054" max="2054" width="10.44140625" style="449" customWidth="1"/>
    <col min="2055" max="2055" width="14.109375" style="449" bestFit="1" customWidth="1"/>
    <col min="2056" max="2056" width="11.88671875" style="449" bestFit="1" customWidth="1"/>
    <col min="2057" max="2057" width="10.109375" style="449" customWidth="1"/>
    <col min="2058" max="2058" width="8.88671875" style="449"/>
    <col min="2059" max="2059" width="9.5546875" style="449" bestFit="1" customWidth="1"/>
    <col min="2060" max="2060" width="9.44140625" style="449" customWidth="1"/>
    <col min="2061" max="2061" width="10.5546875" style="449" bestFit="1" customWidth="1"/>
    <col min="2062" max="2304" width="8.88671875" style="449"/>
    <col min="2305" max="2305" width="11.6640625" style="449" customWidth="1"/>
    <col min="2306" max="2306" width="29.44140625" style="449" customWidth="1"/>
    <col min="2307" max="2307" width="10.6640625" style="449" bestFit="1" customWidth="1"/>
    <col min="2308" max="2308" width="12.6640625" style="449" bestFit="1" customWidth="1"/>
    <col min="2309" max="2309" width="11" style="449" customWidth="1"/>
    <col min="2310" max="2310" width="10.44140625" style="449" customWidth="1"/>
    <col min="2311" max="2311" width="14.109375" style="449" bestFit="1" customWidth="1"/>
    <col min="2312" max="2312" width="11.88671875" style="449" bestFit="1" customWidth="1"/>
    <col min="2313" max="2313" width="10.109375" style="449" customWidth="1"/>
    <col min="2314" max="2314" width="8.88671875" style="449"/>
    <col min="2315" max="2315" width="9.5546875" style="449" bestFit="1" customWidth="1"/>
    <col min="2316" max="2316" width="9.44140625" style="449" customWidth="1"/>
    <col min="2317" max="2317" width="10.5546875" style="449" bestFit="1" customWidth="1"/>
    <col min="2318" max="2560" width="8.88671875" style="449"/>
    <col min="2561" max="2561" width="11.6640625" style="449" customWidth="1"/>
    <col min="2562" max="2562" width="29.44140625" style="449" customWidth="1"/>
    <col min="2563" max="2563" width="10.6640625" style="449" bestFit="1" customWidth="1"/>
    <col min="2564" max="2564" width="12.6640625" style="449" bestFit="1" customWidth="1"/>
    <col min="2565" max="2565" width="11" style="449" customWidth="1"/>
    <col min="2566" max="2566" width="10.44140625" style="449" customWidth="1"/>
    <col min="2567" max="2567" width="14.109375" style="449" bestFit="1" customWidth="1"/>
    <col min="2568" max="2568" width="11.88671875" style="449" bestFit="1" customWidth="1"/>
    <col min="2569" max="2569" width="10.109375" style="449" customWidth="1"/>
    <col min="2570" max="2570" width="8.88671875" style="449"/>
    <col min="2571" max="2571" width="9.5546875" style="449" bestFit="1" customWidth="1"/>
    <col min="2572" max="2572" width="9.44140625" style="449" customWidth="1"/>
    <col min="2573" max="2573" width="10.5546875" style="449" bestFit="1" customWidth="1"/>
    <col min="2574" max="2816" width="8.88671875" style="449"/>
    <col min="2817" max="2817" width="11.6640625" style="449" customWidth="1"/>
    <col min="2818" max="2818" width="29.44140625" style="449" customWidth="1"/>
    <col min="2819" max="2819" width="10.6640625" style="449" bestFit="1" customWidth="1"/>
    <col min="2820" max="2820" width="12.6640625" style="449" bestFit="1" customWidth="1"/>
    <col min="2821" max="2821" width="11" style="449" customWidth="1"/>
    <col min="2822" max="2822" width="10.44140625" style="449" customWidth="1"/>
    <col min="2823" max="2823" width="14.109375" style="449" bestFit="1" customWidth="1"/>
    <col min="2824" max="2824" width="11.88671875" style="449" bestFit="1" customWidth="1"/>
    <col min="2825" max="2825" width="10.109375" style="449" customWidth="1"/>
    <col min="2826" max="2826" width="8.88671875" style="449"/>
    <col min="2827" max="2827" width="9.5546875" style="449" bestFit="1" customWidth="1"/>
    <col min="2828" max="2828" width="9.44140625" style="449" customWidth="1"/>
    <col min="2829" max="2829" width="10.5546875" style="449" bestFit="1" customWidth="1"/>
    <col min="2830" max="3072" width="8.88671875" style="449"/>
    <col min="3073" max="3073" width="11.6640625" style="449" customWidth="1"/>
    <col min="3074" max="3074" width="29.44140625" style="449" customWidth="1"/>
    <col min="3075" max="3075" width="10.6640625" style="449" bestFit="1" customWidth="1"/>
    <col min="3076" max="3076" width="12.6640625" style="449" bestFit="1" customWidth="1"/>
    <col min="3077" max="3077" width="11" style="449" customWidth="1"/>
    <col min="3078" max="3078" width="10.44140625" style="449" customWidth="1"/>
    <col min="3079" max="3079" width="14.109375" style="449" bestFit="1" customWidth="1"/>
    <col min="3080" max="3080" width="11.88671875" style="449" bestFit="1" customWidth="1"/>
    <col min="3081" max="3081" width="10.109375" style="449" customWidth="1"/>
    <col min="3082" max="3082" width="8.88671875" style="449"/>
    <col min="3083" max="3083" width="9.5546875" style="449" bestFit="1" customWidth="1"/>
    <col min="3084" max="3084" width="9.44140625" style="449" customWidth="1"/>
    <col min="3085" max="3085" width="10.5546875" style="449" bestFit="1" customWidth="1"/>
    <col min="3086" max="3328" width="8.88671875" style="449"/>
    <col min="3329" max="3329" width="11.6640625" style="449" customWidth="1"/>
    <col min="3330" max="3330" width="29.44140625" style="449" customWidth="1"/>
    <col min="3331" max="3331" width="10.6640625" style="449" bestFit="1" customWidth="1"/>
    <col min="3332" max="3332" width="12.6640625" style="449" bestFit="1" customWidth="1"/>
    <col min="3333" max="3333" width="11" style="449" customWidth="1"/>
    <col min="3334" max="3334" width="10.44140625" style="449" customWidth="1"/>
    <col min="3335" max="3335" width="14.109375" style="449" bestFit="1" customWidth="1"/>
    <col min="3336" max="3336" width="11.88671875" style="449" bestFit="1" customWidth="1"/>
    <col min="3337" max="3337" width="10.109375" style="449" customWidth="1"/>
    <col min="3338" max="3338" width="8.88671875" style="449"/>
    <col min="3339" max="3339" width="9.5546875" style="449" bestFit="1" customWidth="1"/>
    <col min="3340" max="3340" width="9.44140625" style="449" customWidth="1"/>
    <col min="3341" max="3341" width="10.5546875" style="449" bestFit="1" customWidth="1"/>
    <col min="3342" max="3584" width="8.88671875" style="449"/>
    <col min="3585" max="3585" width="11.6640625" style="449" customWidth="1"/>
    <col min="3586" max="3586" width="29.44140625" style="449" customWidth="1"/>
    <col min="3587" max="3587" width="10.6640625" style="449" bestFit="1" customWidth="1"/>
    <col min="3588" max="3588" width="12.6640625" style="449" bestFit="1" customWidth="1"/>
    <col min="3589" max="3589" width="11" style="449" customWidth="1"/>
    <col min="3590" max="3590" width="10.44140625" style="449" customWidth="1"/>
    <col min="3591" max="3591" width="14.109375" style="449" bestFit="1" customWidth="1"/>
    <col min="3592" max="3592" width="11.88671875" style="449" bestFit="1" customWidth="1"/>
    <col min="3593" max="3593" width="10.109375" style="449" customWidth="1"/>
    <col min="3594" max="3594" width="8.88671875" style="449"/>
    <col min="3595" max="3595" width="9.5546875" style="449" bestFit="1" customWidth="1"/>
    <col min="3596" max="3596" width="9.44140625" style="449" customWidth="1"/>
    <col min="3597" max="3597" width="10.5546875" style="449" bestFit="1" customWidth="1"/>
    <col min="3598" max="3840" width="8.88671875" style="449"/>
    <col min="3841" max="3841" width="11.6640625" style="449" customWidth="1"/>
    <col min="3842" max="3842" width="29.44140625" style="449" customWidth="1"/>
    <col min="3843" max="3843" width="10.6640625" style="449" bestFit="1" customWidth="1"/>
    <col min="3844" max="3844" width="12.6640625" style="449" bestFit="1" customWidth="1"/>
    <col min="3845" max="3845" width="11" style="449" customWidth="1"/>
    <col min="3846" max="3846" width="10.44140625" style="449" customWidth="1"/>
    <col min="3847" max="3847" width="14.109375" style="449" bestFit="1" customWidth="1"/>
    <col min="3848" max="3848" width="11.88671875" style="449" bestFit="1" customWidth="1"/>
    <col min="3849" max="3849" width="10.109375" style="449" customWidth="1"/>
    <col min="3850" max="3850" width="8.88671875" style="449"/>
    <col min="3851" max="3851" width="9.5546875" style="449" bestFit="1" customWidth="1"/>
    <col min="3852" max="3852" width="9.44140625" style="449" customWidth="1"/>
    <col min="3853" max="3853" width="10.5546875" style="449" bestFit="1" customWidth="1"/>
    <col min="3854" max="4096" width="8.88671875" style="449"/>
    <col min="4097" max="4097" width="11.6640625" style="449" customWidth="1"/>
    <col min="4098" max="4098" width="29.44140625" style="449" customWidth="1"/>
    <col min="4099" max="4099" width="10.6640625" style="449" bestFit="1" customWidth="1"/>
    <col min="4100" max="4100" width="12.6640625" style="449" bestFit="1" customWidth="1"/>
    <col min="4101" max="4101" width="11" style="449" customWidth="1"/>
    <col min="4102" max="4102" width="10.44140625" style="449" customWidth="1"/>
    <col min="4103" max="4103" width="14.109375" style="449" bestFit="1" customWidth="1"/>
    <col min="4104" max="4104" width="11.88671875" style="449" bestFit="1" customWidth="1"/>
    <col min="4105" max="4105" width="10.109375" style="449" customWidth="1"/>
    <col min="4106" max="4106" width="8.88671875" style="449"/>
    <col min="4107" max="4107" width="9.5546875" style="449" bestFit="1" customWidth="1"/>
    <col min="4108" max="4108" width="9.44140625" style="449" customWidth="1"/>
    <col min="4109" max="4109" width="10.5546875" style="449" bestFit="1" customWidth="1"/>
    <col min="4110" max="4352" width="8.88671875" style="449"/>
    <col min="4353" max="4353" width="11.6640625" style="449" customWidth="1"/>
    <col min="4354" max="4354" width="29.44140625" style="449" customWidth="1"/>
    <col min="4355" max="4355" width="10.6640625" style="449" bestFit="1" customWidth="1"/>
    <col min="4356" max="4356" width="12.6640625" style="449" bestFit="1" customWidth="1"/>
    <col min="4357" max="4357" width="11" style="449" customWidth="1"/>
    <col min="4358" max="4358" width="10.44140625" style="449" customWidth="1"/>
    <col min="4359" max="4359" width="14.109375" style="449" bestFit="1" customWidth="1"/>
    <col min="4360" max="4360" width="11.88671875" style="449" bestFit="1" customWidth="1"/>
    <col min="4361" max="4361" width="10.109375" style="449" customWidth="1"/>
    <col min="4362" max="4362" width="8.88671875" style="449"/>
    <col min="4363" max="4363" width="9.5546875" style="449" bestFit="1" customWidth="1"/>
    <col min="4364" max="4364" width="9.44140625" style="449" customWidth="1"/>
    <col min="4365" max="4365" width="10.5546875" style="449" bestFit="1" customWidth="1"/>
    <col min="4366" max="4608" width="8.88671875" style="449"/>
    <col min="4609" max="4609" width="11.6640625" style="449" customWidth="1"/>
    <col min="4610" max="4610" width="29.44140625" style="449" customWidth="1"/>
    <col min="4611" max="4611" width="10.6640625" style="449" bestFit="1" customWidth="1"/>
    <col min="4612" max="4612" width="12.6640625" style="449" bestFit="1" customWidth="1"/>
    <col min="4613" max="4613" width="11" style="449" customWidth="1"/>
    <col min="4614" max="4614" width="10.44140625" style="449" customWidth="1"/>
    <col min="4615" max="4615" width="14.109375" style="449" bestFit="1" customWidth="1"/>
    <col min="4616" max="4616" width="11.88671875" style="449" bestFit="1" customWidth="1"/>
    <col min="4617" max="4617" width="10.109375" style="449" customWidth="1"/>
    <col min="4618" max="4618" width="8.88671875" style="449"/>
    <col min="4619" max="4619" width="9.5546875" style="449" bestFit="1" customWidth="1"/>
    <col min="4620" max="4620" width="9.44140625" style="449" customWidth="1"/>
    <col min="4621" max="4621" width="10.5546875" style="449" bestFit="1" customWidth="1"/>
    <col min="4622" max="4864" width="8.88671875" style="449"/>
    <col min="4865" max="4865" width="11.6640625" style="449" customWidth="1"/>
    <col min="4866" max="4866" width="29.44140625" style="449" customWidth="1"/>
    <col min="4867" max="4867" width="10.6640625" style="449" bestFit="1" customWidth="1"/>
    <col min="4868" max="4868" width="12.6640625" style="449" bestFit="1" customWidth="1"/>
    <col min="4869" max="4869" width="11" style="449" customWidth="1"/>
    <col min="4870" max="4870" width="10.44140625" style="449" customWidth="1"/>
    <col min="4871" max="4871" width="14.109375" style="449" bestFit="1" customWidth="1"/>
    <col min="4872" max="4872" width="11.88671875" style="449" bestFit="1" customWidth="1"/>
    <col min="4873" max="4873" width="10.109375" style="449" customWidth="1"/>
    <col min="4874" max="4874" width="8.88671875" style="449"/>
    <col min="4875" max="4875" width="9.5546875" style="449" bestFit="1" customWidth="1"/>
    <col min="4876" max="4876" width="9.44140625" style="449" customWidth="1"/>
    <col min="4877" max="4877" width="10.5546875" style="449" bestFit="1" customWidth="1"/>
    <col min="4878" max="5120" width="8.88671875" style="449"/>
    <col min="5121" max="5121" width="11.6640625" style="449" customWidth="1"/>
    <col min="5122" max="5122" width="29.44140625" style="449" customWidth="1"/>
    <col min="5123" max="5123" width="10.6640625" style="449" bestFit="1" customWidth="1"/>
    <col min="5124" max="5124" width="12.6640625" style="449" bestFit="1" customWidth="1"/>
    <col min="5125" max="5125" width="11" style="449" customWidth="1"/>
    <col min="5126" max="5126" width="10.44140625" style="449" customWidth="1"/>
    <col min="5127" max="5127" width="14.109375" style="449" bestFit="1" customWidth="1"/>
    <col min="5128" max="5128" width="11.88671875" style="449" bestFit="1" customWidth="1"/>
    <col min="5129" max="5129" width="10.109375" style="449" customWidth="1"/>
    <col min="5130" max="5130" width="8.88671875" style="449"/>
    <col min="5131" max="5131" width="9.5546875" style="449" bestFit="1" customWidth="1"/>
    <col min="5132" max="5132" width="9.44140625" style="449" customWidth="1"/>
    <col min="5133" max="5133" width="10.5546875" style="449" bestFit="1" customWidth="1"/>
    <col min="5134" max="5376" width="8.88671875" style="449"/>
    <col min="5377" max="5377" width="11.6640625" style="449" customWidth="1"/>
    <col min="5378" max="5378" width="29.44140625" style="449" customWidth="1"/>
    <col min="5379" max="5379" width="10.6640625" style="449" bestFit="1" customWidth="1"/>
    <col min="5380" max="5380" width="12.6640625" style="449" bestFit="1" customWidth="1"/>
    <col min="5381" max="5381" width="11" style="449" customWidth="1"/>
    <col min="5382" max="5382" width="10.44140625" style="449" customWidth="1"/>
    <col min="5383" max="5383" width="14.109375" style="449" bestFit="1" customWidth="1"/>
    <col min="5384" max="5384" width="11.88671875" style="449" bestFit="1" customWidth="1"/>
    <col min="5385" max="5385" width="10.109375" style="449" customWidth="1"/>
    <col min="5386" max="5386" width="8.88671875" style="449"/>
    <col min="5387" max="5387" width="9.5546875" style="449" bestFit="1" customWidth="1"/>
    <col min="5388" max="5388" width="9.44140625" style="449" customWidth="1"/>
    <col min="5389" max="5389" width="10.5546875" style="449" bestFit="1" customWidth="1"/>
    <col min="5390" max="5632" width="8.88671875" style="449"/>
    <col min="5633" max="5633" width="11.6640625" style="449" customWidth="1"/>
    <col min="5634" max="5634" width="29.44140625" style="449" customWidth="1"/>
    <col min="5635" max="5635" width="10.6640625" style="449" bestFit="1" customWidth="1"/>
    <col min="5636" max="5636" width="12.6640625" style="449" bestFit="1" customWidth="1"/>
    <col min="5637" max="5637" width="11" style="449" customWidth="1"/>
    <col min="5638" max="5638" width="10.44140625" style="449" customWidth="1"/>
    <col min="5639" max="5639" width="14.109375" style="449" bestFit="1" customWidth="1"/>
    <col min="5640" max="5640" width="11.88671875" style="449" bestFit="1" customWidth="1"/>
    <col min="5641" max="5641" width="10.109375" style="449" customWidth="1"/>
    <col min="5642" max="5642" width="8.88671875" style="449"/>
    <col min="5643" max="5643" width="9.5546875" style="449" bestFit="1" customWidth="1"/>
    <col min="5644" max="5644" width="9.44140625" style="449" customWidth="1"/>
    <col min="5645" max="5645" width="10.5546875" style="449" bestFit="1" customWidth="1"/>
    <col min="5646" max="5888" width="8.88671875" style="449"/>
    <col min="5889" max="5889" width="11.6640625" style="449" customWidth="1"/>
    <col min="5890" max="5890" width="29.44140625" style="449" customWidth="1"/>
    <col min="5891" max="5891" width="10.6640625" style="449" bestFit="1" customWidth="1"/>
    <col min="5892" max="5892" width="12.6640625" style="449" bestFit="1" customWidth="1"/>
    <col min="5893" max="5893" width="11" style="449" customWidth="1"/>
    <col min="5894" max="5894" width="10.44140625" style="449" customWidth="1"/>
    <col min="5895" max="5895" width="14.109375" style="449" bestFit="1" customWidth="1"/>
    <col min="5896" max="5896" width="11.88671875" style="449" bestFit="1" customWidth="1"/>
    <col min="5897" max="5897" width="10.109375" style="449" customWidth="1"/>
    <col min="5898" max="5898" width="8.88671875" style="449"/>
    <col min="5899" max="5899" width="9.5546875" style="449" bestFit="1" customWidth="1"/>
    <col min="5900" max="5900" width="9.44140625" style="449" customWidth="1"/>
    <col min="5901" max="5901" width="10.5546875" style="449" bestFit="1" customWidth="1"/>
    <col min="5902" max="6144" width="8.88671875" style="449"/>
    <col min="6145" max="6145" width="11.6640625" style="449" customWidth="1"/>
    <col min="6146" max="6146" width="29.44140625" style="449" customWidth="1"/>
    <col min="6147" max="6147" width="10.6640625" style="449" bestFit="1" customWidth="1"/>
    <col min="6148" max="6148" width="12.6640625" style="449" bestFit="1" customWidth="1"/>
    <col min="6149" max="6149" width="11" style="449" customWidth="1"/>
    <col min="6150" max="6150" width="10.44140625" style="449" customWidth="1"/>
    <col min="6151" max="6151" width="14.109375" style="449" bestFit="1" customWidth="1"/>
    <col min="6152" max="6152" width="11.88671875" style="449" bestFit="1" customWidth="1"/>
    <col min="6153" max="6153" width="10.109375" style="449" customWidth="1"/>
    <col min="6154" max="6154" width="8.88671875" style="449"/>
    <col min="6155" max="6155" width="9.5546875" style="449" bestFit="1" customWidth="1"/>
    <col min="6156" max="6156" width="9.44140625" style="449" customWidth="1"/>
    <col min="6157" max="6157" width="10.5546875" style="449" bestFit="1" customWidth="1"/>
    <col min="6158" max="6400" width="8.88671875" style="449"/>
    <col min="6401" max="6401" width="11.6640625" style="449" customWidth="1"/>
    <col min="6402" max="6402" width="29.44140625" style="449" customWidth="1"/>
    <col min="6403" max="6403" width="10.6640625" style="449" bestFit="1" customWidth="1"/>
    <col min="6404" max="6404" width="12.6640625" style="449" bestFit="1" customWidth="1"/>
    <col min="6405" max="6405" width="11" style="449" customWidth="1"/>
    <col min="6406" max="6406" width="10.44140625" style="449" customWidth="1"/>
    <col min="6407" max="6407" width="14.109375" style="449" bestFit="1" customWidth="1"/>
    <col min="6408" max="6408" width="11.88671875" style="449" bestFit="1" customWidth="1"/>
    <col min="6409" max="6409" width="10.109375" style="449" customWidth="1"/>
    <col min="6410" max="6410" width="8.88671875" style="449"/>
    <col min="6411" max="6411" width="9.5546875" style="449" bestFit="1" customWidth="1"/>
    <col min="6412" max="6412" width="9.44140625" style="449" customWidth="1"/>
    <col min="6413" max="6413" width="10.5546875" style="449" bestFit="1" customWidth="1"/>
    <col min="6414" max="6656" width="8.88671875" style="449"/>
    <col min="6657" max="6657" width="11.6640625" style="449" customWidth="1"/>
    <col min="6658" max="6658" width="29.44140625" style="449" customWidth="1"/>
    <col min="6659" max="6659" width="10.6640625" style="449" bestFit="1" customWidth="1"/>
    <col min="6660" max="6660" width="12.6640625" style="449" bestFit="1" customWidth="1"/>
    <col min="6661" max="6661" width="11" style="449" customWidth="1"/>
    <col min="6662" max="6662" width="10.44140625" style="449" customWidth="1"/>
    <col min="6663" max="6663" width="14.109375" style="449" bestFit="1" customWidth="1"/>
    <col min="6664" max="6664" width="11.88671875" style="449" bestFit="1" customWidth="1"/>
    <col min="6665" max="6665" width="10.109375" style="449" customWidth="1"/>
    <col min="6666" max="6666" width="8.88671875" style="449"/>
    <col min="6667" max="6667" width="9.5546875" style="449" bestFit="1" customWidth="1"/>
    <col min="6668" max="6668" width="9.44140625" style="449" customWidth="1"/>
    <col min="6669" max="6669" width="10.5546875" style="449" bestFit="1" customWidth="1"/>
    <col min="6670" max="6912" width="8.88671875" style="449"/>
    <col min="6913" max="6913" width="11.6640625" style="449" customWidth="1"/>
    <col min="6914" max="6914" width="29.44140625" style="449" customWidth="1"/>
    <col min="6915" max="6915" width="10.6640625" style="449" bestFit="1" customWidth="1"/>
    <col min="6916" max="6916" width="12.6640625" style="449" bestFit="1" customWidth="1"/>
    <col min="6917" max="6917" width="11" style="449" customWidth="1"/>
    <col min="6918" max="6918" width="10.44140625" style="449" customWidth="1"/>
    <col min="6919" max="6919" width="14.109375" style="449" bestFit="1" customWidth="1"/>
    <col min="6920" max="6920" width="11.88671875" style="449" bestFit="1" customWidth="1"/>
    <col min="6921" max="6921" width="10.109375" style="449" customWidth="1"/>
    <col min="6922" max="6922" width="8.88671875" style="449"/>
    <col min="6923" max="6923" width="9.5546875" style="449" bestFit="1" customWidth="1"/>
    <col min="6924" max="6924" width="9.44140625" style="449" customWidth="1"/>
    <col min="6925" max="6925" width="10.5546875" style="449" bestFit="1" customWidth="1"/>
    <col min="6926" max="7168" width="8.88671875" style="449"/>
    <col min="7169" max="7169" width="11.6640625" style="449" customWidth="1"/>
    <col min="7170" max="7170" width="29.44140625" style="449" customWidth="1"/>
    <col min="7171" max="7171" width="10.6640625" style="449" bestFit="1" customWidth="1"/>
    <col min="7172" max="7172" width="12.6640625" style="449" bestFit="1" customWidth="1"/>
    <col min="7173" max="7173" width="11" style="449" customWidth="1"/>
    <col min="7174" max="7174" width="10.44140625" style="449" customWidth="1"/>
    <col min="7175" max="7175" width="14.109375" style="449" bestFit="1" customWidth="1"/>
    <col min="7176" max="7176" width="11.88671875" style="449" bestFit="1" customWidth="1"/>
    <col min="7177" max="7177" width="10.109375" style="449" customWidth="1"/>
    <col min="7178" max="7178" width="8.88671875" style="449"/>
    <col min="7179" max="7179" width="9.5546875" style="449" bestFit="1" customWidth="1"/>
    <col min="7180" max="7180" width="9.44140625" style="449" customWidth="1"/>
    <col min="7181" max="7181" width="10.5546875" style="449" bestFit="1" customWidth="1"/>
    <col min="7182" max="7424" width="8.88671875" style="449"/>
    <col min="7425" max="7425" width="11.6640625" style="449" customWidth="1"/>
    <col min="7426" max="7426" width="29.44140625" style="449" customWidth="1"/>
    <col min="7427" max="7427" width="10.6640625" style="449" bestFit="1" customWidth="1"/>
    <col min="7428" max="7428" width="12.6640625" style="449" bestFit="1" customWidth="1"/>
    <col min="7429" max="7429" width="11" style="449" customWidth="1"/>
    <col min="7430" max="7430" width="10.44140625" style="449" customWidth="1"/>
    <col min="7431" max="7431" width="14.109375" style="449" bestFit="1" customWidth="1"/>
    <col min="7432" max="7432" width="11.88671875" style="449" bestFit="1" customWidth="1"/>
    <col min="7433" max="7433" width="10.109375" style="449" customWidth="1"/>
    <col min="7434" max="7434" width="8.88671875" style="449"/>
    <col min="7435" max="7435" width="9.5546875" style="449" bestFit="1" customWidth="1"/>
    <col min="7436" max="7436" width="9.44140625" style="449" customWidth="1"/>
    <col min="7437" max="7437" width="10.5546875" style="449" bestFit="1" customWidth="1"/>
    <col min="7438" max="7680" width="8.88671875" style="449"/>
    <col min="7681" max="7681" width="11.6640625" style="449" customWidth="1"/>
    <col min="7682" max="7682" width="29.44140625" style="449" customWidth="1"/>
    <col min="7683" max="7683" width="10.6640625" style="449" bestFit="1" customWidth="1"/>
    <col min="7684" max="7684" width="12.6640625" style="449" bestFit="1" customWidth="1"/>
    <col min="7685" max="7685" width="11" style="449" customWidth="1"/>
    <col min="7686" max="7686" width="10.44140625" style="449" customWidth="1"/>
    <col min="7687" max="7687" width="14.109375" style="449" bestFit="1" customWidth="1"/>
    <col min="7688" max="7688" width="11.88671875" style="449" bestFit="1" customWidth="1"/>
    <col min="7689" max="7689" width="10.109375" style="449" customWidth="1"/>
    <col min="7690" max="7690" width="8.88671875" style="449"/>
    <col min="7691" max="7691" width="9.5546875" style="449" bestFit="1" customWidth="1"/>
    <col min="7692" max="7692" width="9.44140625" style="449" customWidth="1"/>
    <col min="7693" max="7693" width="10.5546875" style="449" bestFit="1" customWidth="1"/>
    <col min="7694" max="7936" width="8.88671875" style="449"/>
    <col min="7937" max="7937" width="11.6640625" style="449" customWidth="1"/>
    <col min="7938" max="7938" width="29.44140625" style="449" customWidth="1"/>
    <col min="7939" max="7939" width="10.6640625" style="449" bestFit="1" customWidth="1"/>
    <col min="7940" max="7940" width="12.6640625" style="449" bestFit="1" customWidth="1"/>
    <col min="7941" max="7941" width="11" style="449" customWidth="1"/>
    <col min="7942" max="7942" width="10.44140625" style="449" customWidth="1"/>
    <col min="7943" max="7943" width="14.109375" style="449" bestFit="1" customWidth="1"/>
    <col min="7944" max="7944" width="11.88671875" style="449" bestFit="1" customWidth="1"/>
    <col min="7945" max="7945" width="10.109375" style="449" customWidth="1"/>
    <col min="7946" max="7946" width="8.88671875" style="449"/>
    <col min="7947" max="7947" width="9.5546875" style="449" bestFit="1" customWidth="1"/>
    <col min="7948" max="7948" width="9.44140625" style="449" customWidth="1"/>
    <col min="7949" max="7949" width="10.5546875" style="449" bestFit="1" customWidth="1"/>
    <col min="7950" max="8192" width="8.88671875" style="449"/>
    <col min="8193" max="8193" width="11.6640625" style="449" customWidth="1"/>
    <col min="8194" max="8194" width="29.44140625" style="449" customWidth="1"/>
    <col min="8195" max="8195" width="10.6640625" style="449" bestFit="1" customWidth="1"/>
    <col min="8196" max="8196" width="12.6640625" style="449" bestFit="1" customWidth="1"/>
    <col min="8197" max="8197" width="11" style="449" customWidth="1"/>
    <col min="8198" max="8198" width="10.44140625" style="449" customWidth="1"/>
    <col min="8199" max="8199" width="14.109375" style="449" bestFit="1" customWidth="1"/>
    <col min="8200" max="8200" width="11.88671875" style="449" bestFit="1" customWidth="1"/>
    <col min="8201" max="8201" width="10.109375" style="449" customWidth="1"/>
    <col min="8202" max="8202" width="8.88671875" style="449"/>
    <col min="8203" max="8203" width="9.5546875" style="449" bestFit="1" customWidth="1"/>
    <col min="8204" max="8204" width="9.44140625" style="449" customWidth="1"/>
    <col min="8205" max="8205" width="10.5546875" style="449" bestFit="1" customWidth="1"/>
    <col min="8206" max="8448" width="8.88671875" style="449"/>
    <col min="8449" max="8449" width="11.6640625" style="449" customWidth="1"/>
    <col min="8450" max="8450" width="29.44140625" style="449" customWidth="1"/>
    <col min="8451" max="8451" width="10.6640625" style="449" bestFit="1" customWidth="1"/>
    <col min="8452" max="8452" width="12.6640625" style="449" bestFit="1" customWidth="1"/>
    <col min="8453" max="8453" width="11" style="449" customWidth="1"/>
    <col min="8454" max="8454" width="10.44140625" style="449" customWidth="1"/>
    <col min="8455" max="8455" width="14.109375" style="449" bestFit="1" customWidth="1"/>
    <col min="8456" max="8456" width="11.88671875" style="449" bestFit="1" customWidth="1"/>
    <col min="8457" max="8457" width="10.109375" style="449" customWidth="1"/>
    <col min="8458" max="8458" width="8.88671875" style="449"/>
    <col min="8459" max="8459" width="9.5546875" style="449" bestFit="1" customWidth="1"/>
    <col min="8460" max="8460" width="9.44140625" style="449" customWidth="1"/>
    <col min="8461" max="8461" width="10.5546875" style="449" bestFit="1" customWidth="1"/>
    <col min="8462" max="8704" width="8.88671875" style="449"/>
    <col min="8705" max="8705" width="11.6640625" style="449" customWidth="1"/>
    <col min="8706" max="8706" width="29.44140625" style="449" customWidth="1"/>
    <col min="8707" max="8707" width="10.6640625" style="449" bestFit="1" customWidth="1"/>
    <col min="8708" max="8708" width="12.6640625" style="449" bestFit="1" customWidth="1"/>
    <col min="8709" max="8709" width="11" style="449" customWidth="1"/>
    <col min="8710" max="8710" width="10.44140625" style="449" customWidth="1"/>
    <col min="8711" max="8711" width="14.109375" style="449" bestFit="1" customWidth="1"/>
    <col min="8712" max="8712" width="11.88671875" style="449" bestFit="1" customWidth="1"/>
    <col min="8713" max="8713" width="10.109375" style="449" customWidth="1"/>
    <col min="8714" max="8714" width="8.88671875" style="449"/>
    <col min="8715" max="8715" width="9.5546875" style="449" bestFit="1" customWidth="1"/>
    <col min="8716" max="8716" width="9.44140625" style="449" customWidth="1"/>
    <col min="8717" max="8717" width="10.5546875" style="449" bestFit="1" customWidth="1"/>
    <col min="8718" max="8960" width="8.88671875" style="449"/>
    <col min="8961" max="8961" width="11.6640625" style="449" customWidth="1"/>
    <col min="8962" max="8962" width="29.44140625" style="449" customWidth="1"/>
    <col min="8963" max="8963" width="10.6640625" style="449" bestFit="1" customWidth="1"/>
    <col min="8964" max="8964" width="12.6640625" style="449" bestFit="1" customWidth="1"/>
    <col min="8965" max="8965" width="11" style="449" customWidth="1"/>
    <col min="8966" max="8966" width="10.44140625" style="449" customWidth="1"/>
    <col min="8967" max="8967" width="14.109375" style="449" bestFit="1" customWidth="1"/>
    <col min="8968" max="8968" width="11.88671875" style="449" bestFit="1" customWidth="1"/>
    <col min="8969" max="8969" width="10.109375" style="449" customWidth="1"/>
    <col min="8970" max="8970" width="8.88671875" style="449"/>
    <col min="8971" max="8971" width="9.5546875" style="449" bestFit="1" customWidth="1"/>
    <col min="8972" max="8972" width="9.44140625" style="449" customWidth="1"/>
    <col min="8973" max="8973" width="10.5546875" style="449" bestFit="1" customWidth="1"/>
    <col min="8974" max="9216" width="8.88671875" style="449"/>
    <col min="9217" max="9217" width="11.6640625" style="449" customWidth="1"/>
    <col min="9218" max="9218" width="29.44140625" style="449" customWidth="1"/>
    <col min="9219" max="9219" width="10.6640625" style="449" bestFit="1" customWidth="1"/>
    <col min="9220" max="9220" width="12.6640625" style="449" bestFit="1" customWidth="1"/>
    <col min="9221" max="9221" width="11" style="449" customWidth="1"/>
    <col min="9222" max="9222" width="10.44140625" style="449" customWidth="1"/>
    <col min="9223" max="9223" width="14.109375" style="449" bestFit="1" customWidth="1"/>
    <col min="9224" max="9224" width="11.88671875" style="449" bestFit="1" customWidth="1"/>
    <col min="9225" max="9225" width="10.109375" style="449" customWidth="1"/>
    <col min="9226" max="9226" width="8.88671875" style="449"/>
    <col min="9227" max="9227" width="9.5546875" style="449" bestFit="1" customWidth="1"/>
    <col min="9228" max="9228" width="9.44140625" style="449" customWidth="1"/>
    <col min="9229" max="9229" width="10.5546875" style="449" bestFit="1" customWidth="1"/>
    <col min="9230" max="9472" width="8.88671875" style="449"/>
    <col min="9473" max="9473" width="11.6640625" style="449" customWidth="1"/>
    <col min="9474" max="9474" width="29.44140625" style="449" customWidth="1"/>
    <col min="9475" max="9475" width="10.6640625" style="449" bestFit="1" customWidth="1"/>
    <col min="9476" max="9476" width="12.6640625" style="449" bestFit="1" customWidth="1"/>
    <col min="9477" max="9477" width="11" style="449" customWidth="1"/>
    <col min="9478" max="9478" width="10.44140625" style="449" customWidth="1"/>
    <col min="9479" max="9479" width="14.109375" style="449" bestFit="1" customWidth="1"/>
    <col min="9480" max="9480" width="11.88671875" style="449" bestFit="1" customWidth="1"/>
    <col min="9481" max="9481" width="10.109375" style="449" customWidth="1"/>
    <col min="9482" max="9482" width="8.88671875" style="449"/>
    <col min="9483" max="9483" width="9.5546875" style="449" bestFit="1" customWidth="1"/>
    <col min="9484" max="9484" width="9.44140625" style="449" customWidth="1"/>
    <col min="9485" max="9485" width="10.5546875" style="449" bestFit="1" customWidth="1"/>
    <col min="9486" max="9728" width="8.88671875" style="449"/>
    <col min="9729" max="9729" width="11.6640625" style="449" customWidth="1"/>
    <col min="9730" max="9730" width="29.44140625" style="449" customWidth="1"/>
    <col min="9731" max="9731" width="10.6640625" style="449" bestFit="1" customWidth="1"/>
    <col min="9732" max="9732" width="12.6640625" style="449" bestFit="1" customWidth="1"/>
    <col min="9733" max="9733" width="11" style="449" customWidth="1"/>
    <col min="9734" max="9734" width="10.44140625" style="449" customWidth="1"/>
    <col min="9735" max="9735" width="14.109375" style="449" bestFit="1" customWidth="1"/>
    <col min="9736" max="9736" width="11.88671875" style="449" bestFit="1" customWidth="1"/>
    <col min="9737" max="9737" width="10.109375" style="449" customWidth="1"/>
    <col min="9738" max="9738" width="8.88671875" style="449"/>
    <col min="9739" max="9739" width="9.5546875" style="449" bestFit="1" customWidth="1"/>
    <col min="9740" max="9740" width="9.44140625" style="449" customWidth="1"/>
    <col min="9741" max="9741" width="10.5546875" style="449" bestFit="1" customWidth="1"/>
    <col min="9742" max="9984" width="8.88671875" style="449"/>
    <col min="9985" max="9985" width="11.6640625" style="449" customWidth="1"/>
    <col min="9986" max="9986" width="29.44140625" style="449" customWidth="1"/>
    <col min="9987" max="9987" width="10.6640625" style="449" bestFit="1" customWidth="1"/>
    <col min="9988" max="9988" width="12.6640625" style="449" bestFit="1" customWidth="1"/>
    <col min="9989" max="9989" width="11" style="449" customWidth="1"/>
    <col min="9990" max="9990" width="10.44140625" style="449" customWidth="1"/>
    <col min="9991" max="9991" width="14.109375" style="449" bestFit="1" customWidth="1"/>
    <col min="9992" max="9992" width="11.88671875" style="449" bestFit="1" customWidth="1"/>
    <col min="9993" max="9993" width="10.109375" style="449" customWidth="1"/>
    <col min="9994" max="9994" width="8.88671875" style="449"/>
    <col min="9995" max="9995" width="9.5546875" style="449" bestFit="1" customWidth="1"/>
    <col min="9996" max="9996" width="9.44140625" style="449" customWidth="1"/>
    <col min="9997" max="9997" width="10.5546875" style="449" bestFit="1" customWidth="1"/>
    <col min="9998" max="10240" width="8.88671875" style="449"/>
    <col min="10241" max="10241" width="11.6640625" style="449" customWidth="1"/>
    <col min="10242" max="10242" width="29.44140625" style="449" customWidth="1"/>
    <col min="10243" max="10243" width="10.6640625" style="449" bestFit="1" customWidth="1"/>
    <col min="10244" max="10244" width="12.6640625" style="449" bestFit="1" customWidth="1"/>
    <col min="10245" max="10245" width="11" style="449" customWidth="1"/>
    <col min="10246" max="10246" width="10.44140625" style="449" customWidth="1"/>
    <col min="10247" max="10247" width="14.109375" style="449" bestFit="1" customWidth="1"/>
    <col min="10248" max="10248" width="11.88671875" style="449" bestFit="1" customWidth="1"/>
    <col min="10249" max="10249" width="10.109375" style="449" customWidth="1"/>
    <col min="10250" max="10250" width="8.88671875" style="449"/>
    <col min="10251" max="10251" width="9.5546875" style="449" bestFit="1" customWidth="1"/>
    <col min="10252" max="10252" width="9.44140625" style="449" customWidth="1"/>
    <col min="10253" max="10253" width="10.5546875" style="449" bestFit="1" customWidth="1"/>
    <col min="10254" max="10496" width="8.88671875" style="449"/>
    <col min="10497" max="10497" width="11.6640625" style="449" customWidth="1"/>
    <col min="10498" max="10498" width="29.44140625" style="449" customWidth="1"/>
    <col min="10499" max="10499" width="10.6640625" style="449" bestFit="1" customWidth="1"/>
    <col min="10500" max="10500" width="12.6640625" style="449" bestFit="1" customWidth="1"/>
    <col min="10501" max="10501" width="11" style="449" customWidth="1"/>
    <col min="10502" max="10502" width="10.44140625" style="449" customWidth="1"/>
    <col min="10503" max="10503" width="14.109375" style="449" bestFit="1" customWidth="1"/>
    <col min="10504" max="10504" width="11.88671875" style="449" bestFit="1" customWidth="1"/>
    <col min="10505" max="10505" width="10.109375" style="449" customWidth="1"/>
    <col min="10506" max="10506" width="8.88671875" style="449"/>
    <col min="10507" max="10507" width="9.5546875" style="449" bestFit="1" customWidth="1"/>
    <col min="10508" max="10508" width="9.44140625" style="449" customWidth="1"/>
    <col min="10509" max="10509" width="10.5546875" style="449" bestFit="1" customWidth="1"/>
    <col min="10510" max="10752" width="8.88671875" style="449"/>
    <col min="10753" max="10753" width="11.6640625" style="449" customWidth="1"/>
    <col min="10754" max="10754" width="29.44140625" style="449" customWidth="1"/>
    <col min="10755" max="10755" width="10.6640625" style="449" bestFit="1" customWidth="1"/>
    <col min="10756" max="10756" width="12.6640625" style="449" bestFit="1" customWidth="1"/>
    <col min="10757" max="10757" width="11" style="449" customWidth="1"/>
    <col min="10758" max="10758" width="10.44140625" style="449" customWidth="1"/>
    <col min="10759" max="10759" width="14.109375" style="449" bestFit="1" customWidth="1"/>
    <col min="10760" max="10760" width="11.88671875" style="449" bestFit="1" customWidth="1"/>
    <col min="10761" max="10761" width="10.109375" style="449" customWidth="1"/>
    <col min="10762" max="10762" width="8.88671875" style="449"/>
    <col min="10763" max="10763" width="9.5546875" style="449" bestFit="1" customWidth="1"/>
    <col min="10764" max="10764" width="9.44140625" style="449" customWidth="1"/>
    <col min="10765" max="10765" width="10.5546875" style="449" bestFit="1" customWidth="1"/>
    <col min="10766" max="11008" width="8.88671875" style="449"/>
    <col min="11009" max="11009" width="11.6640625" style="449" customWidth="1"/>
    <col min="11010" max="11010" width="29.44140625" style="449" customWidth="1"/>
    <col min="11011" max="11011" width="10.6640625" style="449" bestFit="1" customWidth="1"/>
    <col min="11012" max="11012" width="12.6640625" style="449" bestFit="1" customWidth="1"/>
    <col min="11013" max="11013" width="11" style="449" customWidth="1"/>
    <col min="11014" max="11014" width="10.44140625" style="449" customWidth="1"/>
    <col min="11015" max="11015" width="14.109375" style="449" bestFit="1" customWidth="1"/>
    <col min="11016" max="11016" width="11.88671875" style="449" bestFit="1" customWidth="1"/>
    <col min="11017" max="11017" width="10.109375" style="449" customWidth="1"/>
    <col min="11018" max="11018" width="8.88671875" style="449"/>
    <col min="11019" max="11019" width="9.5546875" style="449" bestFit="1" customWidth="1"/>
    <col min="11020" max="11020" width="9.44140625" style="449" customWidth="1"/>
    <col min="11021" max="11021" width="10.5546875" style="449" bestFit="1" customWidth="1"/>
    <col min="11022" max="11264" width="8.88671875" style="449"/>
    <col min="11265" max="11265" width="11.6640625" style="449" customWidth="1"/>
    <col min="11266" max="11266" width="29.44140625" style="449" customWidth="1"/>
    <col min="11267" max="11267" width="10.6640625" style="449" bestFit="1" customWidth="1"/>
    <col min="11268" max="11268" width="12.6640625" style="449" bestFit="1" customWidth="1"/>
    <col min="11269" max="11269" width="11" style="449" customWidth="1"/>
    <col min="11270" max="11270" width="10.44140625" style="449" customWidth="1"/>
    <col min="11271" max="11271" width="14.109375" style="449" bestFit="1" customWidth="1"/>
    <col min="11272" max="11272" width="11.88671875" style="449" bestFit="1" customWidth="1"/>
    <col min="11273" max="11273" width="10.109375" style="449" customWidth="1"/>
    <col min="11274" max="11274" width="8.88671875" style="449"/>
    <col min="11275" max="11275" width="9.5546875" style="449" bestFit="1" customWidth="1"/>
    <col min="11276" max="11276" width="9.44140625" style="449" customWidth="1"/>
    <col min="11277" max="11277" width="10.5546875" style="449" bestFit="1" customWidth="1"/>
    <col min="11278" max="11520" width="8.88671875" style="449"/>
    <col min="11521" max="11521" width="11.6640625" style="449" customWidth="1"/>
    <col min="11522" max="11522" width="29.44140625" style="449" customWidth="1"/>
    <col min="11523" max="11523" width="10.6640625" style="449" bestFit="1" customWidth="1"/>
    <col min="11524" max="11524" width="12.6640625" style="449" bestFit="1" customWidth="1"/>
    <col min="11525" max="11525" width="11" style="449" customWidth="1"/>
    <col min="11526" max="11526" width="10.44140625" style="449" customWidth="1"/>
    <col min="11527" max="11527" width="14.109375" style="449" bestFit="1" customWidth="1"/>
    <col min="11528" max="11528" width="11.88671875" style="449" bestFit="1" customWidth="1"/>
    <col min="11529" max="11529" width="10.109375" style="449" customWidth="1"/>
    <col min="11530" max="11530" width="8.88671875" style="449"/>
    <col min="11531" max="11531" width="9.5546875" style="449" bestFit="1" customWidth="1"/>
    <col min="11532" max="11532" width="9.44140625" style="449" customWidth="1"/>
    <col min="11533" max="11533" width="10.5546875" style="449" bestFit="1" customWidth="1"/>
    <col min="11534" max="11776" width="8.88671875" style="449"/>
    <col min="11777" max="11777" width="11.6640625" style="449" customWidth="1"/>
    <col min="11778" max="11778" width="29.44140625" style="449" customWidth="1"/>
    <col min="11779" max="11779" width="10.6640625" style="449" bestFit="1" customWidth="1"/>
    <col min="11780" max="11780" width="12.6640625" style="449" bestFit="1" customWidth="1"/>
    <col min="11781" max="11781" width="11" style="449" customWidth="1"/>
    <col min="11782" max="11782" width="10.44140625" style="449" customWidth="1"/>
    <col min="11783" max="11783" width="14.109375" style="449" bestFit="1" customWidth="1"/>
    <col min="11784" max="11784" width="11.88671875" style="449" bestFit="1" customWidth="1"/>
    <col min="11785" max="11785" width="10.109375" style="449" customWidth="1"/>
    <col min="11786" max="11786" width="8.88671875" style="449"/>
    <col min="11787" max="11787" width="9.5546875" style="449" bestFit="1" customWidth="1"/>
    <col min="11788" max="11788" width="9.44140625" style="449" customWidth="1"/>
    <col min="11789" max="11789" width="10.5546875" style="449" bestFit="1" customWidth="1"/>
    <col min="11790" max="12032" width="8.88671875" style="449"/>
    <col min="12033" max="12033" width="11.6640625" style="449" customWidth="1"/>
    <col min="12034" max="12034" width="29.44140625" style="449" customWidth="1"/>
    <col min="12035" max="12035" width="10.6640625" style="449" bestFit="1" customWidth="1"/>
    <col min="12036" max="12036" width="12.6640625" style="449" bestFit="1" customWidth="1"/>
    <col min="12037" max="12037" width="11" style="449" customWidth="1"/>
    <col min="12038" max="12038" width="10.44140625" style="449" customWidth="1"/>
    <col min="12039" max="12039" width="14.109375" style="449" bestFit="1" customWidth="1"/>
    <col min="12040" max="12040" width="11.88671875" style="449" bestFit="1" customWidth="1"/>
    <col min="12041" max="12041" width="10.109375" style="449" customWidth="1"/>
    <col min="12042" max="12042" width="8.88671875" style="449"/>
    <col min="12043" max="12043" width="9.5546875" style="449" bestFit="1" customWidth="1"/>
    <col min="12044" max="12044" width="9.44140625" style="449" customWidth="1"/>
    <col min="12045" max="12045" width="10.5546875" style="449" bestFit="1" customWidth="1"/>
    <col min="12046" max="12288" width="8.88671875" style="449"/>
    <col min="12289" max="12289" width="11.6640625" style="449" customWidth="1"/>
    <col min="12290" max="12290" width="29.44140625" style="449" customWidth="1"/>
    <col min="12291" max="12291" width="10.6640625" style="449" bestFit="1" customWidth="1"/>
    <col min="12292" max="12292" width="12.6640625" style="449" bestFit="1" customWidth="1"/>
    <col min="12293" max="12293" width="11" style="449" customWidth="1"/>
    <col min="12294" max="12294" width="10.44140625" style="449" customWidth="1"/>
    <col min="12295" max="12295" width="14.109375" style="449" bestFit="1" customWidth="1"/>
    <col min="12296" max="12296" width="11.88671875" style="449" bestFit="1" customWidth="1"/>
    <col min="12297" max="12297" width="10.109375" style="449" customWidth="1"/>
    <col min="12298" max="12298" width="8.88671875" style="449"/>
    <col min="12299" max="12299" width="9.5546875" style="449" bestFit="1" customWidth="1"/>
    <col min="12300" max="12300" width="9.44140625" style="449" customWidth="1"/>
    <col min="12301" max="12301" width="10.5546875" style="449" bestFit="1" customWidth="1"/>
    <col min="12302" max="12544" width="8.88671875" style="449"/>
    <col min="12545" max="12545" width="11.6640625" style="449" customWidth="1"/>
    <col min="12546" max="12546" width="29.44140625" style="449" customWidth="1"/>
    <col min="12547" max="12547" width="10.6640625" style="449" bestFit="1" customWidth="1"/>
    <col min="12548" max="12548" width="12.6640625" style="449" bestFit="1" customWidth="1"/>
    <col min="12549" max="12549" width="11" style="449" customWidth="1"/>
    <col min="12550" max="12550" width="10.44140625" style="449" customWidth="1"/>
    <col min="12551" max="12551" width="14.109375" style="449" bestFit="1" customWidth="1"/>
    <col min="12552" max="12552" width="11.88671875" style="449" bestFit="1" customWidth="1"/>
    <col min="12553" max="12553" width="10.109375" style="449" customWidth="1"/>
    <col min="12554" max="12554" width="8.88671875" style="449"/>
    <col min="12555" max="12555" width="9.5546875" style="449" bestFit="1" customWidth="1"/>
    <col min="12556" max="12556" width="9.44140625" style="449" customWidth="1"/>
    <col min="12557" max="12557" width="10.5546875" style="449" bestFit="1" customWidth="1"/>
    <col min="12558" max="12800" width="8.88671875" style="449"/>
    <col min="12801" max="12801" width="11.6640625" style="449" customWidth="1"/>
    <col min="12802" max="12802" width="29.44140625" style="449" customWidth="1"/>
    <col min="12803" max="12803" width="10.6640625" style="449" bestFit="1" customWidth="1"/>
    <col min="12804" max="12804" width="12.6640625" style="449" bestFit="1" customWidth="1"/>
    <col min="12805" max="12805" width="11" style="449" customWidth="1"/>
    <col min="12806" max="12806" width="10.44140625" style="449" customWidth="1"/>
    <col min="12807" max="12807" width="14.109375" style="449" bestFit="1" customWidth="1"/>
    <col min="12808" max="12808" width="11.88671875" style="449" bestFit="1" customWidth="1"/>
    <col min="12809" max="12809" width="10.109375" style="449" customWidth="1"/>
    <col min="12810" max="12810" width="8.88671875" style="449"/>
    <col min="12811" max="12811" width="9.5546875" style="449" bestFit="1" customWidth="1"/>
    <col min="12812" max="12812" width="9.44140625" style="449" customWidth="1"/>
    <col min="12813" max="12813" width="10.5546875" style="449" bestFit="1" customWidth="1"/>
    <col min="12814" max="13056" width="8.88671875" style="449"/>
    <col min="13057" max="13057" width="11.6640625" style="449" customWidth="1"/>
    <col min="13058" max="13058" width="29.44140625" style="449" customWidth="1"/>
    <col min="13059" max="13059" width="10.6640625" style="449" bestFit="1" customWidth="1"/>
    <col min="13060" max="13060" width="12.6640625" style="449" bestFit="1" customWidth="1"/>
    <col min="13061" max="13061" width="11" style="449" customWidth="1"/>
    <col min="13062" max="13062" width="10.44140625" style="449" customWidth="1"/>
    <col min="13063" max="13063" width="14.109375" style="449" bestFit="1" customWidth="1"/>
    <col min="13064" max="13064" width="11.88671875" style="449" bestFit="1" customWidth="1"/>
    <col min="13065" max="13065" width="10.109375" style="449" customWidth="1"/>
    <col min="13066" max="13066" width="8.88671875" style="449"/>
    <col min="13067" max="13067" width="9.5546875" style="449" bestFit="1" customWidth="1"/>
    <col min="13068" max="13068" width="9.44140625" style="449" customWidth="1"/>
    <col min="13069" max="13069" width="10.5546875" style="449" bestFit="1" customWidth="1"/>
    <col min="13070" max="13312" width="8.88671875" style="449"/>
    <col min="13313" max="13313" width="11.6640625" style="449" customWidth="1"/>
    <col min="13314" max="13314" width="29.44140625" style="449" customWidth="1"/>
    <col min="13315" max="13315" width="10.6640625" style="449" bestFit="1" customWidth="1"/>
    <col min="13316" max="13316" width="12.6640625" style="449" bestFit="1" customWidth="1"/>
    <col min="13317" max="13317" width="11" style="449" customWidth="1"/>
    <col min="13318" max="13318" width="10.44140625" style="449" customWidth="1"/>
    <col min="13319" max="13319" width="14.109375" style="449" bestFit="1" customWidth="1"/>
    <col min="13320" max="13320" width="11.88671875" style="449" bestFit="1" customWidth="1"/>
    <col min="13321" max="13321" width="10.109375" style="449" customWidth="1"/>
    <col min="13322" max="13322" width="8.88671875" style="449"/>
    <col min="13323" max="13323" width="9.5546875" style="449" bestFit="1" customWidth="1"/>
    <col min="13324" max="13324" width="9.44140625" style="449" customWidth="1"/>
    <col min="13325" max="13325" width="10.5546875" style="449" bestFit="1" customWidth="1"/>
    <col min="13326" max="13568" width="8.88671875" style="449"/>
    <col min="13569" max="13569" width="11.6640625" style="449" customWidth="1"/>
    <col min="13570" max="13570" width="29.44140625" style="449" customWidth="1"/>
    <col min="13571" max="13571" width="10.6640625" style="449" bestFit="1" customWidth="1"/>
    <col min="13572" max="13572" width="12.6640625" style="449" bestFit="1" customWidth="1"/>
    <col min="13573" max="13573" width="11" style="449" customWidth="1"/>
    <col min="13574" max="13574" width="10.44140625" style="449" customWidth="1"/>
    <col min="13575" max="13575" width="14.109375" style="449" bestFit="1" customWidth="1"/>
    <col min="13576" max="13576" width="11.88671875" style="449" bestFit="1" customWidth="1"/>
    <col min="13577" max="13577" width="10.109375" style="449" customWidth="1"/>
    <col min="13578" max="13578" width="8.88671875" style="449"/>
    <col min="13579" max="13579" width="9.5546875" style="449" bestFit="1" customWidth="1"/>
    <col min="13580" max="13580" width="9.44140625" style="449" customWidth="1"/>
    <col min="13581" max="13581" width="10.5546875" style="449" bestFit="1" customWidth="1"/>
    <col min="13582" max="13824" width="8.88671875" style="449"/>
    <col min="13825" max="13825" width="11.6640625" style="449" customWidth="1"/>
    <col min="13826" max="13826" width="29.44140625" style="449" customWidth="1"/>
    <col min="13827" max="13827" width="10.6640625" style="449" bestFit="1" customWidth="1"/>
    <col min="13828" max="13828" width="12.6640625" style="449" bestFit="1" customWidth="1"/>
    <col min="13829" max="13829" width="11" style="449" customWidth="1"/>
    <col min="13830" max="13830" width="10.44140625" style="449" customWidth="1"/>
    <col min="13831" max="13831" width="14.109375" style="449" bestFit="1" customWidth="1"/>
    <col min="13832" max="13832" width="11.88671875" style="449" bestFit="1" customWidth="1"/>
    <col min="13833" max="13833" width="10.109375" style="449" customWidth="1"/>
    <col min="13834" max="13834" width="8.88671875" style="449"/>
    <col min="13835" max="13835" width="9.5546875" style="449" bestFit="1" customWidth="1"/>
    <col min="13836" max="13836" width="9.44140625" style="449" customWidth="1"/>
    <col min="13837" max="13837" width="10.5546875" style="449" bestFit="1" customWidth="1"/>
    <col min="13838" max="14080" width="8.88671875" style="449"/>
    <col min="14081" max="14081" width="11.6640625" style="449" customWidth="1"/>
    <col min="14082" max="14082" width="29.44140625" style="449" customWidth="1"/>
    <col min="14083" max="14083" width="10.6640625" style="449" bestFit="1" customWidth="1"/>
    <col min="14084" max="14084" width="12.6640625" style="449" bestFit="1" customWidth="1"/>
    <col min="14085" max="14085" width="11" style="449" customWidth="1"/>
    <col min="14086" max="14086" width="10.44140625" style="449" customWidth="1"/>
    <col min="14087" max="14087" width="14.109375" style="449" bestFit="1" customWidth="1"/>
    <col min="14088" max="14088" width="11.88671875" style="449" bestFit="1" customWidth="1"/>
    <col min="14089" max="14089" width="10.109375" style="449" customWidth="1"/>
    <col min="14090" max="14090" width="8.88671875" style="449"/>
    <col min="14091" max="14091" width="9.5546875" style="449" bestFit="1" customWidth="1"/>
    <col min="14092" max="14092" width="9.44140625" style="449" customWidth="1"/>
    <col min="14093" max="14093" width="10.5546875" style="449" bestFit="1" customWidth="1"/>
    <col min="14094" max="14336" width="8.88671875" style="449"/>
    <col min="14337" max="14337" width="11.6640625" style="449" customWidth="1"/>
    <col min="14338" max="14338" width="29.44140625" style="449" customWidth="1"/>
    <col min="14339" max="14339" width="10.6640625" style="449" bestFit="1" customWidth="1"/>
    <col min="14340" max="14340" width="12.6640625" style="449" bestFit="1" customWidth="1"/>
    <col min="14341" max="14341" width="11" style="449" customWidth="1"/>
    <col min="14342" max="14342" width="10.44140625" style="449" customWidth="1"/>
    <col min="14343" max="14343" width="14.109375" style="449" bestFit="1" customWidth="1"/>
    <col min="14344" max="14344" width="11.88671875" style="449" bestFit="1" customWidth="1"/>
    <col min="14345" max="14345" width="10.109375" style="449" customWidth="1"/>
    <col min="14346" max="14346" width="8.88671875" style="449"/>
    <col min="14347" max="14347" width="9.5546875" style="449" bestFit="1" customWidth="1"/>
    <col min="14348" max="14348" width="9.44140625" style="449" customWidth="1"/>
    <col min="14349" max="14349" width="10.5546875" style="449" bestFit="1" customWidth="1"/>
    <col min="14350" max="14592" width="8.88671875" style="449"/>
    <col min="14593" max="14593" width="11.6640625" style="449" customWidth="1"/>
    <col min="14594" max="14594" width="29.44140625" style="449" customWidth="1"/>
    <col min="14595" max="14595" width="10.6640625" style="449" bestFit="1" customWidth="1"/>
    <col min="14596" max="14596" width="12.6640625" style="449" bestFit="1" customWidth="1"/>
    <col min="14597" max="14597" width="11" style="449" customWidth="1"/>
    <col min="14598" max="14598" width="10.44140625" style="449" customWidth="1"/>
    <col min="14599" max="14599" width="14.109375" style="449" bestFit="1" customWidth="1"/>
    <col min="14600" max="14600" width="11.88671875" style="449" bestFit="1" customWidth="1"/>
    <col min="14601" max="14601" width="10.109375" style="449" customWidth="1"/>
    <col min="14602" max="14602" width="8.88671875" style="449"/>
    <col min="14603" max="14603" width="9.5546875" style="449" bestFit="1" customWidth="1"/>
    <col min="14604" max="14604" width="9.44140625" style="449" customWidth="1"/>
    <col min="14605" max="14605" width="10.5546875" style="449" bestFit="1" customWidth="1"/>
    <col min="14606" max="14848" width="8.88671875" style="449"/>
    <col min="14849" max="14849" width="11.6640625" style="449" customWidth="1"/>
    <col min="14850" max="14850" width="29.44140625" style="449" customWidth="1"/>
    <col min="14851" max="14851" width="10.6640625" style="449" bestFit="1" customWidth="1"/>
    <col min="14852" max="14852" width="12.6640625" style="449" bestFit="1" customWidth="1"/>
    <col min="14853" max="14853" width="11" style="449" customWidth="1"/>
    <col min="14854" max="14854" width="10.44140625" style="449" customWidth="1"/>
    <col min="14855" max="14855" width="14.109375" style="449" bestFit="1" customWidth="1"/>
    <col min="14856" max="14856" width="11.88671875" style="449" bestFit="1" customWidth="1"/>
    <col min="14857" max="14857" width="10.109375" style="449" customWidth="1"/>
    <col min="14858" max="14858" width="8.88671875" style="449"/>
    <col min="14859" max="14859" width="9.5546875" style="449" bestFit="1" customWidth="1"/>
    <col min="14860" max="14860" width="9.44140625" style="449" customWidth="1"/>
    <col min="14861" max="14861" width="10.5546875" style="449" bestFit="1" customWidth="1"/>
    <col min="14862" max="15104" width="8.88671875" style="449"/>
    <col min="15105" max="15105" width="11.6640625" style="449" customWidth="1"/>
    <col min="15106" max="15106" width="29.44140625" style="449" customWidth="1"/>
    <col min="15107" max="15107" width="10.6640625" style="449" bestFit="1" customWidth="1"/>
    <col min="15108" max="15108" width="12.6640625" style="449" bestFit="1" customWidth="1"/>
    <col min="15109" max="15109" width="11" style="449" customWidth="1"/>
    <col min="15110" max="15110" width="10.44140625" style="449" customWidth="1"/>
    <col min="15111" max="15111" width="14.109375" style="449" bestFit="1" customWidth="1"/>
    <col min="15112" max="15112" width="11.88671875" style="449" bestFit="1" customWidth="1"/>
    <col min="15113" max="15113" width="10.109375" style="449" customWidth="1"/>
    <col min="15114" max="15114" width="8.88671875" style="449"/>
    <col min="15115" max="15115" width="9.5546875" style="449" bestFit="1" customWidth="1"/>
    <col min="15116" max="15116" width="9.44140625" style="449" customWidth="1"/>
    <col min="15117" max="15117" width="10.5546875" style="449" bestFit="1" customWidth="1"/>
    <col min="15118" max="15360" width="8.88671875" style="449"/>
    <col min="15361" max="15361" width="11.6640625" style="449" customWidth="1"/>
    <col min="15362" max="15362" width="29.44140625" style="449" customWidth="1"/>
    <col min="15363" max="15363" width="10.6640625" style="449" bestFit="1" customWidth="1"/>
    <col min="15364" max="15364" width="12.6640625" style="449" bestFit="1" customWidth="1"/>
    <col min="15365" max="15365" width="11" style="449" customWidth="1"/>
    <col min="15366" max="15366" width="10.44140625" style="449" customWidth="1"/>
    <col min="15367" max="15367" width="14.109375" style="449" bestFit="1" customWidth="1"/>
    <col min="15368" max="15368" width="11.88671875" style="449" bestFit="1" customWidth="1"/>
    <col min="15369" max="15369" width="10.109375" style="449" customWidth="1"/>
    <col min="15370" max="15370" width="8.88671875" style="449"/>
    <col min="15371" max="15371" width="9.5546875" style="449" bestFit="1" customWidth="1"/>
    <col min="15372" max="15372" width="9.44140625" style="449" customWidth="1"/>
    <col min="15373" max="15373" width="10.5546875" style="449" bestFit="1" customWidth="1"/>
    <col min="15374" max="15616" width="8.88671875" style="449"/>
    <col min="15617" max="15617" width="11.6640625" style="449" customWidth="1"/>
    <col min="15618" max="15618" width="29.44140625" style="449" customWidth="1"/>
    <col min="15619" max="15619" width="10.6640625" style="449" bestFit="1" customWidth="1"/>
    <col min="15620" max="15620" width="12.6640625" style="449" bestFit="1" customWidth="1"/>
    <col min="15621" max="15621" width="11" style="449" customWidth="1"/>
    <col min="15622" max="15622" width="10.44140625" style="449" customWidth="1"/>
    <col min="15623" max="15623" width="14.109375" style="449" bestFit="1" customWidth="1"/>
    <col min="15624" max="15624" width="11.88671875" style="449" bestFit="1" customWidth="1"/>
    <col min="15625" max="15625" width="10.109375" style="449" customWidth="1"/>
    <col min="15626" max="15626" width="8.88671875" style="449"/>
    <col min="15627" max="15627" width="9.5546875" style="449" bestFit="1" customWidth="1"/>
    <col min="15628" max="15628" width="9.44140625" style="449" customWidth="1"/>
    <col min="15629" max="15629" width="10.5546875" style="449" bestFit="1" customWidth="1"/>
    <col min="15630" max="15872" width="8.88671875" style="449"/>
    <col min="15873" max="15873" width="11.6640625" style="449" customWidth="1"/>
    <col min="15874" max="15874" width="29.44140625" style="449" customWidth="1"/>
    <col min="15875" max="15875" width="10.6640625" style="449" bestFit="1" customWidth="1"/>
    <col min="15876" max="15876" width="12.6640625" style="449" bestFit="1" customWidth="1"/>
    <col min="15877" max="15877" width="11" style="449" customWidth="1"/>
    <col min="15878" max="15878" width="10.44140625" style="449" customWidth="1"/>
    <col min="15879" max="15879" width="14.109375" style="449" bestFit="1" customWidth="1"/>
    <col min="15880" max="15880" width="11.88671875" style="449" bestFit="1" customWidth="1"/>
    <col min="15881" max="15881" width="10.109375" style="449" customWidth="1"/>
    <col min="15882" max="15882" width="8.88671875" style="449"/>
    <col min="15883" max="15883" width="9.5546875" style="449" bestFit="1" customWidth="1"/>
    <col min="15884" max="15884" width="9.44140625" style="449" customWidth="1"/>
    <col min="15885" max="15885" width="10.5546875" style="449" bestFit="1" customWidth="1"/>
    <col min="15886" max="16128" width="8.88671875" style="449"/>
    <col min="16129" max="16129" width="11.6640625" style="449" customWidth="1"/>
    <col min="16130" max="16130" width="29.44140625" style="449" customWidth="1"/>
    <col min="16131" max="16131" width="10.6640625" style="449" bestFit="1" customWidth="1"/>
    <col min="16132" max="16132" width="12.6640625" style="449" bestFit="1" customWidth="1"/>
    <col min="16133" max="16133" width="11" style="449" customWidth="1"/>
    <col min="16134" max="16134" width="10.44140625" style="449" customWidth="1"/>
    <col min="16135" max="16135" width="14.109375" style="449" bestFit="1" customWidth="1"/>
    <col min="16136" max="16136" width="11.88671875" style="449" bestFit="1" customWidth="1"/>
    <col min="16137" max="16137" width="10.109375" style="449" customWidth="1"/>
    <col min="16138" max="16138" width="8.88671875" style="449"/>
    <col min="16139" max="16139" width="9.5546875" style="449" bestFit="1" customWidth="1"/>
    <col min="16140" max="16140" width="9.44140625" style="449" customWidth="1"/>
    <col min="16141" max="16141" width="10.5546875" style="449" bestFit="1" customWidth="1"/>
    <col min="16142" max="16384" width="8.88671875" style="449"/>
  </cols>
  <sheetData>
    <row r="1" spans="1:13" ht="15.6" x14ac:dyDescent="0.25">
      <c r="A1" s="1248" t="str">
        <f>'Excvtn (2)'!A1:L1</f>
        <v>ROSHNABAD BARRAGE</v>
      </c>
      <c r="B1" s="1248"/>
      <c r="C1" s="1248"/>
      <c r="D1" s="1248"/>
      <c r="E1" s="1248"/>
      <c r="F1" s="1248"/>
      <c r="G1" s="1248"/>
      <c r="H1" s="1248"/>
      <c r="I1" s="1248"/>
      <c r="J1" s="1248"/>
      <c r="K1" s="566"/>
      <c r="L1" s="566"/>
      <c r="M1" s="566"/>
    </row>
    <row r="2" spans="1:13" ht="15" customHeight="1" x14ac:dyDescent="0.3">
      <c r="A2" s="1249" t="str">
        <f>'Abt (3)'!A2:B2</f>
        <v>TEHSIL :-SIDHI</v>
      </c>
      <c r="B2" s="1249"/>
      <c r="C2" s="567"/>
      <c r="D2" s="568"/>
      <c r="E2" s="567"/>
      <c r="F2" s="569"/>
      <c r="G2" s="570" t="str">
        <f>'Abt (3)'!F2</f>
        <v>DISTRICT :SINGRAULI</v>
      </c>
      <c r="H2" s="570"/>
      <c r="I2" s="570"/>
      <c r="J2" s="570"/>
      <c r="K2" s="571"/>
      <c r="M2" s="571"/>
    </row>
    <row r="3" spans="1:13" ht="15.6" x14ac:dyDescent="0.3">
      <c r="A3" s="1250" t="s">
        <v>372</v>
      </c>
      <c r="B3" s="1250"/>
      <c r="C3" s="1250"/>
      <c r="D3" s="1250"/>
      <c r="E3" s="1250"/>
      <c r="F3" s="1250"/>
      <c r="G3" s="1250"/>
      <c r="H3" s="1250"/>
      <c r="I3" s="1250"/>
      <c r="J3" s="1250"/>
      <c r="K3" s="1250"/>
      <c r="L3" s="1250"/>
      <c r="M3" s="1250"/>
    </row>
    <row r="4" spans="1:13" ht="14.4" x14ac:dyDescent="0.3">
      <c r="A4" s="572" t="s">
        <v>373</v>
      </c>
      <c r="B4" s="573" t="s">
        <v>374</v>
      </c>
      <c r="C4" s="574">
        <v>0.9</v>
      </c>
      <c r="D4" s="1251" t="s">
        <v>375</v>
      </c>
      <c r="E4" s="1251"/>
      <c r="F4" s="574">
        <v>0</v>
      </c>
      <c r="G4" s="1251" t="s">
        <v>376</v>
      </c>
      <c r="H4" s="1251"/>
      <c r="I4" s="574">
        <v>0.9</v>
      </c>
      <c r="J4" s="575"/>
      <c r="K4" s="575"/>
      <c r="L4" s="575"/>
      <c r="M4" s="575"/>
    </row>
    <row r="5" spans="1:13" ht="15" customHeight="1" x14ac:dyDescent="0.25">
      <c r="A5" s="1242" t="s">
        <v>377</v>
      </c>
      <c r="B5" s="1244" t="s">
        <v>378</v>
      </c>
      <c r="C5" s="1246" t="s">
        <v>379</v>
      </c>
      <c r="D5" s="1247"/>
      <c r="E5" s="1247"/>
      <c r="F5" s="1247"/>
      <c r="G5" s="1247" t="s">
        <v>380</v>
      </c>
      <c r="H5" s="1247"/>
      <c r="I5" s="1247"/>
      <c r="J5" s="577"/>
      <c r="K5" s="577"/>
      <c r="L5" s="577"/>
      <c r="M5" s="578"/>
    </row>
    <row r="6" spans="1:13" ht="28.8" x14ac:dyDescent="0.25">
      <c r="A6" s="1243"/>
      <c r="B6" s="1245"/>
      <c r="C6" s="579" t="s">
        <v>381</v>
      </c>
      <c r="D6" s="579" t="s">
        <v>382</v>
      </c>
      <c r="E6" s="579" t="s">
        <v>383</v>
      </c>
      <c r="F6" s="579" t="s">
        <v>384</v>
      </c>
      <c r="G6" s="579" t="s">
        <v>385</v>
      </c>
      <c r="H6" s="579" t="s">
        <v>386</v>
      </c>
      <c r="I6" s="579" t="s">
        <v>387</v>
      </c>
    </row>
    <row r="7" spans="1:13" ht="14.4" x14ac:dyDescent="0.25">
      <c r="A7" s="580">
        <v>1</v>
      </c>
      <c r="B7" s="581" t="s">
        <v>388</v>
      </c>
      <c r="C7" s="582">
        <f>WIDTH!E49</f>
        <v>3287.6999999995019</v>
      </c>
      <c r="D7" s="582">
        <f>WIDTH!E50*0</f>
        <v>0</v>
      </c>
      <c r="E7" s="582">
        <v>0</v>
      </c>
      <c r="F7" s="582">
        <f>WIDTH!E50</f>
        <v>7671.2999999988369</v>
      </c>
      <c r="G7" s="583">
        <f>D7*$C$4</f>
        <v>0</v>
      </c>
      <c r="H7" s="583">
        <f>E7*$F$4</f>
        <v>0</v>
      </c>
      <c r="I7" s="583">
        <f>F7*$I$4</f>
        <v>6904.1699999989532</v>
      </c>
    </row>
    <row r="8" spans="1:13" ht="14.4" x14ac:dyDescent="0.25">
      <c r="A8" s="580">
        <v>2</v>
      </c>
      <c r="B8" s="584" t="s">
        <v>389</v>
      </c>
      <c r="C8" s="582">
        <v>0</v>
      </c>
      <c r="D8" s="582">
        <f>CUTOFF3!E50</f>
        <v>970319.2945375354</v>
      </c>
      <c r="E8" s="582">
        <f>CUTOFF3!E51</f>
        <v>970319.2945375354</v>
      </c>
      <c r="F8" s="582">
        <f>CUTOFF3!E52</f>
        <v>1293759.0593833807</v>
      </c>
      <c r="G8" s="583">
        <f>D8*$C$4</f>
        <v>873287.36508378189</v>
      </c>
      <c r="H8" s="583">
        <f>E8*$F$4</f>
        <v>0</v>
      </c>
      <c r="I8" s="583">
        <f>F8*$I$4</f>
        <v>1164383.1534450427</v>
      </c>
    </row>
    <row r="9" spans="1:13" ht="14.4" x14ac:dyDescent="0.25">
      <c r="A9" s="580">
        <v>3</v>
      </c>
      <c r="B9" s="581" t="s">
        <v>390</v>
      </c>
      <c r="C9" s="582">
        <v>0</v>
      </c>
      <c r="D9" s="582">
        <f>'EX, For filter'!F50</f>
        <v>10459.5</v>
      </c>
      <c r="E9" s="582">
        <f>'EX, For filter'!F51</f>
        <v>0</v>
      </c>
      <c r="F9" s="582">
        <v>0</v>
      </c>
      <c r="G9" s="583">
        <f>D9*$C$4</f>
        <v>9413.5500000000011</v>
      </c>
      <c r="H9" s="583">
        <f>E9*$F$4</f>
        <v>0</v>
      </c>
      <c r="I9" s="583">
        <f>F9*$I$4</f>
        <v>0</v>
      </c>
    </row>
    <row r="10" spans="1:13" ht="14.4" x14ac:dyDescent="0.25">
      <c r="A10" s="580">
        <v>4</v>
      </c>
      <c r="B10" s="581" t="s">
        <v>391</v>
      </c>
      <c r="C10" s="582">
        <v>0</v>
      </c>
      <c r="D10" s="582">
        <f>'Toe Drain Ex'!L56</f>
        <v>1120.2400000000005</v>
      </c>
      <c r="E10" s="582">
        <f>'Toe Drain Ex'!L57</f>
        <v>980.21000000000026</v>
      </c>
      <c r="F10" s="582">
        <v>0</v>
      </c>
      <c r="G10" s="583">
        <f>D10*$C$4</f>
        <v>1008.2160000000005</v>
      </c>
      <c r="H10" s="583">
        <f>E10*$F$4</f>
        <v>0</v>
      </c>
      <c r="I10" s="583">
        <f>F10*$I$4</f>
        <v>0</v>
      </c>
    </row>
    <row r="11" spans="1:13" ht="14.4" x14ac:dyDescent="0.25">
      <c r="A11" s="585">
        <v>5</v>
      </c>
      <c r="B11" s="586" t="s">
        <v>392</v>
      </c>
      <c r="C11" s="587"/>
      <c r="D11" s="587">
        <f>'Excvtn (2)'!G72</f>
        <v>74727.762929603603</v>
      </c>
      <c r="E11" s="587">
        <v>0</v>
      </c>
      <c r="F11" s="588"/>
      <c r="G11" s="583">
        <f>D11*I4</f>
        <v>67254.98663664324</v>
      </c>
      <c r="H11" s="583">
        <f>E11*$F$4</f>
        <v>0</v>
      </c>
      <c r="I11" s="583">
        <f>F11*$I$4</f>
        <v>0</v>
      </c>
    </row>
    <row r="12" spans="1:13" ht="15" customHeight="1" x14ac:dyDescent="0.25">
      <c r="A12" s="1230" t="s">
        <v>393</v>
      </c>
      <c r="B12" s="1231"/>
      <c r="C12" s="1231"/>
      <c r="D12" s="1231"/>
      <c r="E12" s="1231"/>
      <c r="F12" s="1232"/>
      <c r="G12" s="589">
        <f>SUM(G$7:G$11)</f>
        <v>950964.11772042513</v>
      </c>
      <c r="H12" s="590">
        <f>SUM(H$7:H$10)</f>
        <v>0</v>
      </c>
      <c r="I12" s="589">
        <f>SUM(I$7:I$11)</f>
        <v>1171287.3234450417</v>
      </c>
    </row>
    <row r="13" spans="1:13" ht="14.4" x14ac:dyDescent="0.3">
      <c r="A13" s="591"/>
      <c r="B13" s="591"/>
      <c r="C13" s="591"/>
      <c r="D13" s="591"/>
      <c r="E13" s="591"/>
      <c r="F13" s="591"/>
      <c r="G13" s="591"/>
      <c r="H13" s="591"/>
      <c r="I13" s="592"/>
      <c r="J13" s="592"/>
      <c r="K13" s="593"/>
      <c r="L13" s="593"/>
      <c r="M13" s="594"/>
    </row>
    <row r="14" spans="1:13" ht="14.4" x14ac:dyDescent="0.3">
      <c r="A14" s="1233" t="s">
        <v>394</v>
      </c>
      <c r="B14" s="1233"/>
      <c r="C14" s="1233"/>
      <c r="D14" s="1233"/>
      <c r="E14" s="1233"/>
      <c r="F14" s="1233"/>
      <c r="G14" s="1233"/>
      <c r="H14" s="1233"/>
      <c r="I14" s="595"/>
      <c r="J14" s="595"/>
      <c r="K14" s="595"/>
      <c r="L14" s="595"/>
      <c r="M14" s="595"/>
    </row>
    <row r="15" spans="1:13" ht="14.4" x14ac:dyDescent="0.3">
      <c r="A15" s="596"/>
      <c r="B15" s="597"/>
      <c r="C15" s="597"/>
      <c r="D15" s="597"/>
      <c r="E15" s="597"/>
      <c r="F15" s="597"/>
      <c r="G15" s="597"/>
      <c r="H15" s="598"/>
      <c r="I15" s="597"/>
      <c r="J15" s="597"/>
      <c r="K15" s="597"/>
      <c r="L15" s="597"/>
      <c r="M15" s="597"/>
    </row>
    <row r="16" spans="1:13" ht="37.950000000000003" customHeight="1" x14ac:dyDescent="0.3">
      <c r="A16" s="576" t="s">
        <v>395</v>
      </c>
      <c r="B16" s="599" t="s">
        <v>396</v>
      </c>
      <c r="C16" s="1234" t="s">
        <v>397</v>
      </c>
      <c r="D16" s="1235"/>
      <c r="E16" s="1234" t="s">
        <v>398</v>
      </c>
      <c r="F16" s="1234"/>
      <c r="G16" s="1236" t="s">
        <v>399</v>
      </c>
      <c r="H16" s="1237"/>
      <c r="I16" s="597"/>
      <c r="J16" s="597"/>
      <c r="K16" s="597"/>
      <c r="L16" s="597"/>
      <c r="M16" s="597"/>
    </row>
    <row r="17" spans="1:13" ht="14.4" x14ac:dyDescent="0.25">
      <c r="A17" s="600">
        <v>1</v>
      </c>
      <c r="B17" s="601" t="s">
        <v>400</v>
      </c>
      <c r="C17" s="1215">
        <f>B.T.!H47</f>
        <v>20720</v>
      </c>
      <c r="D17" s="1238"/>
      <c r="E17" s="1239">
        <f>I12</f>
        <v>1171287.3234450417</v>
      </c>
      <c r="F17" s="1240"/>
      <c r="G17" s="1225">
        <f>IF(C17-E17&gt;0,C17-E17,0)</f>
        <v>0</v>
      </c>
      <c r="H17" s="1226"/>
      <c r="I17" s="604"/>
      <c r="J17" s="604"/>
      <c r="K17" s="604"/>
      <c r="L17" s="604"/>
      <c r="M17" s="604"/>
    </row>
    <row r="18" spans="1:13" ht="14.4" x14ac:dyDescent="0.25">
      <c r="A18" s="600"/>
      <c r="B18" s="605" t="s">
        <v>401</v>
      </c>
      <c r="C18" s="1228">
        <f>E17-C17</f>
        <v>1150567.3234450417</v>
      </c>
      <c r="D18" s="1241"/>
      <c r="E18" s="1241"/>
      <c r="F18" s="1229"/>
      <c r="G18" s="602"/>
      <c r="H18" s="603"/>
      <c r="I18" s="604"/>
      <c r="J18" s="604"/>
      <c r="K18" s="604"/>
      <c r="L18" s="604"/>
      <c r="M18" s="604"/>
    </row>
    <row r="19" spans="1:13" ht="14.4" x14ac:dyDescent="0.25">
      <c r="A19" s="600">
        <v>2</v>
      </c>
      <c r="B19" s="601" t="s">
        <v>402</v>
      </c>
      <c r="C19" s="1215">
        <f>pich!M53</f>
        <v>29064.427844236612</v>
      </c>
      <c r="D19" s="1238"/>
      <c r="E19" s="1228">
        <f>E17-C17</f>
        <v>1150567.3234450417</v>
      </c>
      <c r="F19" s="1229"/>
      <c r="G19" s="1225">
        <f>IF(C19-E19&gt;0,C19-E19,0)</f>
        <v>0</v>
      </c>
      <c r="H19" s="1226"/>
      <c r="I19" s="604"/>
      <c r="J19" s="604"/>
      <c r="K19" s="604"/>
      <c r="L19" s="604"/>
      <c r="M19" s="604"/>
    </row>
    <row r="20" spans="1:13" ht="14.4" x14ac:dyDescent="0.25">
      <c r="A20" s="600"/>
      <c r="B20" s="605" t="s">
        <v>403</v>
      </c>
      <c r="C20" s="1228">
        <f>E17-C17-C19</f>
        <v>1121502.8956008051</v>
      </c>
      <c r="D20" s="1241"/>
      <c r="E20" s="1241"/>
      <c r="F20" s="1229"/>
      <c r="G20" s="602"/>
      <c r="H20" s="603"/>
      <c r="I20" s="604"/>
      <c r="J20" s="604"/>
      <c r="K20" s="604"/>
      <c r="L20" s="604"/>
      <c r="M20" s="604"/>
    </row>
    <row r="21" spans="1:13" ht="14.4" x14ac:dyDescent="0.25">
      <c r="A21" s="600">
        <v>3</v>
      </c>
      <c r="B21" s="601" t="s">
        <v>404</v>
      </c>
      <c r="C21" s="1215">
        <f>'inclind filter above BT'!H50+'inclined Filetr above hearting'!H49+'(Extended filter)'!G49+'Toe Drain Quantity'!I50</f>
        <v>15830.265440851774</v>
      </c>
      <c r="D21" s="1215"/>
      <c r="E21" s="1228">
        <f>E17-C17-C19</f>
        <v>1121502.8956008051</v>
      </c>
      <c r="F21" s="1229"/>
      <c r="G21" s="1225">
        <f>IF(C21-E21&gt;0,C21-E21,0)</f>
        <v>0</v>
      </c>
      <c r="H21" s="1226"/>
      <c r="I21" s="606"/>
      <c r="J21" s="604"/>
      <c r="K21" s="604"/>
      <c r="L21" s="604"/>
      <c r="M21" s="604"/>
    </row>
    <row r="22" spans="1:13" ht="14.4" x14ac:dyDescent="0.25">
      <c r="A22" s="600"/>
      <c r="B22" s="605" t="s">
        <v>405</v>
      </c>
      <c r="C22" s="1218">
        <f>E17-C17-C19-C21</f>
        <v>1105672.6301599534</v>
      </c>
      <c r="D22" s="1219"/>
      <c r="E22" s="1219"/>
      <c r="F22" s="1220"/>
      <c r="G22" s="602"/>
      <c r="H22" s="603"/>
      <c r="I22" s="604"/>
      <c r="J22" s="604"/>
      <c r="K22" s="604"/>
      <c r="L22" s="604"/>
      <c r="M22" s="604"/>
    </row>
    <row r="23" spans="1:13" ht="14.4" x14ac:dyDescent="0.25">
      <c r="A23" s="600">
        <v>4</v>
      </c>
      <c r="B23" s="601" t="s">
        <v>406</v>
      </c>
      <c r="C23" s="1215">
        <f>'inclind filter above BT'!H51+'inclined Filetr above hearting'!H50+'(Extended filter)'!G50+'Toe Drain Quantity'!I51</f>
        <v>326030.44421527343</v>
      </c>
      <c r="D23" s="1215"/>
      <c r="E23" s="1227"/>
      <c r="F23" s="1227"/>
      <c r="G23" s="1225">
        <f t="shared" ref="G23:G27" si="0">IF(C23-E23&gt;0,C23-E23,0)</f>
        <v>326030.44421527343</v>
      </c>
      <c r="H23" s="1226"/>
      <c r="I23" s="604"/>
      <c r="J23" s="604"/>
      <c r="K23" s="604"/>
      <c r="L23" s="606"/>
      <c r="M23" s="604"/>
    </row>
    <row r="24" spans="1:13" ht="14.4" hidden="1" x14ac:dyDescent="0.25">
      <c r="A24" s="600">
        <v>5</v>
      </c>
      <c r="B24" s="607" t="s">
        <v>407</v>
      </c>
      <c r="C24" s="1221" t="e">
        <f>#REF!</f>
        <v>#REF!</v>
      </c>
      <c r="D24" s="1222"/>
      <c r="E24" s="1223"/>
      <c r="F24" s="1224"/>
      <c r="G24" s="1225" t="e">
        <f t="shared" si="0"/>
        <v>#REF!</v>
      </c>
      <c r="H24" s="1226"/>
      <c r="I24" s="604"/>
      <c r="J24" s="604"/>
      <c r="K24" s="604"/>
      <c r="L24" s="604"/>
      <c r="M24" s="604"/>
    </row>
    <row r="25" spans="1:13" ht="14.4" x14ac:dyDescent="0.25">
      <c r="A25" s="600">
        <v>5</v>
      </c>
      <c r="B25" s="607" t="s">
        <v>408</v>
      </c>
      <c r="C25" s="1221"/>
      <c r="D25" s="1222"/>
      <c r="E25" s="1223"/>
      <c r="F25" s="1224"/>
      <c r="G25" s="1225">
        <f>IF(C25-E25&gt;0,C25-E25,0)</f>
        <v>0</v>
      </c>
      <c r="H25" s="1226"/>
      <c r="I25" s="604"/>
      <c r="J25" s="608"/>
      <c r="K25" s="604"/>
      <c r="L25" s="606"/>
      <c r="M25" s="604"/>
    </row>
    <row r="26" spans="1:13" ht="14.4" x14ac:dyDescent="0.25">
      <c r="A26" s="600">
        <v>6</v>
      </c>
      <c r="B26" s="601" t="s">
        <v>409</v>
      </c>
      <c r="C26" s="1221"/>
      <c r="D26" s="1222"/>
      <c r="E26" s="1223"/>
      <c r="F26" s="1224"/>
      <c r="G26" s="1225">
        <f t="shared" si="0"/>
        <v>0</v>
      </c>
      <c r="H26" s="1226"/>
      <c r="I26" s="604"/>
      <c r="J26" s="604"/>
      <c r="K26" s="604"/>
      <c r="L26" s="604"/>
      <c r="M26" s="604"/>
    </row>
    <row r="27" spans="1:13" ht="14.4" x14ac:dyDescent="0.25">
      <c r="A27" s="600">
        <v>7</v>
      </c>
      <c r="B27" s="601" t="s">
        <v>410</v>
      </c>
      <c r="C27" s="1221"/>
      <c r="D27" s="1222"/>
      <c r="E27" s="1223"/>
      <c r="F27" s="1224"/>
      <c r="G27" s="1225">
        <f t="shared" si="0"/>
        <v>0</v>
      </c>
      <c r="H27" s="1226"/>
      <c r="I27" s="604"/>
      <c r="J27" s="604"/>
      <c r="K27" s="604"/>
      <c r="L27" s="604"/>
      <c r="M27" s="604"/>
    </row>
    <row r="28" spans="1:13" ht="14.4" x14ac:dyDescent="0.25">
      <c r="A28" s="600">
        <v>8</v>
      </c>
      <c r="B28" s="601" t="s">
        <v>411</v>
      </c>
      <c r="C28" s="1221">
        <f>CUTOFF3!L47</f>
        <v>3234397.6484584515</v>
      </c>
      <c r="D28" s="1222"/>
      <c r="E28" s="1223"/>
      <c r="F28" s="1224"/>
      <c r="G28" s="1225">
        <f>IF(C28-E28&gt;0,C28-E28,0)</f>
        <v>3234397.6484584515</v>
      </c>
      <c r="H28" s="1226"/>
      <c r="I28" s="604"/>
      <c r="J28" s="604"/>
      <c r="K28" s="604"/>
      <c r="L28" s="604"/>
      <c r="M28" s="604"/>
    </row>
    <row r="29" spans="1:13" ht="14.4" x14ac:dyDescent="0.25">
      <c r="A29" s="600">
        <v>9</v>
      </c>
      <c r="B29" s="601" t="s">
        <v>412</v>
      </c>
      <c r="C29" s="1215">
        <f>'e-w'!F80</f>
        <v>21141996.249968495</v>
      </c>
      <c r="D29" s="1215"/>
      <c r="E29" s="1216">
        <f>G12</f>
        <v>950964.11772042513</v>
      </c>
      <c r="F29" s="1216"/>
      <c r="G29" s="1217">
        <f>IF(C29-E29&gt;0,C29-E29,0)</f>
        <v>20191032.13224807</v>
      </c>
      <c r="H29" s="1217"/>
      <c r="I29" s="604"/>
      <c r="J29" s="604"/>
      <c r="K29" s="604"/>
      <c r="L29" s="604"/>
      <c r="M29" s="604"/>
    </row>
    <row r="30" spans="1:13" ht="14.4" x14ac:dyDescent="0.3">
      <c r="A30" s="609"/>
      <c r="B30" s="605" t="s">
        <v>405</v>
      </c>
      <c r="C30" s="1218">
        <f>IF(C29-E29&gt;0,C29-E29,0)</f>
        <v>20191032.13224807</v>
      </c>
      <c r="D30" s="1219"/>
      <c r="E30" s="1219"/>
      <c r="F30" s="1220"/>
      <c r="G30" s="610"/>
      <c r="H30" s="611"/>
      <c r="I30" s="571"/>
      <c r="J30" s="571"/>
      <c r="K30" s="571"/>
      <c r="L30" s="571"/>
      <c r="M30" s="571"/>
    </row>
    <row r="31" spans="1:13" ht="13.8" x14ac:dyDescent="0.3">
      <c r="A31" s="569"/>
      <c r="B31" s="571"/>
      <c r="C31" s="571"/>
      <c r="D31" s="571"/>
      <c r="E31" s="571"/>
      <c r="F31" s="571"/>
      <c r="G31" s="612"/>
      <c r="H31" s="613"/>
      <c r="I31" s="571"/>
      <c r="J31" s="571"/>
      <c r="K31" s="571"/>
      <c r="L31" s="571"/>
      <c r="M31" s="571"/>
    </row>
  </sheetData>
  <customSheetViews>
    <customSheetView guid="{5161B42F-120B-436B-80F4-9BB578173AD5}" scale="70" hiddenRows="1">
      <selection activeCell="G23" sqref="G23:H23"/>
      <colBreaks count="1" manualBreakCount="1">
        <brk id="10" max="1048575" man="1"/>
      </colBreaks>
      <pageMargins left="0.70866141732283505" right="0.70866141732283505" top="0.74803149606299202" bottom="0.74803149606299202" header="0.31496062992126" footer="0.31496062992126"/>
      <printOptions horizontalCentered="1"/>
      <pageSetup scale="96" orientation="landscape" r:id="rId1"/>
      <headerFooter>
        <oddFooter>&amp;R&amp;P</oddFooter>
      </headerFooter>
    </customSheetView>
  </customSheetViews>
  <mergeCells count="48">
    <mergeCell ref="A5:A6"/>
    <mergeCell ref="B5:B6"/>
    <mergeCell ref="C5:F5"/>
    <mergeCell ref="G5:I5"/>
    <mergeCell ref="A1:J1"/>
    <mergeCell ref="A2:B2"/>
    <mergeCell ref="A3:M3"/>
    <mergeCell ref="D4:E4"/>
    <mergeCell ref="G4:H4"/>
    <mergeCell ref="C21:D21"/>
    <mergeCell ref="E21:F21"/>
    <mergeCell ref="G21:H21"/>
    <mergeCell ref="A12:F12"/>
    <mergeCell ref="A14:H14"/>
    <mergeCell ref="C16:D16"/>
    <mergeCell ref="E16:F16"/>
    <mergeCell ref="G16:H16"/>
    <mergeCell ref="C17:D17"/>
    <mergeCell ref="E17:F17"/>
    <mergeCell ref="G17:H17"/>
    <mergeCell ref="C18:F18"/>
    <mergeCell ref="C19:D19"/>
    <mergeCell ref="E19:F19"/>
    <mergeCell ref="G19:H19"/>
    <mergeCell ref="C20:F20"/>
    <mergeCell ref="C22:F22"/>
    <mergeCell ref="C23:D23"/>
    <mergeCell ref="E23:F23"/>
    <mergeCell ref="G23:H23"/>
    <mergeCell ref="C24:D24"/>
    <mergeCell ref="E24:F24"/>
    <mergeCell ref="G24:H24"/>
    <mergeCell ref="C25:D25"/>
    <mergeCell ref="E25:F25"/>
    <mergeCell ref="G25:H25"/>
    <mergeCell ref="C26:D26"/>
    <mergeCell ref="E26:F26"/>
    <mergeCell ref="G26:H26"/>
    <mergeCell ref="C29:D29"/>
    <mergeCell ref="E29:F29"/>
    <mergeCell ref="G29:H29"/>
    <mergeCell ref="C30:F30"/>
    <mergeCell ref="C27:D27"/>
    <mergeCell ref="E27:F27"/>
    <mergeCell ref="G27:H27"/>
    <mergeCell ref="C28:D28"/>
    <mergeCell ref="E28:F28"/>
    <mergeCell ref="G28:H28"/>
  </mergeCells>
  <printOptions horizontalCentered="1"/>
  <pageMargins left="0.70866141732283505" right="0.70866141732283505" top="0.74803149606299202" bottom="0.74803149606299202" header="0.31496062992126" footer="0.31496062992126"/>
  <pageSetup scale="96" orientation="landscape" r:id="rId2"/>
  <headerFooter>
    <oddFooter>&amp;R&amp;P</oddFoot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Cover Page</vt:lpstr>
      <vt:lpstr>Abt (3)</vt:lpstr>
      <vt:lpstr>C</vt:lpstr>
      <vt:lpstr>(Vertcal) (2)</vt:lpstr>
      <vt:lpstr>Detail (2)</vt:lpstr>
      <vt:lpstr>QTTY</vt:lpstr>
      <vt:lpstr>Excvtn (2)</vt:lpstr>
      <vt:lpstr>Detail &amp; Abs</vt:lpstr>
      <vt:lpstr>Util</vt:lpstr>
      <vt:lpstr>e-w</vt:lpstr>
      <vt:lpstr>B.T.</vt:lpstr>
      <vt:lpstr>CUTOFF3</vt:lpstr>
      <vt:lpstr>Turf</vt:lpstr>
      <vt:lpstr>WIDTH</vt:lpstr>
      <vt:lpstr>J.C</vt:lpstr>
      <vt:lpstr>pich</vt:lpstr>
      <vt:lpstr>inclind filter above BT</vt:lpstr>
      <vt:lpstr>inclined Filetr above hearting</vt:lpstr>
      <vt:lpstr>(Extended filter)</vt:lpstr>
      <vt:lpstr>EX, For filter</vt:lpstr>
      <vt:lpstr>Toe Drain Quantity</vt:lpstr>
      <vt:lpstr>Toe Drain Ex</vt:lpstr>
      <vt:lpstr>Grouting</vt:lpstr>
      <vt:lpstr>'(Extended filter)'!Print_Area</vt:lpstr>
      <vt:lpstr>'(Vertcal) (2)'!Print_Area</vt:lpstr>
      <vt:lpstr>'Abt (3)'!Print_Area</vt:lpstr>
      <vt:lpstr>B.T.!Print_Area</vt:lpstr>
      <vt:lpstr>'C'!Print_Area</vt:lpstr>
      <vt:lpstr>'Cover Page'!Print_Area</vt:lpstr>
      <vt:lpstr>CUTOFF3!Print_Area</vt:lpstr>
      <vt:lpstr>'Detail &amp; Abs'!Print_Area</vt:lpstr>
      <vt:lpstr>'Detail (2)'!Print_Area</vt:lpstr>
      <vt:lpstr>'e-w'!Print_Area</vt:lpstr>
      <vt:lpstr>'EX, For filter'!Print_Area</vt:lpstr>
      <vt:lpstr>'Excvtn (2)'!Print_Area</vt:lpstr>
      <vt:lpstr>Grouting!Print_Area</vt:lpstr>
      <vt:lpstr>'inclind filter above BT'!Print_Area</vt:lpstr>
      <vt:lpstr>'inclined Filetr above hearting'!Print_Area</vt:lpstr>
      <vt:lpstr>J.C!Print_Area</vt:lpstr>
      <vt:lpstr>pich!Print_Area</vt:lpstr>
      <vt:lpstr>QTTY!Print_Area</vt:lpstr>
      <vt:lpstr>'Toe Drain Ex'!Print_Area</vt:lpstr>
      <vt:lpstr>'Toe Drain Quantity'!Print_Area</vt:lpstr>
      <vt:lpstr>Turf!Print_Area</vt:lpstr>
      <vt:lpstr>Util!Print_Area</vt:lpstr>
      <vt:lpstr>WIDTH!Print_Area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Irfan Ansari</cp:lastModifiedBy>
  <cp:lastPrinted>2024-08-26T04:09:05Z</cp:lastPrinted>
  <dcterms:created xsi:type="dcterms:W3CDTF">2022-05-24T12:47:24Z</dcterms:created>
  <dcterms:modified xsi:type="dcterms:W3CDTF">2024-09-11T08:17:21Z</dcterms:modified>
</cp:coreProperties>
</file>