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Inputs" sheetId="2" state="visible" r:id="rId4"/>
    <sheet name="Design" sheetId="3" state="visible" r:id="rId5"/>
    <sheet name="Reinforcement-BBS" sheetId="4" state="visible" r:id="rId6"/>
    <sheet name="SSR Rates" sheetId="5" state="visible" r:id="rId7"/>
    <sheet name="Estimate" sheetId="6" state="visible" r:id="rId8"/>
    <sheet name="Drawing" sheetId="7" state="visible" r:id="rId9"/>
    <sheet name="Note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<sst xmlns="http://schemas.openxmlformats.org/spreadsheetml/2006/main" count="348" uniqueCount="271">
  <si>
    <t xml:space="preserve">SINGLE CELL RCC BOX CULVERT — DESIGN, ESTIMATE &amp; DRAWING</t>
  </si>
  <si>
    <t xml:space="preserve">Project</t>
  </si>
  <si>
    <t xml:space="preserve">Single Cell RCC Box Culvert</t>
  </si>
  <si>
    <t xml:space="preserve">Clear opening</t>
  </si>
  <si>
    <t xml:space="preserve">1.20 m W × 1.50 m H</t>
  </si>
  <si>
    <t xml:space="preserve">Overall length</t>
  </si>
  <si>
    <t xml:space="preserve">10.00 m</t>
  </si>
  <si>
    <t xml:space="preserve">Department basis</t>
  </si>
  <si>
    <t xml:space="preserve">A.P. Water Resources Department — IRR-CCDW</t>
  </si>
  <si>
    <t xml:space="preserve">SSR basis</t>
  </si>
  <si>
    <t xml:space="preserve">A.P. Revised Standard Data / SoR 2025–26, effective 01-06-2025</t>
  </si>
  <si>
    <t xml:space="preserve">Design basis</t>
  </si>
  <si>
    <t xml:space="preserve">IRC:SP:13-2022; IRC:112-2020; IRC:6-2017; IS 456:2000; relevant AP WRD Standard Data</t>
  </si>
  <si>
    <t xml:space="preserve">IMPORTANT</t>
  </si>
  <si>
    <t xml:space="preserve">PRELIMINARY DESIGN WORKBOOK. Final departmental design must be checked against site hydrology, hydraulic calculations, road classification/loading, soil report/SBC, groundwater, scour, skew, foundation level and authenticated current SSR.</t>
  </si>
  <si>
    <t xml:space="preserve">Sheets</t>
  </si>
  <si>
    <t xml:space="preserve">Inputs | Design | Reinforcement-BBS | Estimate | SSR Rates | Drawing | Notes</t>
  </si>
  <si>
    <t xml:space="preserve">Parameter</t>
  </si>
  <si>
    <t xml:space="preserve">Value</t>
  </si>
  <si>
    <t xml:space="preserve">Unit</t>
  </si>
  <si>
    <t xml:space="preserve">Basis / note</t>
  </si>
  <si>
    <t xml:space="preserve">Clear width</t>
  </si>
  <si>
    <t xml:space="preserve">m</t>
  </si>
  <si>
    <t xml:space="preserve">User requirement</t>
  </si>
  <si>
    <t xml:space="preserve">Clear height</t>
  </si>
  <si>
    <t xml:space="preserve">Culvert length</t>
  </si>
  <si>
    <t xml:space="preserve">Wall/slab thickness</t>
  </si>
  <si>
    <t xml:space="preserve">Preliminary adopted; verify by final frame analysis</t>
  </si>
  <si>
    <t xml:space="preserve">PCC thickness</t>
  </si>
  <si>
    <t xml:space="preserve">Levelling course</t>
  </si>
  <si>
    <t xml:space="preserve">Earth fill over top slab</t>
  </si>
  <si>
    <t xml:space="preserve">Assumed for preliminary design</t>
  </si>
  <si>
    <t xml:space="preserve">Soil unit weight</t>
  </si>
  <si>
    <t xml:space="preserve">kN/m³</t>
  </si>
  <si>
    <t xml:space="preserve">Assumed; replace with geotechnical value</t>
  </si>
  <si>
    <t xml:space="preserve">Coefficient of active earth pressure, Ka</t>
  </si>
  <si>
    <t xml:space="preserve">-</t>
  </si>
  <si>
    <t xml:space="preserve">Assumed Rankine, level backfill</t>
  </si>
  <si>
    <t xml:space="preserve">Live-load surcharge</t>
  </si>
  <si>
    <t xml:space="preserve">kN/m²</t>
  </si>
  <si>
    <t xml:space="preserve">Preliminary allowance; actual IRC loading to govern if road traffic applies</t>
  </si>
  <si>
    <t xml:space="preserve">Concrete grade</t>
  </si>
  <si>
    <t xml:space="preserve">M20</t>
  </si>
  <si>
    <t xml:space="preserve">AP WRD IRR-CCDW-2-9 basis</t>
  </si>
  <si>
    <t xml:space="preserve">Reinforcement</t>
  </si>
  <si>
    <t xml:space="preserve">Fe500</t>
  </si>
  <si>
    <t xml:space="preserve">Confirm approved bar grade</t>
  </si>
  <si>
    <t xml:space="preserve">Nominal cover</t>
  </si>
  <si>
    <t xml:space="preserve">mm</t>
  </si>
  <si>
    <t xml:space="preserve">Preliminary durability/foundation assumption</t>
  </si>
  <si>
    <t xml:space="preserve">Concrete density</t>
  </si>
  <si>
    <t xml:space="preserve">IS/standard design value</t>
  </si>
  <si>
    <t xml:space="preserve">Steel density</t>
  </si>
  <si>
    <t xml:space="preserve">kg/m³</t>
  </si>
  <si>
    <t xml:space="preserve">Standard</t>
  </si>
  <si>
    <t xml:space="preserve">GST</t>
  </si>
  <si>
    <t xml:space="preserve">%</t>
  </si>
  <si>
    <t xml:space="preserve">Illustrative; verify applicable tax</t>
  </si>
  <si>
    <t xml:space="preserve">Sand adjustment</t>
  </si>
  <si>
    <t xml:space="preserve">Rs/m³ concrete</t>
  </si>
  <si>
    <t xml:space="preserve">Editable provisional adjustment based on AP 2025-26 example; replace with site-specific calculation</t>
  </si>
  <si>
    <t xml:space="preserve">Backfill quantity basis</t>
  </si>
  <si>
    <t xml:space="preserve">Excavation minus PCC and RCC</t>
  </si>
  <si>
    <t xml:space="preserve">Reuse/compaction availability to be verified</t>
  </si>
  <si>
    <t xml:space="preserve">Item</t>
  </si>
  <si>
    <t xml:space="preserve">Formula / check</t>
  </si>
  <si>
    <t xml:space="preserve">Result</t>
  </si>
  <si>
    <t xml:space="preserve">Comment</t>
  </si>
  <si>
    <t xml:space="preserve">Overall width</t>
  </si>
  <si>
    <t xml:space="preserve">Clear width + 2t</t>
  </si>
  <si>
    <t xml:space="preserve">Overall height</t>
  </si>
  <si>
    <t xml:space="preserve">Clear height + 2t</t>
  </si>
  <si>
    <t xml:space="preserve">RCC box concrete volume</t>
  </si>
  <si>
    <t xml:space="preserve">[(B×H)-(b×h)]×L</t>
  </si>
  <si>
    <t xml:space="preserve">m³</t>
  </si>
  <si>
    <t xml:space="preserve">Shell volume</t>
  </si>
  <si>
    <t xml:space="preserve">PCC volume</t>
  </si>
  <si>
    <t xml:space="preserve">overall width × PCC × length</t>
  </si>
  <si>
    <t xml:space="preserve">Top slab dead load</t>
  </si>
  <si>
    <t xml:space="preserve">t×γc</t>
  </si>
  <si>
    <t xml:space="preserve">5.0 kN/m²</t>
  </si>
  <si>
    <t xml:space="preserve">Earth fill load</t>
  </si>
  <si>
    <t xml:space="preserve">fill×γsoil</t>
  </si>
  <si>
    <t xml:space="preserve">Surcharge</t>
  </si>
  <si>
    <t xml:space="preserve">input</t>
  </si>
  <si>
    <t xml:space="preserve">Preliminary</t>
  </si>
  <si>
    <t xml:space="preserve">Service top load</t>
  </si>
  <si>
    <t xml:space="preserve">DL + fill + surcharge</t>
  </si>
  <si>
    <t xml:space="preserve">Factored top load</t>
  </si>
  <si>
    <t xml:space="preserve">1.5×service</t>
  </si>
  <si>
    <t xml:space="preserve">ULS</t>
  </si>
  <si>
    <t xml:space="preserve">Conservative top-slab moment</t>
  </si>
  <si>
    <t xml:space="preserve">wL²/8</t>
  </si>
  <si>
    <t xml:space="preserve">kN·m/m</t>
  </si>
  <si>
    <t xml:space="preserve">Simple-span envelope; final frame analysis required</t>
  </si>
  <si>
    <t xml:space="preserve">Effective depth</t>
  </si>
  <si>
    <t xml:space="preserve">t-cover-0.5bar dia</t>
  </si>
  <si>
    <t xml:space="preserve">Using 12 mm main bar</t>
  </si>
  <si>
    <t xml:space="preserve">Ast required</t>
  </si>
  <si>
    <t xml:space="preserve">M/(0.87fy×0.9d)</t>
  </si>
  <si>
    <t xml:space="preserve">mm²/m</t>
  </si>
  <si>
    <t xml:space="preserve">Simplified flexural check</t>
  </si>
  <si>
    <t xml:space="preserve">Minimum slab steel</t>
  </si>
  <si>
    <t xml:space="preserve">0.12% gross</t>
  </si>
  <si>
    <t xml:space="preserve">IS 456, HYSD</t>
  </si>
  <si>
    <t xml:space="preserve">12Ø @200 Ast provided</t>
  </si>
  <si>
    <t xml:space="preserve">area×1000/spacing</t>
  </si>
  <si>
    <t xml:space="preserve">Adopted</t>
  </si>
  <si>
    <t xml:space="preserve">Top slab status</t>
  </si>
  <si>
    <t xml:space="preserve">Provided ≥ max(required,min)</t>
  </si>
  <si>
    <t xml:space="preserve">Base lateral earth pressure</t>
  </si>
  <si>
    <t xml:space="preserve">Ka(γH+q)</t>
  </si>
  <si>
    <t xml:space="preserve">At wall base</t>
  </si>
  <si>
    <t xml:space="preserve">Factored base pressure</t>
  </si>
  <si>
    <t xml:space="preserve">1.5×</t>
  </si>
  <si>
    <t xml:space="preserve">Wall bending moment</t>
  </si>
  <si>
    <t xml:space="preserve">approx. triangular + surcharge</t>
  </si>
  <si>
    <t xml:space="preserve">Preliminary cantilever envelope</t>
  </si>
  <si>
    <t xml:space="preserve">Wall shear</t>
  </si>
  <si>
    <t xml:space="preserve">factored resultant</t>
  </si>
  <si>
    <t xml:space="preserve">kN/m</t>
  </si>
  <si>
    <t xml:space="preserve">Wall Ast minimum</t>
  </si>
  <si>
    <t xml:space="preserve">Used as minimum criterion</t>
  </si>
  <si>
    <t xml:space="preserve">12Ø @200 each face</t>
  </si>
  <si>
    <t xml:space="preserve">Adopted main wall steel</t>
  </si>
  <si>
    <t xml:space="preserve">Wall steel status</t>
  </si>
  <si>
    <t xml:space="preserve">Provided ≥ minimum</t>
  </si>
  <si>
    <t xml:space="preserve">Shear stress top slab</t>
  </si>
  <si>
    <t xml:space="preserve">Vu/(b×d)</t>
  </si>
  <si>
    <t xml:space="preserve">N/mm²</t>
  </si>
  <si>
    <t xml:space="preserve">Adopted reinforcement</t>
  </si>
  <si>
    <t xml:space="preserve">Top/bottom slab: 12Ø@200 main + 10Ø@250 distribution; walls: 12Ø@200 vertical + 10Ø@250 horizontal, both faces</t>
  </si>
  <si>
    <t xml:space="preserve">See BBS</t>
  </si>
  <si>
    <t xml:space="preserve">50 mm nominal cover</t>
  </si>
  <si>
    <t xml:space="preserve">Mark</t>
  </si>
  <si>
    <t xml:space="preserve">Member / location</t>
  </si>
  <si>
    <t xml:space="preserve">Bar</t>
  </si>
  <si>
    <t xml:space="preserve">Spacing</t>
  </si>
  <si>
    <t xml:space="preserve">No.</t>
  </si>
  <si>
    <t xml:space="preserve">Cut length (m)</t>
  </si>
  <si>
    <t xml:space="preserve">Total length (m)</t>
  </si>
  <si>
    <t xml:space="preserve">Unit wt. kg/m</t>
  </si>
  <si>
    <t xml:space="preserve">Weight (kg)</t>
  </si>
  <si>
    <t xml:space="preserve">Remarks</t>
  </si>
  <si>
    <t xml:space="preserve">T1</t>
  </si>
  <si>
    <t xml:space="preserve">Top slab main — bottom</t>
  </si>
  <si>
    <t xml:space="preserve">12</t>
  </si>
  <si>
    <t xml:space="preserve">200 c/c</t>
  </si>
  <si>
    <t xml:space="preserve">Across width; both directions checked by frame design</t>
  </si>
  <si>
    <t xml:space="preserve">T2</t>
  </si>
  <si>
    <t xml:space="preserve">Top slab main — top</t>
  </si>
  <si>
    <t xml:space="preserve">T3</t>
  </si>
  <si>
    <t xml:space="preserve">Top slab distribution — bottom</t>
  </si>
  <si>
    <t xml:space="preserve">10</t>
  </si>
  <si>
    <t xml:space="preserve">250 c/c</t>
  </si>
  <si>
    <t xml:space="preserve">Longitudinal</t>
  </si>
  <si>
    <t xml:space="preserve">T4</t>
  </si>
  <si>
    <t xml:space="preserve">Top slab distribution — top</t>
  </si>
  <si>
    <t xml:space="preserve">B1</t>
  </si>
  <si>
    <t xml:space="preserve">Bottom slab main — top</t>
  </si>
  <si>
    <t xml:space="preserve">Across width</t>
  </si>
  <si>
    <t xml:space="preserve">B2</t>
  </si>
  <si>
    <t xml:space="preserve">Bottom slab main — bottom</t>
  </si>
  <si>
    <t xml:space="preserve">B3</t>
  </si>
  <si>
    <t xml:space="preserve">Bottom slab distribution — top</t>
  </si>
  <si>
    <t xml:space="preserve">B4</t>
  </si>
  <si>
    <t xml:space="preserve">Bottom slab distribution — bottom</t>
  </si>
  <si>
    <t xml:space="preserve">W1</t>
  </si>
  <si>
    <t xml:space="preserve">Side walls vertical — each face</t>
  </si>
  <si>
    <t xml:space="preserve">2 walls × 2 faces</t>
  </si>
  <si>
    <t xml:space="preserve">W2</t>
  </si>
  <si>
    <t xml:space="preserve">Side walls horizontal — each face</t>
  </si>
  <si>
    <t xml:space="preserve">C1</t>
  </si>
  <si>
    <t xml:space="preserve">Corner/U/L bars allowance</t>
  </si>
  <si>
    <t xml:space="preserve">—</t>
  </si>
  <si>
    <t xml:space="preserve">Allow 10% for laps/corners/chairs; final detailing by design engineer</t>
  </si>
  <si>
    <t xml:space="preserve">Basic BBS total</t>
  </si>
  <si>
    <t xml:space="preserve">Add 10% laps/corners/chairs</t>
  </si>
  <si>
    <t xml:space="preserve">Preliminary allowance</t>
  </si>
  <si>
    <t xml:space="preserve">Total steel for estimate</t>
  </si>
  <si>
    <t xml:space="preserve">Item code</t>
  </si>
  <si>
    <t xml:space="preserve">Description</t>
  </si>
  <si>
    <t xml:space="preserve">Base SSR 2025-26 (Rs.)</t>
  </si>
  <si>
    <t xml:space="preserve">Editable sand/other adjustment</t>
  </si>
  <si>
    <t xml:space="preserve">Finished rate used</t>
  </si>
  <si>
    <t xml:space="preserve">Source/basis</t>
  </si>
  <si>
    <t xml:space="preserve">IRR-CCDW-1-2</t>
  </si>
  <si>
    <t xml:space="preserve">Earthwork excavation in all kinds of soil, foundations of structures, depth up to 3 m</t>
  </si>
  <si>
    <t xml:space="preserve">cum</t>
  </si>
  <si>
    <t xml:space="preserve">AP WRD 2025-26</t>
  </si>
  <si>
    <t xml:space="preserve">IRR-CCDW-2-5</t>
  </si>
  <si>
    <t xml:space="preserve">M10 concrete, foundation filling, 80 mm down aggregate</t>
  </si>
  <si>
    <t xml:space="preserve">AP WRD 2025-26; sand adjustment editable</t>
  </si>
  <si>
    <t xml:space="preserve">IRR-CCDW-2-9</t>
  </si>
  <si>
    <t xml:space="preserve">M20 concrete, 20 mm aggregate, sub/superstructure</t>
  </si>
  <si>
    <t xml:space="preserve">IRR-CCDW-2-1</t>
  </si>
  <si>
    <t xml:space="preserve">Reinforcement steel for RCC works</t>
  </si>
  <si>
    <t xml:space="preserve">kg</t>
  </si>
  <si>
    <t xml:space="preserve">IRR-CCDW-7-2</t>
  </si>
  <si>
    <t xml:space="preserve">Murrum/gravely soil around pipes/foundation, 95% compaction</t>
  </si>
  <si>
    <t xml:space="preserve">NOTE</t>
  </si>
  <si>
    <t xml:space="preserve">Base rates are from AP WRD 2025-26 searchable copy; authenticated departmental copy should govern.</t>
  </si>
  <si>
    <t xml:space="preserve">Sand adjustment example</t>
  </si>
  <si>
    <t xml:space="preserve">184.98/cum concrete</t>
  </si>
  <si>
    <t xml:space="preserve">AP 2025-26 published example; replace with actual site-specific sand rate and lead.</t>
  </si>
  <si>
    <t xml:space="preserve">Sl.No.</t>
  </si>
  <si>
    <t xml:space="preserve">Quantity</t>
  </si>
  <si>
    <t xml:space="preserve">Rate (Rs.)</t>
  </si>
  <si>
    <t xml:space="preserve">Amount (Rs.)</t>
  </si>
  <si>
    <t xml:space="preserve">Earthwork excavation in all kinds of soil, depth up to 3 m</t>
  </si>
  <si>
    <t xml:space="preserve">Preliminary excavation envelope</t>
  </si>
  <si>
    <t xml:space="preserve">M10 levelling/foundation concrete</t>
  </si>
  <si>
    <t xml:space="preserve">100 mm PCC</t>
  </si>
  <si>
    <t xml:space="preserve">M20 RCC box concrete</t>
  </si>
  <si>
    <t xml:space="preserve">200 mm top/bottom/walls</t>
  </si>
  <si>
    <t xml:space="preserve">Fe500 reinforcement steel</t>
  </si>
  <si>
    <t xml:space="preserve">Includes preliminary 10% allowance</t>
  </si>
  <si>
    <t xml:space="preserve">Murrum/gravely soil backfilling around structure</t>
  </si>
  <si>
    <t xml:space="preserve">Assumes all excavation side volume is backfilled</t>
  </si>
  <si>
    <t xml:space="preserve">SUMMARY</t>
  </si>
  <si>
    <t xml:space="preserve">Sub-total before GST</t>
  </si>
  <si>
    <t xml:space="preserve">GST %</t>
  </si>
  <si>
    <t xml:space="preserve">GST amount</t>
  </si>
  <si>
    <t xml:space="preserve">Grand total incl. GST</t>
  </si>
  <si>
    <t xml:space="preserve">Rate per metre of culvert</t>
  </si>
  <si>
    <t xml:space="preserve">GENERAL ARRANGEMENT DRAWING — SINGLE CELL RCC BOX CULVERT</t>
  </si>
  <si>
    <t xml:space="preserve">1200 × 1500 mm</t>
  </si>
  <si>
    <t xml:space="preserve">Wall/slab</t>
  </si>
  <si>
    <t xml:space="preserve">200 mm</t>
  </si>
  <si>
    <t xml:space="preserve">Length</t>
  </si>
  <si>
    <t xml:space="preserve">10,000 mm</t>
  </si>
  <si>
    <t xml:space="preserve">PCC</t>
  </si>
  <si>
    <t xml:space="preserve">100 mm</t>
  </si>
  <si>
    <t xml:space="preserve">12Ø @ 200 c/c main + 10Ø @ 250 c/c distribution; both faces as detailed</t>
  </si>
  <si>
    <t xml:space="preserve">Drawing status</t>
  </si>
  <si>
    <t xml:space="preserve">Preliminary schematic. Final GFC drawing to incorporate hydraulic details, wing/head walls, aprons, cut-offs, skew, road profile and approved reinforcement detailing.</t>
  </si>
  <si>
    <t xml:space="preserve">Topic</t>
  </si>
  <si>
    <t xml:space="preserve">Note</t>
  </si>
  <si>
    <t xml:space="preserve">Codes</t>
  </si>
  <si>
    <t xml:space="preserve">IRC:SP:13-2022 gives guidance for small bridges/culverts and states box-cell structures may be designed as per IRC:112. IRC:112-2020 is the concrete road bridge design code.</t>
  </si>
  <si>
    <t xml:space="preserve">Loads</t>
  </si>
  <si>
    <t xml:space="preserve">If the culvert carries a public road, actual IRC:6 vehicular loading/classification must be established. The preliminary sheet uses 10 kPa surcharge only as an interim design assumption.</t>
  </si>
  <si>
    <t xml:space="preserve">Seismic</t>
  </si>
  <si>
    <t xml:space="preserve">IRC:6-2017 exempts culverts/minor bridges up to 10 m span from seismic-effect checks; confirm applicability to the exact geometry and current amendments.</t>
  </si>
  <si>
    <t xml:space="preserve">Hydraulics</t>
  </si>
  <si>
    <t xml:space="preserve">Opening 1.20 × 1.50 m must be validated from design discharge, HFL, afflux, velocity, inlet/outlet losses and freeboard. Structural adequacy does not establish hydraulic adequacy.</t>
  </si>
  <si>
    <t xml:space="preserve">Foundation</t>
  </si>
  <si>
    <t xml:space="preserve">SBC, settlement, groundwater, scour and founding stratum are not supplied. Foundation treatment and cut-off details therefore remain provisional.</t>
  </si>
  <si>
    <t xml:space="preserve">Durability</t>
  </si>
  <si>
    <t xml:space="preserve">50 mm nominal cover is adopted provisionally. Confirm exposure class and project specification before GFC.</t>
  </si>
  <si>
    <t xml:space="preserve">Concrete</t>
  </si>
  <si>
    <t xml:space="preserve">M20 is adopted for RCC box in this preliminary workbook. Verify current project specification/departmental requirement.</t>
  </si>
  <si>
    <t xml:space="preserve">SSR</t>
  </si>
  <si>
    <t xml:space="preserve">AP WRD SoR 2025-26 is effective from 01-06-2025. Rates are excluding GST and site-specific lead/lift/seigniorage adjustments must be added as applicable.</t>
  </si>
  <si>
    <t xml:space="preserve">Sand</t>
  </si>
  <si>
    <t xml:space="preserve">AP 2025-26 guidance provides a method for adding sand cost/lead to concrete rates. The workbook contains an editable provisional sand adjustment of Rs.184.98/m³ concrete based on the published example; replace it with the actual approved site calculation.</t>
  </si>
  <si>
    <t xml:space="preserve">Estimate scope</t>
  </si>
  <si>
    <t xml:space="preserve">This estimate covers the 10 m box barrel, PCC, excavation, reinforcement and provisional backfill. Headwalls, wing walls, aprons, pitching, flooring/cut-offs, road work, dewatering, diversion and special leads/lifts are excluded unless separately added.</t>
  </si>
  <si>
    <t xml:space="preserve">Approval</t>
  </si>
  <si>
    <t xml:space="preserve">For departmental use, the final design should be vetted/approved by the competent WRD design authority and checked against the authenticated AP WRD Standard Data/SSR applicable to the estimate date.</t>
  </si>
  <si>
    <t xml:space="preserve">Web references used</t>
  </si>
  <si>
    <t xml:space="preserve">AP WRD 2025-26 Standard Data / SoR</t>
  </si>
  <si>
    <t xml:space="preserve">https://www.scribd.com/document/899330560/Std-Data-2025-26</t>
  </si>
  <si>
    <t xml:space="preserve">IRC:SP:13-2022</t>
  </si>
  <si>
    <t xml:space="preserve">https://www.scribd.com/document/891003633/IRC-SP-013-2022-Guidelines-for-the-Design-of-Small-Bridges-and-Culverts-1</t>
  </si>
  <si>
    <t xml:space="preserve">IRC:6-2017</t>
  </si>
  <si>
    <t xml:space="preserve">https://studylib.net/doc/25888084/irc.gov.in.006.2017</t>
  </si>
  <si>
    <t xml:space="preserve">IRC:112-2020</t>
  </si>
  <si>
    <t xml:space="preserve">https://studylib.net/doc/27670154/irc.gov.in.112.2020</t>
  </si>
  <si>
    <t xml:space="preserve">IS 456:2000</t>
  </si>
  <si>
    <t xml:space="preserve">https://law.resource.org/pub/in/bis/S03/is.456.2000.pdf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</si>
</sst>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5"/>
      <color rgb="FFFFFFFF"/>
      <name val="Cambria"/>
      <family val="0"/>
      <charset val="1"/>
    </font>
    <font>
      <sz val="12"/>
      <color theme="1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E2F0D9"/>
      </patternFill>
    </fill>
    <fill>
      <patternFill patternType="solid">
        <fgColor rgb="FFE2F0D9"/>
        <bgColor rgb="FFD9EAF7"/>
      </patternFill>
    </fill>
    <fill>
      <patternFill patternType="solid">
        <fgColor rgb="FFD9EAF7"/>
        <bgColor rgb="FFE2F0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8</xdr:row>
      <xdr:rowOff>186840</xdr:rowOff>
    </xdr:from>
    <xdr:to>
      <xdr:col>25</xdr:col>
      <xdr:colOff>108360</xdr:colOff>
      <xdr:row>43</xdr:row>
      <xdr:rowOff>59040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2095560"/>
          <a:ext cx="20230920" cy="7391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www.scribd.com/document/899330560/Std-Data-2025-26" TargetMode="External"/><Relationship Id="rId2" Type="http://schemas.openxmlformats.org/officeDocument/2006/relationships/hyperlink" Target="https://www.scribd.com/document/891003633/IRC-SP-013-2022-Guidelines-for-the-Design-of-Small-Bridges-and-Culverts-1" TargetMode="External"/><Relationship Id="rId3" Type="http://schemas.openxmlformats.org/officeDocument/2006/relationships/hyperlink" Target="https://studylib.net/doc/25888084/irc.gov.in.006.2017" TargetMode="External"/><Relationship Id="rId4" Type="http://schemas.openxmlformats.org/officeDocument/2006/relationships/hyperlink" Target="https://studylib.net/doc/27670154/irc.gov.in.112.2020" TargetMode="External"/><Relationship Id="rId5" Type="http://schemas.openxmlformats.org/officeDocument/2006/relationships/hyperlink" Target="https://law.resource.org/pub/in/bis/S03/is.456.2000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100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15" hidden="false" customHeight="false" outlineLevel="0" collapsed="false">
      <c r="A3" s="2" t="s">
        <v>1</v>
      </c>
      <c r="B3" s="3" t="s">
        <v>2</v>
      </c>
    </row>
    <row r="4" customFormat="false" ht="15" hidden="false" customHeight="false" outlineLevel="0" collapsed="false">
      <c r="A4" s="2" t="s">
        <v>3</v>
      </c>
      <c r="B4" s="3" t="s">
        <v>4</v>
      </c>
    </row>
    <row r="5" customFormat="false" ht="15" hidden="false" customHeight="false" outlineLevel="0" collapsed="false">
      <c r="A5" s="2" t="s">
        <v>5</v>
      </c>
      <c r="B5" s="3" t="s">
        <v>6</v>
      </c>
    </row>
    <row r="6" customFormat="false" ht="15" hidden="false" customHeight="false" outlineLevel="0" collapsed="false">
      <c r="A6" s="2" t="s">
        <v>7</v>
      </c>
      <c r="B6" s="3" t="s">
        <v>8</v>
      </c>
    </row>
    <row r="7" customFormat="false" ht="15" hidden="false" customHeight="false" outlineLevel="0" collapsed="false">
      <c r="A7" s="2" t="s">
        <v>9</v>
      </c>
      <c r="B7" s="3" t="s">
        <v>10</v>
      </c>
    </row>
    <row r="8" customFormat="false" ht="15" hidden="false" customHeight="false" outlineLevel="0" collapsed="false">
      <c r="A8" s="2"/>
      <c r="B8" s="3"/>
    </row>
    <row r="9" customFormat="false" ht="15" hidden="false" customHeight="false" outlineLevel="0" collapsed="false">
      <c r="A9" s="2" t="s">
        <v>11</v>
      </c>
      <c r="B9" s="3" t="s">
        <v>12</v>
      </c>
    </row>
    <row r="10" customFormat="false" ht="15" hidden="false" customHeight="false" outlineLevel="0" collapsed="false">
      <c r="A10" s="2"/>
      <c r="B10" s="3"/>
    </row>
    <row r="11" customFormat="false" ht="54.75" hidden="false" customHeight="true" outlineLevel="0" collapsed="false">
      <c r="A11" s="4" t="s">
        <v>13</v>
      </c>
      <c r="B11" s="5" t="s">
        <v>14</v>
      </c>
    </row>
    <row r="12" customFormat="false" ht="15" hidden="false" customHeight="false" outlineLevel="0" collapsed="false">
      <c r="A12" s="2"/>
      <c r="B12" s="3"/>
    </row>
    <row r="13" customFormat="false" ht="15" hidden="false" customHeight="false" outlineLevel="0" collapsed="false">
      <c r="A13" s="2" t="s">
        <v>15</v>
      </c>
      <c r="B13" s="3" t="s">
        <v>16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5"/>
    <col collapsed="false" customWidth="true" hidden="false" outlineLevel="0" max="3" min="3" style="0" width="16"/>
    <col collapsed="false" customWidth="true" hidden="false" outlineLevel="0" max="4" min="4" style="0" width="72"/>
  </cols>
  <sheetData>
    <row r="1" customFormat="false" ht="15" hidden="false" customHeight="false" outlineLevel="0" collapsed="false">
      <c r="A1" s="6" t="s">
        <v>17</v>
      </c>
      <c r="B1" s="6" t="s">
        <v>18</v>
      </c>
      <c r="C1" s="6" t="s">
        <v>19</v>
      </c>
      <c r="D1" s="6" t="s">
        <v>20</v>
      </c>
    </row>
    <row r="2" customFormat="false" ht="15" hidden="false" customHeight="false" outlineLevel="0" collapsed="false">
      <c r="A2" s="7" t="s">
        <v>21</v>
      </c>
      <c r="B2" s="7" t="n">
        <v>1.2</v>
      </c>
      <c r="C2" s="7" t="s">
        <v>22</v>
      </c>
      <c r="D2" s="7" t="s">
        <v>23</v>
      </c>
    </row>
    <row r="3" customFormat="false" ht="15" hidden="false" customHeight="false" outlineLevel="0" collapsed="false">
      <c r="A3" s="7" t="s">
        <v>24</v>
      </c>
      <c r="B3" s="7" t="n">
        <v>1.5</v>
      </c>
      <c r="C3" s="7" t="s">
        <v>22</v>
      </c>
      <c r="D3" s="7" t="s">
        <v>23</v>
      </c>
    </row>
    <row r="4" customFormat="false" ht="15" hidden="false" customHeight="false" outlineLevel="0" collapsed="false">
      <c r="A4" s="7" t="s">
        <v>25</v>
      </c>
      <c r="B4" s="7" t="n">
        <v>10</v>
      </c>
      <c r="C4" s="7" t="s">
        <v>22</v>
      </c>
      <c r="D4" s="7" t="s">
        <v>23</v>
      </c>
    </row>
    <row r="5" customFormat="false" ht="15" hidden="false" customHeight="false" outlineLevel="0" collapsed="false">
      <c r="A5" s="7" t="s">
        <v>26</v>
      </c>
      <c r="B5" s="7" t="n">
        <v>0.2</v>
      </c>
      <c r="C5" s="7" t="s">
        <v>22</v>
      </c>
      <c r="D5" s="7" t="s">
        <v>27</v>
      </c>
    </row>
    <row r="6" customFormat="false" ht="15" hidden="false" customHeight="false" outlineLevel="0" collapsed="false">
      <c r="A6" s="7" t="s">
        <v>28</v>
      </c>
      <c r="B6" s="7" t="n">
        <v>0.1</v>
      </c>
      <c r="C6" s="7" t="s">
        <v>22</v>
      </c>
      <c r="D6" s="7" t="s">
        <v>29</v>
      </c>
    </row>
    <row r="7" customFormat="false" ht="15" hidden="false" customHeight="false" outlineLevel="0" collapsed="false">
      <c r="A7" s="7" t="s">
        <v>30</v>
      </c>
      <c r="B7" s="7" t="n">
        <v>0.6</v>
      </c>
      <c r="C7" s="7" t="s">
        <v>22</v>
      </c>
      <c r="D7" s="7" t="s">
        <v>31</v>
      </c>
    </row>
    <row r="8" customFormat="false" ht="15" hidden="false" customHeight="false" outlineLevel="0" collapsed="false">
      <c r="A8" s="7" t="s">
        <v>32</v>
      </c>
      <c r="B8" s="7" t="n">
        <v>18</v>
      </c>
      <c r="C8" s="7" t="s">
        <v>33</v>
      </c>
      <c r="D8" s="7" t="s">
        <v>34</v>
      </c>
    </row>
    <row r="9" customFormat="false" ht="28.35" hidden="false" customHeight="false" outlineLevel="0" collapsed="false">
      <c r="A9" s="7" t="s">
        <v>35</v>
      </c>
      <c r="B9" s="8" t="n">
        <v>0.333333333333333</v>
      </c>
      <c r="C9" s="7" t="s">
        <v>36</v>
      </c>
      <c r="D9" s="7" t="s">
        <v>37</v>
      </c>
    </row>
    <row r="10" customFormat="false" ht="15" hidden="false" customHeight="false" outlineLevel="0" collapsed="false">
      <c r="A10" s="7" t="s">
        <v>38</v>
      </c>
      <c r="B10" s="7" t="n">
        <v>10</v>
      </c>
      <c r="C10" s="7" t="s">
        <v>39</v>
      </c>
      <c r="D10" s="7" t="s">
        <v>40</v>
      </c>
    </row>
    <row r="11" customFormat="false" ht="15" hidden="false" customHeight="false" outlineLevel="0" collapsed="false">
      <c r="A11" s="7" t="s">
        <v>41</v>
      </c>
      <c r="B11" s="7" t="s">
        <v>42</v>
      </c>
      <c r="C11" s="7" t="s">
        <v>36</v>
      </c>
      <c r="D11" s="7" t="s">
        <v>43</v>
      </c>
    </row>
    <row r="12" customFormat="false" ht="15" hidden="false" customHeight="false" outlineLevel="0" collapsed="false">
      <c r="A12" s="7" t="s">
        <v>44</v>
      </c>
      <c r="B12" s="7" t="s">
        <v>45</v>
      </c>
      <c r="C12" s="7" t="s">
        <v>36</v>
      </c>
      <c r="D12" s="7" t="s">
        <v>46</v>
      </c>
    </row>
    <row r="13" customFormat="false" ht="15" hidden="false" customHeight="false" outlineLevel="0" collapsed="false">
      <c r="A13" s="7" t="s">
        <v>47</v>
      </c>
      <c r="B13" s="7" t="n">
        <v>50</v>
      </c>
      <c r="C13" s="7" t="s">
        <v>48</v>
      </c>
      <c r="D13" s="7" t="s">
        <v>49</v>
      </c>
    </row>
    <row r="14" customFormat="false" ht="15" hidden="false" customHeight="false" outlineLevel="0" collapsed="false">
      <c r="A14" s="7" t="s">
        <v>50</v>
      </c>
      <c r="B14" s="7" t="n">
        <v>25</v>
      </c>
      <c r="C14" s="7" t="s">
        <v>33</v>
      </c>
      <c r="D14" s="7" t="s">
        <v>51</v>
      </c>
    </row>
    <row r="15" customFormat="false" ht="15" hidden="false" customHeight="false" outlineLevel="0" collapsed="false">
      <c r="A15" s="7" t="s">
        <v>52</v>
      </c>
      <c r="B15" s="7" t="n">
        <v>7850</v>
      </c>
      <c r="C15" s="7" t="s">
        <v>53</v>
      </c>
      <c r="D15" s="7" t="s">
        <v>54</v>
      </c>
    </row>
    <row r="16" customFormat="false" ht="15" hidden="false" customHeight="false" outlineLevel="0" collapsed="false">
      <c r="A16" s="7" t="s">
        <v>55</v>
      </c>
      <c r="B16" s="7" t="n">
        <v>18</v>
      </c>
      <c r="C16" s="7" t="s">
        <v>56</v>
      </c>
      <c r="D16" s="7" t="s">
        <v>57</v>
      </c>
    </row>
    <row r="17" customFormat="false" ht="28.35" hidden="false" customHeight="false" outlineLevel="0" collapsed="false">
      <c r="A17" s="7" t="s">
        <v>58</v>
      </c>
      <c r="B17" s="7" t="n">
        <v>184.98</v>
      </c>
      <c r="C17" s="7" t="s">
        <v>59</v>
      </c>
      <c r="D17" s="7" t="s">
        <v>60</v>
      </c>
    </row>
    <row r="18" customFormat="false" ht="28.35" hidden="false" customHeight="false" outlineLevel="0" collapsed="false">
      <c r="A18" s="7" t="s">
        <v>61</v>
      </c>
      <c r="B18" s="7" t="s">
        <v>62</v>
      </c>
      <c r="C18" s="7" t="s">
        <v>36</v>
      </c>
      <c r="D18" s="7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2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6" t="s">
        <v>64</v>
      </c>
      <c r="B1" s="6" t="s">
        <v>65</v>
      </c>
      <c r="C1" s="6" t="s">
        <v>66</v>
      </c>
      <c r="D1" s="6" t="s">
        <v>19</v>
      </c>
      <c r="E1" s="6" t="s">
        <v>67</v>
      </c>
    </row>
    <row r="2" customFormat="false" ht="15" hidden="false" customHeight="false" outlineLevel="0" collapsed="false">
      <c r="A2" s="7" t="s">
        <v>68</v>
      </c>
      <c r="B2" s="7" t="s">
        <v>69</v>
      </c>
      <c r="C2" s="7" t="n">
        <f aca="false">Inputs!B2+2*Inputs!B5</f>
        <v>1.6</v>
      </c>
      <c r="D2" s="7" t="s">
        <v>22</v>
      </c>
      <c r="E2" s="7"/>
    </row>
    <row r="3" customFormat="false" ht="15" hidden="false" customHeight="false" outlineLevel="0" collapsed="false">
      <c r="A3" s="7" t="s">
        <v>70</v>
      </c>
      <c r="B3" s="7" t="s">
        <v>71</v>
      </c>
      <c r="C3" s="7" t="n">
        <f aca="false">Inputs!B3+2*Inputs!B5</f>
        <v>1.9</v>
      </c>
      <c r="D3" s="7" t="s">
        <v>22</v>
      </c>
      <c r="E3" s="7"/>
    </row>
    <row r="4" customFormat="false" ht="15" hidden="false" customHeight="false" outlineLevel="0" collapsed="false">
      <c r="A4" s="7" t="s">
        <v>72</v>
      </c>
      <c r="B4" s="7" t="s">
        <v>73</v>
      </c>
      <c r="C4" s="7" t="n">
        <f aca="false">((Inputs!B2+2*Inputs!B5)*(Inputs!B3+2*Inputs!B5)-Inputs!B2*Inputs!B3)*Inputs!B4</f>
        <v>12.4</v>
      </c>
      <c r="D4" s="7" t="s">
        <v>74</v>
      </c>
      <c r="E4" s="7" t="s">
        <v>75</v>
      </c>
    </row>
    <row r="5" customFormat="false" ht="15" hidden="false" customHeight="false" outlineLevel="0" collapsed="false">
      <c r="A5" s="7" t="s">
        <v>76</v>
      </c>
      <c r="B5" s="7" t="s">
        <v>77</v>
      </c>
      <c r="C5" s="7" t="n">
        <f aca="false">(Inputs!B2+2*Inputs!B5)*Inputs!B6*Inputs!B4</f>
        <v>1.6</v>
      </c>
      <c r="D5" s="7" t="s">
        <v>74</v>
      </c>
      <c r="E5" s="7"/>
    </row>
    <row r="6" customFormat="false" ht="15" hidden="false" customHeight="false" outlineLevel="0" collapsed="false">
      <c r="A6" s="7" t="s">
        <v>78</v>
      </c>
      <c r="B6" s="7" t="s">
        <v>79</v>
      </c>
      <c r="C6" s="7" t="n">
        <f aca="false">Inputs!B5*Inputs!B14</f>
        <v>5</v>
      </c>
      <c r="D6" s="7" t="s">
        <v>39</v>
      </c>
      <c r="E6" s="7" t="s">
        <v>80</v>
      </c>
    </row>
    <row r="7" customFormat="false" ht="15" hidden="false" customHeight="false" outlineLevel="0" collapsed="false">
      <c r="A7" s="7" t="s">
        <v>81</v>
      </c>
      <c r="B7" s="7" t="s">
        <v>82</v>
      </c>
      <c r="C7" s="7" t="n">
        <f aca="false">Inputs!B7*Inputs!B8</f>
        <v>10.8</v>
      </c>
      <c r="D7" s="7" t="s">
        <v>39</v>
      </c>
      <c r="E7" s="7"/>
    </row>
    <row r="8" customFormat="false" ht="15" hidden="false" customHeight="false" outlineLevel="0" collapsed="false">
      <c r="A8" s="7" t="s">
        <v>83</v>
      </c>
      <c r="B8" s="7" t="s">
        <v>84</v>
      </c>
      <c r="C8" s="7" t="n">
        <f aca="false">Inputs!B10</f>
        <v>10</v>
      </c>
      <c r="D8" s="7" t="s">
        <v>39</v>
      </c>
      <c r="E8" s="7" t="s">
        <v>85</v>
      </c>
    </row>
    <row r="9" customFormat="false" ht="15" hidden="false" customHeight="false" outlineLevel="0" collapsed="false">
      <c r="A9" s="7" t="s">
        <v>86</v>
      </c>
      <c r="B9" s="7" t="s">
        <v>87</v>
      </c>
      <c r="C9" s="7" t="n">
        <f aca="false">C6+C7+C8</f>
        <v>25.8</v>
      </c>
      <c r="D9" s="7" t="s">
        <v>39</v>
      </c>
      <c r="E9" s="7"/>
    </row>
    <row r="10" customFormat="false" ht="15" hidden="false" customHeight="false" outlineLevel="0" collapsed="false">
      <c r="A10" s="7" t="s">
        <v>88</v>
      </c>
      <c r="B10" s="7" t="s">
        <v>89</v>
      </c>
      <c r="C10" s="7" t="n">
        <f aca="false">1.5*C9</f>
        <v>38.7</v>
      </c>
      <c r="D10" s="7" t="s">
        <v>39</v>
      </c>
      <c r="E10" s="7" t="s">
        <v>90</v>
      </c>
    </row>
    <row r="11" customFormat="false" ht="15" hidden="false" customHeight="false" outlineLevel="0" collapsed="false">
      <c r="A11" s="7" t="s">
        <v>91</v>
      </c>
      <c r="B11" s="7" t="s">
        <v>92</v>
      </c>
      <c r="C11" s="7" t="n">
        <f aca="false">C10*Inputs!B2^2/8</f>
        <v>6.966</v>
      </c>
      <c r="D11" s="7" t="s">
        <v>93</v>
      </c>
      <c r="E11" s="7" t="s">
        <v>94</v>
      </c>
    </row>
    <row r="12" customFormat="false" ht="15" hidden="false" customHeight="false" outlineLevel="0" collapsed="false">
      <c r="A12" s="7" t="s">
        <v>95</v>
      </c>
      <c r="B12" s="7" t="s">
        <v>96</v>
      </c>
      <c r="C12" s="7" t="n">
        <f aca="false">Inputs!B5-Inputs!B13/1000-0.006</f>
        <v>0.144</v>
      </c>
      <c r="D12" s="7" t="s">
        <v>22</v>
      </c>
      <c r="E12" s="7" t="s">
        <v>97</v>
      </c>
    </row>
    <row r="13" customFormat="false" ht="15" hidden="false" customHeight="false" outlineLevel="0" collapsed="false">
      <c r="A13" s="7" t="s">
        <v>98</v>
      </c>
      <c r="B13" s="7" t="s">
        <v>99</v>
      </c>
      <c r="C13" s="7" t="n">
        <f aca="false">C11*10^6/(0.87*500*0.9*C12*1000)</f>
        <v>123.563218390805</v>
      </c>
      <c r="D13" s="7" t="s">
        <v>100</v>
      </c>
      <c r="E13" s="7" t="s">
        <v>101</v>
      </c>
    </row>
    <row r="14" customFormat="false" ht="15" hidden="false" customHeight="false" outlineLevel="0" collapsed="false">
      <c r="A14" s="7" t="s">
        <v>102</v>
      </c>
      <c r="B14" s="7" t="s">
        <v>103</v>
      </c>
      <c r="C14" s="7" t="n">
        <f aca="false">0.0012*1000*Inputs!B5*1000</f>
        <v>240</v>
      </c>
      <c r="D14" s="7" t="s">
        <v>100</v>
      </c>
      <c r="E14" s="7" t="s">
        <v>104</v>
      </c>
    </row>
    <row r="15" customFormat="false" ht="15" hidden="false" customHeight="false" outlineLevel="0" collapsed="false">
      <c r="A15" s="7" t="s">
        <v>105</v>
      </c>
      <c r="B15" s="7" t="s">
        <v>106</v>
      </c>
      <c r="C15" s="7" t="n">
        <f aca="false">PI()*12^2/4*1000/200</f>
        <v>565.486677646163</v>
      </c>
      <c r="D15" s="7" t="s">
        <v>100</v>
      </c>
      <c r="E15" s="7" t="s">
        <v>107</v>
      </c>
    </row>
    <row r="16" customFormat="false" ht="15" hidden="false" customHeight="false" outlineLevel="0" collapsed="false">
      <c r="A16" s="7" t="s">
        <v>108</v>
      </c>
      <c r="B16" s="7" t="s">
        <v>109</v>
      </c>
      <c r="C16" s="9" t="str">
        <f aca="false">IF(C15&gt;=MAX(C13,C14),"OK","REVISE")</f>
        <v>OK</v>
      </c>
      <c r="D16" s="7" t="s">
        <v>36</v>
      </c>
      <c r="E16" s="7"/>
    </row>
    <row r="17" customFormat="false" ht="15" hidden="false" customHeight="false" outlineLevel="0" collapsed="false">
      <c r="A17" s="7" t="s">
        <v>110</v>
      </c>
      <c r="B17" s="7" t="s">
        <v>111</v>
      </c>
      <c r="C17" s="7" t="n">
        <f aca="false">Inputs!B9*(Inputs!B8*Inputs!B3+Inputs!B10)</f>
        <v>12.3333333333333</v>
      </c>
      <c r="D17" s="7" t="s">
        <v>39</v>
      </c>
      <c r="E17" s="7" t="s">
        <v>112</v>
      </c>
    </row>
    <row r="18" customFormat="false" ht="15" hidden="false" customHeight="false" outlineLevel="0" collapsed="false">
      <c r="A18" s="7" t="s">
        <v>113</v>
      </c>
      <c r="B18" s="7" t="s">
        <v>114</v>
      </c>
      <c r="C18" s="7" t="e">
        <f aca="false">1.5*C16</f>
        <v>#VALUE!</v>
      </c>
      <c r="D18" s="7" t="s">
        <v>39</v>
      </c>
      <c r="E18" s="7"/>
    </row>
    <row r="19" customFormat="false" ht="15" hidden="false" customHeight="false" outlineLevel="0" collapsed="false">
      <c r="A19" s="7" t="s">
        <v>115</v>
      </c>
      <c r="B19" s="7" t="s">
        <v>116</v>
      </c>
      <c r="C19" s="7" t="n">
        <f aca="false">1.5*(Inputs!B9*Inputs!B8*Inputs!B3^3/6 + Inputs!B9*Inputs!B10*Inputs!B3^2/2)</f>
        <v>10.6875</v>
      </c>
      <c r="D19" s="7" t="s">
        <v>93</v>
      </c>
      <c r="E19" s="7" t="s">
        <v>117</v>
      </c>
    </row>
    <row r="20" customFormat="false" ht="15" hidden="false" customHeight="false" outlineLevel="0" collapsed="false">
      <c r="A20" s="7" t="s">
        <v>118</v>
      </c>
      <c r="B20" s="7" t="s">
        <v>119</v>
      </c>
      <c r="C20" s="7" t="n">
        <f aca="false">1.5*(Inputs!B9*(0.5*Inputs!B8*Inputs!B3^2+Inputs!B10*Inputs!B3))</f>
        <v>17.625</v>
      </c>
      <c r="D20" s="7" t="s">
        <v>120</v>
      </c>
      <c r="E20" s="7" t="s">
        <v>85</v>
      </c>
    </row>
    <row r="21" customFormat="false" ht="15" hidden="false" customHeight="false" outlineLevel="0" collapsed="false">
      <c r="A21" s="7" t="s">
        <v>121</v>
      </c>
      <c r="B21" s="7" t="s">
        <v>103</v>
      </c>
      <c r="C21" s="7" t="n">
        <f aca="false">0.0012*1000*Inputs!B5*1000</f>
        <v>240</v>
      </c>
      <c r="D21" s="7" t="s">
        <v>100</v>
      </c>
      <c r="E21" s="7" t="s">
        <v>122</v>
      </c>
    </row>
    <row r="22" customFormat="false" ht="15" hidden="false" customHeight="false" outlineLevel="0" collapsed="false">
      <c r="A22" s="7" t="s">
        <v>123</v>
      </c>
      <c r="B22" s="7" t="s">
        <v>106</v>
      </c>
      <c r="C22" s="9" t="n">
        <f aca="false">PI()*12^2/4*1000/200</f>
        <v>565.486677646163</v>
      </c>
      <c r="D22" s="7" t="s">
        <v>100</v>
      </c>
      <c r="E22" s="7" t="s">
        <v>124</v>
      </c>
    </row>
    <row r="23" customFormat="false" ht="15" hidden="false" customHeight="false" outlineLevel="0" collapsed="false">
      <c r="A23" s="7" t="s">
        <v>125</v>
      </c>
      <c r="B23" s="7" t="s">
        <v>126</v>
      </c>
      <c r="C23" s="7" t="str">
        <f aca="false">IF(C21&gt;=C20,"OK","REVISE")</f>
        <v>OK</v>
      </c>
      <c r="D23" s="7" t="s">
        <v>36</v>
      </c>
      <c r="E23" s="7"/>
    </row>
    <row r="24" customFormat="false" ht="15" hidden="false" customHeight="false" outlineLevel="0" collapsed="false">
      <c r="A24" s="7" t="s">
        <v>127</v>
      </c>
      <c r="B24" s="7" t="s">
        <v>128</v>
      </c>
      <c r="C24" s="7" t="n">
        <f aca="false">(C10*Inputs!B2/2)*1000/(1000*C12*1000)</f>
        <v>0.16125</v>
      </c>
      <c r="D24" s="7" t="s">
        <v>129</v>
      </c>
      <c r="E24" s="7" t="s">
        <v>85</v>
      </c>
    </row>
    <row r="25" customFormat="false" ht="41.75" hidden="false" customHeight="false" outlineLevel="0" collapsed="false">
      <c r="A25" s="7" t="s">
        <v>130</v>
      </c>
      <c r="B25" s="7" t="s">
        <v>131</v>
      </c>
      <c r="C25" s="7" t="s">
        <v>132</v>
      </c>
      <c r="D25" s="7" t="s">
        <v>36</v>
      </c>
      <c r="E25" s="7" t="s">
        <v>133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2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5" min="5" style="0" width="10"/>
    <col collapsed="false" customWidth="true" hidden="false" outlineLevel="0" max="7" min="6" style="0" width="18"/>
    <col collapsed="false" customWidth="true" hidden="false" outlineLevel="0" max="9" min="8" style="0" width="16"/>
    <col collapsed="false" customWidth="true" hidden="false" outlineLevel="0" max="10" min="10" style="0" width="55"/>
  </cols>
  <sheetData>
    <row r="1" customFormat="false" ht="15" hidden="false" customHeight="false" outlineLevel="0" collapsed="false">
      <c r="A1" s="6" t="s">
        <v>134</v>
      </c>
      <c r="B1" s="6" t="s">
        <v>135</v>
      </c>
      <c r="C1" s="6" t="s">
        <v>136</v>
      </c>
      <c r="D1" s="6" t="s">
        <v>137</v>
      </c>
      <c r="E1" s="6" t="s">
        <v>138</v>
      </c>
      <c r="F1" s="6" t="s">
        <v>139</v>
      </c>
      <c r="G1" s="6" t="s">
        <v>140</v>
      </c>
      <c r="H1" s="6" t="s">
        <v>141</v>
      </c>
      <c r="I1" s="6" t="s">
        <v>142</v>
      </c>
      <c r="J1" s="6" t="s">
        <v>143</v>
      </c>
    </row>
    <row r="2" customFormat="false" ht="15" hidden="false" customHeight="false" outlineLevel="0" collapsed="false">
      <c r="A2" s="7" t="s">
        <v>144</v>
      </c>
      <c r="B2" s="7" t="s">
        <v>145</v>
      </c>
      <c r="C2" s="7" t="s">
        <v>146</v>
      </c>
      <c r="D2" s="7" t="s">
        <v>147</v>
      </c>
      <c r="E2" s="10" t="n">
        <v>51</v>
      </c>
      <c r="F2" s="10" t="n">
        <v>1.5</v>
      </c>
      <c r="G2" s="7" t="n">
        <f aca="false">E2*F2</f>
        <v>76.5</v>
      </c>
      <c r="H2" s="10" t="n">
        <v>0.888</v>
      </c>
      <c r="I2" s="7" t="n">
        <f aca="false">G2*H2</f>
        <v>67.932</v>
      </c>
      <c r="J2" s="7" t="s">
        <v>148</v>
      </c>
    </row>
    <row r="3" customFormat="false" ht="15" hidden="false" customHeight="false" outlineLevel="0" collapsed="false">
      <c r="A3" s="7" t="s">
        <v>149</v>
      </c>
      <c r="B3" s="7" t="s">
        <v>150</v>
      </c>
      <c r="C3" s="7" t="s">
        <v>146</v>
      </c>
      <c r="D3" s="7" t="s">
        <v>147</v>
      </c>
      <c r="E3" s="10" t="n">
        <v>51</v>
      </c>
      <c r="F3" s="10" t="n">
        <v>1.5</v>
      </c>
      <c r="G3" s="7" t="n">
        <f aca="false">E3*F3</f>
        <v>76.5</v>
      </c>
      <c r="H3" s="10" t="n">
        <v>0.888</v>
      </c>
      <c r="I3" s="7" t="n">
        <f aca="false">G3*H3</f>
        <v>67.932</v>
      </c>
      <c r="J3" s="7"/>
    </row>
    <row r="4" customFormat="false" ht="15" hidden="false" customHeight="false" outlineLevel="0" collapsed="false">
      <c r="A4" s="7" t="s">
        <v>151</v>
      </c>
      <c r="B4" s="7" t="s">
        <v>152</v>
      </c>
      <c r="C4" s="7" t="s">
        <v>153</v>
      </c>
      <c r="D4" s="7" t="s">
        <v>154</v>
      </c>
      <c r="E4" s="10" t="n">
        <v>7</v>
      </c>
      <c r="F4" s="10" t="n">
        <v>9.9</v>
      </c>
      <c r="G4" s="7" t="n">
        <f aca="false">E4*F4</f>
        <v>69.3</v>
      </c>
      <c r="H4" s="10" t="n">
        <v>0.617</v>
      </c>
      <c r="I4" s="7" t="n">
        <f aca="false">G4*H4</f>
        <v>42.7581</v>
      </c>
      <c r="J4" s="7" t="s">
        <v>155</v>
      </c>
    </row>
    <row r="5" customFormat="false" ht="15" hidden="false" customHeight="false" outlineLevel="0" collapsed="false">
      <c r="A5" s="7" t="s">
        <v>156</v>
      </c>
      <c r="B5" s="7" t="s">
        <v>157</v>
      </c>
      <c r="C5" s="7" t="s">
        <v>153</v>
      </c>
      <c r="D5" s="7" t="s">
        <v>154</v>
      </c>
      <c r="E5" s="10" t="n">
        <v>7</v>
      </c>
      <c r="F5" s="10" t="n">
        <v>9.9</v>
      </c>
      <c r="G5" s="7" t="n">
        <f aca="false">E5*F5</f>
        <v>69.3</v>
      </c>
      <c r="H5" s="10" t="n">
        <v>0.617</v>
      </c>
      <c r="I5" s="7" t="n">
        <f aca="false">G5*H5</f>
        <v>42.7581</v>
      </c>
      <c r="J5" s="7"/>
    </row>
    <row r="6" customFormat="false" ht="15" hidden="false" customHeight="false" outlineLevel="0" collapsed="false">
      <c r="A6" s="7" t="s">
        <v>158</v>
      </c>
      <c r="B6" s="7" t="s">
        <v>159</v>
      </c>
      <c r="C6" s="7" t="s">
        <v>146</v>
      </c>
      <c r="D6" s="7" t="s">
        <v>147</v>
      </c>
      <c r="E6" s="10" t="n">
        <v>51</v>
      </c>
      <c r="F6" s="10" t="n">
        <v>1.5</v>
      </c>
      <c r="G6" s="7" t="n">
        <f aca="false">E6*F6</f>
        <v>76.5</v>
      </c>
      <c r="H6" s="10" t="n">
        <v>0.888</v>
      </c>
      <c r="I6" s="7" t="n">
        <f aca="false">G6*H6</f>
        <v>67.932</v>
      </c>
      <c r="J6" s="7" t="s">
        <v>160</v>
      </c>
    </row>
    <row r="7" customFormat="false" ht="15" hidden="false" customHeight="false" outlineLevel="0" collapsed="false">
      <c r="A7" s="7" t="s">
        <v>161</v>
      </c>
      <c r="B7" s="7" t="s">
        <v>162</v>
      </c>
      <c r="C7" s="7" t="s">
        <v>146</v>
      </c>
      <c r="D7" s="7" t="s">
        <v>147</v>
      </c>
      <c r="E7" s="10" t="n">
        <v>51</v>
      </c>
      <c r="F7" s="10" t="n">
        <v>1.5</v>
      </c>
      <c r="G7" s="7" t="n">
        <f aca="false">E7*F7</f>
        <v>76.5</v>
      </c>
      <c r="H7" s="10" t="n">
        <v>0.888</v>
      </c>
      <c r="I7" s="7" t="n">
        <f aca="false">G7*H7</f>
        <v>67.932</v>
      </c>
      <c r="J7" s="7"/>
    </row>
    <row r="8" customFormat="false" ht="15" hidden="false" customHeight="false" outlineLevel="0" collapsed="false">
      <c r="A8" s="7" t="s">
        <v>163</v>
      </c>
      <c r="B8" s="7" t="s">
        <v>164</v>
      </c>
      <c r="C8" s="7" t="s">
        <v>153</v>
      </c>
      <c r="D8" s="7" t="s">
        <v>154</v>
      </c>
      <c r="E8" s="10" t="n">
        <v>7</v>
      </c>
      <c r="F8" s="10" t="n">
        <v>9.9</v>
      </c>
      <c r="G8" s="7" t="n">
        <f aca="false">E8*F8</f>
        <v>69.3</v>
      </c>
      <c r="H8" s="10" t="n">
        <v>0.617</v>
      </c>
      <c r="I8" s="7" t="n">
        <f aca="false">G8*H8</f>
        <v>42.7581</v>
      </c>
      <c r="J8" s="7"/>
    </row>
    <row r="9" customFormat="false" ht="15" hidden="false" customHeight="false" outlineLevel="0" collapsed="false">
      <c r="A9" s="7" t="s">
        <v>165</v>
      </c>
      <c r="B9" s="7" t="s">
        <v>166</v>
      </c>
      <c r="C9" s="7" t="s">
        <v>153</v>
      </c>
      <c r="D9" s="7" t="s">
        <v>154</v>
      </c>
      <c r="E9" s="10" t="n">
        <v>7</v>
      </c>
      <c r="F9" s="10" t="n">
        <v>9.9</v>
      </c>
      <c r="G9" s="7" t="n">
        <f aca="false">E9*F9</f>
        <v>69.3</v>
      </c>
      <c r="H9" s="10" t="n">
        <v>0.617</v>
      </c>
      <c r="I9" s="7" t="n">
        <f aca="false">G9*H9</f>
        <v>42.7581</v>
      </c>
      <c r="J9" s="7"/>
    </row>
    <row r="10" customFormat="false" ht="15" hidden="false" customHeight="false" outlineLevel="0" collapsed="false">
      <c r="A10" s="7" t="s">
        <v>167</v>
      </c>
      <c r="B10" s="7" t="s">
        <v>168</v>
      </c>
      <c r="C10" s="7" t="s">
        <v>146</v>
      </c>
      <c r="D10" s="7" t="s">
        <v>147</v>
      </c>
      <c r="E10" s="10" t="n">
        <v>51</v>
      </c>
      <c r="F10" s="10" t="n">
        <v>1.8</v>
      </c>
      <c r="G10" s="7" t="n">
        <f aca="false">E10*F10*2*2</f>
        <v>367.2</v>
      </c>
      <c r="H10" s="10" t="n">
        <v>0.888</v>
      </c>
      <c r="I10" s="7" t="n">
        <f aca="false">G10*H10</f>
        <v>326.0736</v>
      </c>
      <c r="J10" s="7" t="s">
        <v>169</v>
      </c>
    </row>
    <row r="11" customFormat="false" ht="15" hidden="false" customHeight="false" outlineLevel="0" collapsed="false">
      <c r="A11" s="7" t="s">
        <v>170</v>
      </c>
      <c r="B11" s="7" t="s">
        <v>171</v>
      </c>
      <c r="C11" s="7" t="s">
        <v>153</v>
      </c>
      <c r="D11" s="7" t="s">
        <v>154</v>
      </c>
      <c r="E11" s="10" t="n">
        <v>9</v>
      </c>
      <c r="F11" s="10" t="n">
        <v>9.9</v>
      </c>
      <c r="G11" s="7" t="n">
        <f aca="false">E11*F11*2*2</f>
        <v>356.4</v>
      </c>
      <c r="H11" s="10" t="n">
        <v>0.617</v>
      </c>
      <c r="I11" s="7" t="n">
        <f aca="false">G11*H11</f>
        <v>219.8988</v>
      </c>
      <c r="J11" s="7" t="s">
        <v>169</v>
      </c>
    </row>
    <row r="12" customFormat="false" ht="28.35" hidden="false" customHeight="false" outlineLevel="0" collapsed="false">
      <c r="A12" s="7" t="s">
        <v>172</v>
      </c>
      <c r="B12" s="7" t="s">
        <v>173</v>
      </c>
      <c r="C12" s="7" t="s">
        <v>146</v>
      </c>
      <c r="D12" s="7" t="s">
        <v>174</v>
      </c>
      <c r="E12" s="10" t="n">
        <v>1</v>
      </c>
      <c r="F12" s="10" t="n">
        <v>0</v>
      </c>
      <c r="G12" s="7" t="n">
        <f aca="false">0</f>
        <v>0</v>
      </c>
      <c r="H12" s="10" t="n">
        <v>0.888</v>
      </c>
      <c r="I12" s="10" t="n">
        <v>0</v>
      </c>
      <c r="J12" s="7" t="s">
        <v>175</v>
      </c>
    </row>
    <row r="13" customFormat="false" ht="15" hidden="false" customHeight="false" outlineLevel="0" collapsed="false">
      <c r="A13" s="7"/>
      <c r="B13" s="7" t="s">
        <v>176</v>
      </c>
      <c r="C13" s="7"/>
      <c r="D13" s="7"/>
      <c r="E13" s="7"/>
      <c r="F13" s="7"/>
      <c r="G13" s="7"/>
      <c r="H13" s="7"/>
      <c r="I13" s="7" t="n">
        <f aca="false">SUM(I2:I12)</f>
        <v>988.7328</v>
      </c>
      <c r="J13" s="7"/>
    </row>
    <row r="14" customFormat="false" ht="15" hidden="false" customHeight="false" outlineLevel="0" collapsed="false">
      <c r="A14" s="7"/>
      <c r="B14" s="7" t="s">
        <v>177</v>
      </c>
      <c r="C14" s="7"/>
      <c r="D14" s="7"/>
      <c r="E14" s="7"/>
      <c r="F14" s="7"/>
      <c r="G14" s="7"/>
      <c r="H14" s="7"/>
      <c r="I14" s="7" t="n">
        <f aca="false">I13*10%</f>
        <v>98.87328</v>
      </c>
      <c r="J14" s="7" t="s">
        <v>178</v>
      </c>
    </row>
    <row r="15" customFormat="false" ht="15" hidden="false" customHeight="false" outlineLevel="0" collapsed="false">
      <c r="A15" s="7"/>
      <c r="B15" s="7" t="s">
        <v>179</v>
      </c>
      <c r="C15" s="7"/>
      <c r="D15" s="7"/>
      <c r="E15" s="7"/>
      <c r="F15" s="7"/>
      <c r="G15" s="7"/>
      <c r="H15" s="7"/>
      <c r="I15" s="7" t="n">
        <f aca="false">I13+I14</f>
        <v>1087.60608</v>
      </c>
      <c r="J15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72"/>
    <col collapsed="false" customWidth="true" hidden="false" outlineLevel="0" max="3" min="3" style="0" width="12"/>
    <col collapsed="false" customWidth="true" hidden="false" outlineLevel="0" max="4" min="4" style="0" width="24"/>
    <col collapsed="false" customWidth="true" hidden="false" outlineLevel="0" max="5" min="5" style="0" width="28"/>
    <col collapsed="false" customWidth="true" hidden="false" outlineLevel="0" max="6" min="6" style="0" width="22"/>
    <col collapsed="false" customWidth="true" hidden="false" outlineLevel="0" max="7" min="7" style="0" width="62"/>
  </cols>
  <sheetData>
    <row r="1" customFormat="false" ht="15" hidden="false" customHeight="false" outlineLevel="0" collapsed="false">
      <c r="A1" s="6" t="s">
        <v>180</v>
      </c>
      <c r="B1" s="6" t="s">
        <v>181</v>
      </c>
      <c r="C1" s="6" t="s">
        <v>19</v>
      </c>
      <c r="D1" s="6" t="s">
        <v>182</v>
      </c>
      <c r="E1" s="6" t="s">
        <v>183</v>
      </c>
      <c r="F1" s="6" t="s">
        <v>184</v>
      </c>
      <c r="G1" s="6" t="s">
        <v>185</v>
      </c>
    </row>
    <row r="2" customFormat="false" ht="15" hidden="false" customHeight="false" outlineLevel="0" collapsed="false">
      <c r="A2" s="7" t="s">
        <v>186</v>
      </c>
      <c r="B2" s="7" t="s">
        <v>187</v>
      </c>
      <c r="C2" s="7" t="s">
        <v>188</v>
      </c>
      <c r="D2" s="10" t="n">
        <v>126.98</v>
      </c>
      <c r="E2" s="10" t="n">
        <v>0</v>
      </c>
      <c r="F2" s="7" t="n">
        <f aca="false">D2+E2</f>
        <v>126.98</v>
      </c>
      <c r="G2" s="7" t="s">
        <v>189</v>
      </c>
    </row>
    <row r="3" customFormat="false" ht="15" hidden="false" customHeight="false" outlineLevel="0" collapsed="false">
      <c r="A3" s="7" t="s">
        <v>190</v>
      </c>
      <c r="B3" s="7" t="s">
        <v>191</v>
      </c>
      <c r="C3" s="7" t="s">
        <v>188</v>
      </c>
      <c r="D3" s="10" t="n">
        <v>5579.61</v>
      </c>
      <c r="E3" s="7" t="n">
        <f aca="false">Inputs!B17</f>
        <v>184.98</v>
      </c>
      <c r="F3" s="7" t="n">
        <f aca="false">D3+E3</f>
        <v>5764.59</v>
      </c>
      <c r="G3" s="7" t="s">
        <v>192</v>
      </c>
    </row>
    <row r="4" customFormat="false" ht="15" hidden="false" customHeight="false" outlineLevel="0" collapsed="false">
      <c r="A4" s="7" t="s">
        <v>193</v>
      </c>
      <c r="B4" s="7" t="s">
        <v>194</v>
      </c>
      <c r="C4" s="7" t="s">
        <v>188</v>
      </c>
      <c r="D4" s="10" t="n">
        <v>6643.34</v>
      </c>
      <c r="E4" s="7" t="n">
        <f aca="false">Inputs!B17</f>
        <v>184.98</v>
      </c>
      <c r="F4" s="7" t="n">
        <f aca="false">D4+E4</f>
        <v>6828.32</v>
      </c>
      <c r="G4" s="7" t="s">
        <v>192</v>
      </c>
    </row>
    <row r="5" customFormat="false" ht="15" hidden="false" customHeight="false" outlineLevel="0" collapsed="false">
      <c r="A5" s="7" t="s">
        <v>195</v>
      </c>
      <c r="B5" s="7" t="s">
        <v>196</v>
      </c>
      <c r="C5" s="7" t="s">
        <v>197</v>
      </c>
      <c r="D5" s="10" t="n">
        <v>84.5</v>
      </c>
      <c r="E5" s="10" t="n">
        <v>0</v>
      </c>
      <c r="F5" s="7" t="n">
        <f aca="false">D5+E5</f>
        <v>84.5</v>
      </c>
      <c r="G5" s="7" t="s">
        <v>189</v>
      </c>
    </row>
    <row r="6" customFormat="false" ht="15" hidden="false" customHeight="false" outlineLevel="0" collapsed="false">
      <c r="A6" s="7" t="s">
        <v>198</v>
      </c>
      <c r="B6" s="7" t="s">
        <v>199</v>
      </c>
      <c r="C6" s="7" t="s">
        <v>188</v>
      </c>
      <c r="D6" s="10" t="n">
        <v>855.75</v>
      </c>
      <c r="E6" s="10" t="n">
        <v>0</v>
      </c>
      <c r="F6" s="7" t="n">
        <f aca="false">D6+E6</f>
        <v>855.75</v>
      </c>
      <c r="G6" s="7" t="s">
        <v>189</v>
      </c>
    </row>
    <row r="7" customFormat="false" ht="28.35" hidden="false" customHeight="false" outlineLevel="0" collapsed="false">
      <c r="A7" s="7"/>
      <c r="B7" s="7" t="s">
        <v>200</v>
      </c>
      <c r="C7" s="7"/>
      <c r="D7" s="7"/>
      <c r="E7" s="7"/>
      <c r="F7" s="7"/>
      <c r="G7" s="7" t="s">
        <v>201</v>
      </c>
    </row>
    <row r="8" customFormat="false" ht="28.35" hidden="false" customHeight="false" outlineLevel="0" collapsed="false">
      <c r="A8" s="7"/>
      <c r="B8" s="7" t="s">
        <v>202</v>
      </c>
      <c r="C8" s="7"/>
      <c r="D8" s="7" t="s">
        <v>203</v>
      </c>
      <c r="E8" s="7"/>
      <c r="F8" s="7"/>
      <c r="G8" s="7" t="s">
        <v>204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8"/>
    <col collapsed="false" customWidth="true" hidden="false" outlineLevel="0" max="3" min="3" style="0" width="70"/>
    <col collapsed="false" customWidth="true" hidden="false" outlineLevel="0" max="4" min="4" style="0" width="12"/>
    <col collapsed="false" customWidth="true" hidden="false" outlineLevel="0" max="6" min="5" style="0" width="18"/>
    <col collapsed="false" customWidth="true" hidden="false" outlineLevel="0" max="7" min="7" style="0" width="20"/>
    <col collapsed="false" customWidth="true" hidden="false" outlineLevel="0" max="8" min="8" style="0" width="55"/>
  </cols>
  <sheetData>
    <row r="1" customFormat="false" ht="15" hidden="false" customHeight="false" outlineLevel="0" collapsed="false">
      <c r="A1" s="6" t="s">
        <v>205</v>
      </c>
      <c r="B1" s="6" t="s">
        <v>180</v>
      </c>
      <c r="C1" s="6" t="s">
        <v>181</v>
      </c>
      <c r="D1" s="6" t="s">
        <v>19</v>
      </c>
      <c r="E1" s="6" t="s">
        <v>206</v>
      </c>
      <c r="F1" s="6" t="s">
        <v>207</v>
      </c>
      <c r="G1" s="6" t="s">
        <v>208</v>
      </c>
      <c r="H1" s="6" t="s">
        <v>143</v>
      </c>
    </row>
    <row r="2" customFormat="false" ht="15" hidden="false" customHeight="false" outlineLevel="0" collapsed="false">
      <c r="A2" s="10" t="n">
        <v>1</v>
      </c>
      <c r="B2" s="7" t="s">
        <v>186</v>
      </c>
      <c r="C2" s="7" t="s">
        <v>209</v>
      </c>
      <c r="D2" s="7" t="s">
        <v>188</v>
      </c>
      <c r="E2" s="7" t="n">
        <f aca="false">2*10.5*2.1</f>
        <v>44.1</v>
      </c>
      <c r="F2" s="7" t="n">
        <f aca="false">'SSR Rates'!F2</f>
        <v>126.98</v>
      </c>
      <c r="G2" s="7" t="n">
        <f aca="false">E2*F2</f>
        <v>5599.818</v>
      </c>
      <c r="H2" s="7" t="s">
        <v>210</v>
      </c>
    </row>
    <row r="3" customFormat="false" ht="15" hidden="false" customHeight="false" outlineLevel="0" collapsed="false">
      <c r="A3" s="10" t="n">
        <v>2</v>
      </c>
      <c r="B3" s="7" t="s">
        <v>190</v>
      </c>
      <c r="C3" s="7" t="s">
        <v>211</v>
      </c>
      <c r="D3" s="7" t="s">
        <v>188</v>
      </c>
      <c r="E3" s="7" t="n">
        <f aca="false">Design!C5</f>
        <v>1.6</v>
      </c>
      <c r="F3" s="7" t="n">
        <f aca="false">'SSR Rates'!F3</f>
        <v>5764.59</v>
      </c>
      <c r="G3" s="7" t="n">
        <f aca="false">E3*F3</f>
        <v>9223.344</v>
      </c>
      <c r="H3" s="7" t="s">
        <v>212</v>
      </c>
    </row>
    <row r="4" customFormat="false" ht="15" hidden="false" customHeight="false" outlineLevel="0" collapsed="false">
      <c r="A4" s="10" t="n">
        <v>3</v>
      </c>
      <c r="B4" s="7" t="s">
        <v>193</v>
      </c>
      <c r="C4" s="7" t="s">
        <v>213</v>
      </c>
      <c r="D4" s="7" t="s">
        <v>188</v>
      </c>
      <c r="E4" s="7" t="n">
        <f aca="false">Design!C4</f>
        <v>12.4</v>
      </c>
      <c r="F4" s="7" t="n">
        <f aca="false">'SSR Rates'!F4</f>
        <v>6828.32</v>
      </c>
      <c r="G4" s="7" t="n">
        <f aca="false">E4*F4</f>
        <v>84671.168</v>
      </c>
      <c r="H4" s="7" t="s">
        <v>214</v>
      </c>
    </row>
    <row r="5" customFormat="false" ht="15" hidden="false" customHeight="false" outlineLevel="0" collapsed="false">
      <c r="A5" s="10" t="n">
        <v>4</v>
      </c>
      <c r="B5" s="7" t="s">
        <v>195</v>
      </c>
      <c r="C5" s="7" t="s">
        <v>215</v>
      </c>
      <c r="D5" s="7" t="s">
        <v>197</v>
      </c>
      <c r="E5" s="7" t="n">
        <f aca="false">'Reinforcement-BBS'!I15</f>
        <v>1087.60608</v>
      </c>
      <c r="F5" s="7" t="n">
        <f aca="false">'SSR Rates'!F5</f>
        <v>84.5</v>
      </c>
      <c r="G5" s="7" t="n">
        <f aca="false">E5*F5</f>
        <v>91902.71376</v>
      </c>
      <c r="H5" s="7" t="s">
        <v>216</v>
      </c>
    </row>
    <row r="6" customFormat="false" ht="15" hidden="false" customHeight="false" outlineLevel="0" collapsed="false">
      <c r="A6" s="10" t="n">
        <v>5</v>
      </c>
      <c r="B6" s="7" t="s">
        <v>198</v>
      </c>
      <c r="C6" s="7" t="s">
        <v>217</v>
      </c>
      <c r="D6" s="7" t="s">
        <v>188</v>
      </c>
      <c r="E6" s="7" t="n">
        <f aca="false">MAX(0,E2-Design!C5-Design!C4)</f>
        <v>30.1</v>
      </c>
      <c r="F6" s="7" t="n">
        <f aca="false">'SSR Rates'!F6</f>
        <v>855.75</v>
      </c>
      <c r="G6" s="7" t="n">
        <f aca="false">E6*F6</f>
        <v>25758.075</v>
      </c>
      <c r="H6" s="7" t="s">
        <v>218</v>
      </c>
    </row>
    <row r="8" customFormat="false" ht="28.35" hidden="false" customHeight="false" outlineLevel="0" collapsed="false">
      <c r="A8" s="11" t="s">
        <v>219</v>
      </c>
      <c r="B8" s="11" t="s">
        <v>18</v>
      </c>
    </row>
    <row r="9" customFormat="false" ht="28.35" hidden="false" customHeight="false" outlineLevel="0" collapsed="false">
      <c r="A9" s="12" t="s">
        <v>220</v>
      </c>
      <c r="B9" s="12" t="n">
        <f aca="false">SUM(G2:G6)</f>
        <v>217155.11876</v>
      </c>
    </row>
    <row r="10" customFormat="false" ht="15" hidden="false" customHeight="false" outlineLevel="0" collapsed="false">
      <c r="A10" s="12" t="s">
        <v>221</v>
      </c>
      <c r="B10" s="12" t="n">
        <f aca="false">Inputs!B16</f>
        <v>18</v>
      </c>
    </row>
    <row r="11" customFormat="false" ht="28.35" hidden="false" customHeight="false" outlineLevel="0" collapsed="false">
      <c r="A11" s="12" t="s">
        <v>222</v>
      </c>
      <c r="B11" s="12" t="n">
        <f aca="false">B9*B10/100</f>
        <v>39087.9213768</v>
      </c>
    </row>
    <row r="12" customFormat="false" ht="41.75" hidden="false" customHeight="false" outlineLevel="0" collapsed="false">
      <c r="A12" s="12" t="s">
        <v>223</v>
      </c>
      <c r="B12" s="12" t="n">
        <f aca="false">B9+B11</f>
        <v>256243.0401368</v>
      </c>
    </row>
    <row r="13" customFormat="false" ht="41.75" hidden="false" customHeight="false" outlineLevel="0" collapsed="false">
      <c r="A13" s="12" t="s">
        <v>224</v>
      </c>
      <c r="B13" s="12" t="n">
        <f aca="false">B12/Inputs!B4</f>
        <v>25624.30401368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8"/>
    <col collapsed="false" customWidth="true" hidden="false" outlineLevel="0" max="8" min="3" style="0" width="15"/>
  </cols>
  <sheetData>
    <row r="1" customFormat="false" ht="18.55" hidden="false" customHeight="false" outlineLevel="0" collapsed="false">
      <c r="A1" s="13" t="s">
        <v>225</v>
      </c>
      <c r="B1" s="13"/>
      <c r="C1" s="13"/>
      <c r="D1" s="13"/>
      <c r="E1" s="13"/>
      <c r="F1" s="13"/>
      <c r="G1" s="13"/>
      <c r="H1" s="13"/>
    </row>
    <row r="3" customFormat="false" ht="15" hidden="false" customHeight="false" outlineLevel="0" collapsed="false">
      <c r="A3" s="2" t="s">
        <v>3</v>
      </c>
      <c r="B3" s="12" t="s">
        <v>226</v>
      </c>
    </row>
    <row r="4" customFormat="false" ht="15" hidden="false" customHeight="false" outlineLevel="0" collapsed="false">
      <c r="A4" s="2" t="s">
        <v>227</v>
      </c>
      <c r="B4" s="12" t="s">
        <v>228</v>
      </c>
    </row>
    <row r="5" customFormat="false" ht="15" hidden="false" customHeight="false" outlineLevel="0" collapsed="false">
      <c r="A5" s="2" t="s">
        <v>229</v>
      </c>
      <c r="B5" s="12" t="s">
        <v>230</v>
      </c>
    </row>
    <row r="6" customFormat="false" ht="15" hidden="false" customHeight="false" outlineLevel="0" collapsed="false">
      <c r="A6" s="2" t="s">
        <v>231</v>
      </c>
      <c r="B6" s="12" t="s">
        <v>232</v>
      </c>
    </row>
    <row r="8" customFormat="false" ht="41.75" hidden="false" customHeight="false" outlineLevel="0" collapsed="false">
      <c r="A8" s="2" t="s">
        <v>44</v>
      </c>
      <c r="B8" s="12" t="s">
        <v>233</v>
      </c>
    </row>
    <row r="10" customFormat="false" ht="82.05" hidden="false" customHeight="false" outlineLevel="0" collapsed="false">
      <c r="A10" s="2" t="s">
        <v>234</v>
      </c>
      <c r="B10" s="12" t="s">
        <v>235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0"/>
  </cols>
  <sheetData>
    <row r="1" customFormat="false" ht="15" hidden="false" customHeight="false" outlineLevel="0" collapsed="false">
      <c r="A1" s="6" t="s">
        <v>236</v>
      </c>
      <c r="B1" s="6" t="s">
        <v>237</v>
      </c>
    </row>
    <row r="2" customFormat="false" ht="28.35" hidden="false" customHeight="false" outlineLevel="0" collapsed="false">
      <c r="A2" s="7" t="s">
        <v>238</v>
      </c>
      <c r="B2" s="7" t="s">
        <v>239</v>
      </c>
    </row>
    <row r="3" customFormat="false" ht="28.35" hidden="false" customHeight="false" outlineLevel="0" collapsed="false">
      <c r="A3" s="7" t="s">
        <v>240</v>
      </c>
      <c r="B3" s="7" t="s">
        <v>241</v>
      </c>
    </row>
    <row r="4" customFormat="false" ht="28.35" hidden="false" customHeight="false" outlineLevel="0" collapsed="false">
      <c r="A4" s="7" t="s">
        <v>242</v>
      </c>
      <c r="B4" s="7" t="s">
        <v>243</v>
      </c>
    </row>
    <row r="5" customFormat="false" ht="28.35" hidden="false" customHeight="false" outlineLevel="0" collapsed="false">
      <c r="A5" s="7" t="s">
        <v>244</v>
      </c>
      <c r="B5" s="7" t="s">
        <v>245</v>
      </c>
    </row>
    <row r="6" customFormat="false" ht="28.35" hidden="false" customHeight="false" outlineLevel="0" collapsed="false">
      <c r="A6" s="7" t="s">
        <v>246</v>
      </c>
      <c r="B6" s="7" t="s">
        <v>247</v>
      </c>
    </row>
    <row r="7" customFormat="false" ht="15" hidden="false" customHeight="false" outlineLevel="0" collapsed="false">
      <c r="A7" s="7" t="s">
        <v>248</v>
      </c>
      <c r="B7" s="7" t="s">
        <v>249</v>
      </c>
    </row>
    <row r="8" customFormat="false" ht="15" hidden="false" customHeight="false" outlineLevel="0" collapsed="false">
      <c r="A8" s="7" t="s">
        <v>250</v>
      </c>
      <c r="B8" s="7" t="s">
        <v>251</v>
      </c>
    </row>
    <row r="9" customFormat="false" ht="28.35" hidden="false" customHeight="false" outlineLevel="0" collapsed="false">
      <c r="A9" s="7" t="s">
        <v>252</v>
      </c>
      <c r="B9" s="7" t="s">
        <v>253</v>
      </c>
    </row>
    <row r="10" customFormat="false" ht="28.35" hidden="false" customHeight="false" outlineLevel="0" collapsed="false">
      <c r="A10" s="7" t="s">
        <v>254</v>
      </c>
      <c r="B10" s="7" t="s">
        <v>255</v>
      </c>
    </row>
    <row r="11" customFormat="false" ht="28.35" hidden="false" customHeight="false" outlineLevel="0" collapsed="false">
      <c r="A11" s="7" t="s">
        <v>256</v>
      </c>
      <c r="B11" s="7" t="s">
        <v>257</v>
      </c>
    </row>
    <row r="12" customFormat="false" ht="28.35" hidden="false" customHeight="false" outlineLevel="0" collapsed="false">
      <c r="A12" s="7" t="s">
        <v>258</v>
      </c>
      <c r="B12" s="7" t="s">
        <v>259</v>
      </c>
    </row>
    <row r="14" customFormat="false" ht="15" hidden="false" customHeight="false" outlineLevel="0" collapsed="false">
      <c r="A14" s="14" t="s">
        <v>260</v>
      </c>
    </row>
    <row r="15" customFormat="false" ht="15" hidden="false" customHeight="false" outlineLevel="0" collapsed="false">
      <c r="A15" s="0" t="s">
        <v>261</v>
      </c>
      <c r="B15" s="15" t="s">
        <v>262</v>
      </c>
    </row>
    <row r="16" customFormat="false" ht="15" hidden="false" customHeight="false" outlineLevel="0" collapsed="false">
      <c r="A16" s="0" t="s">
        <v>263</v>
      </c>
      <c r="B16" s="15" t="s">
        <v>264</v>
      </c>
    </row>
    <row r="17" customFormat="false" ht="15" hidden="false" customHeight="false" outlineLevel="0" collapsed="false">
      <c r="A17" s="0" t="s">
        <v>265</v>
      </c>
      <c r="B17" s="15" t="s">
        <v>266</v>
      </c>
    </row>
    <row r="18" customFormat="false" ht="15" hidden="false" customHeight="false" outlineLevel="0" collapsed="false">
      <c r="A18" s="0" t="s">
        <v>267</v>
      </c>
      <c r="B18" s="15" t="s">
        <v>268</v>
      </c>
    </row>
    <row r="19" customFormat="false" ht="15" hidden="false" customHeight="false" outlineLevel="0" collapsed="false">
      <c r="A19" s="0" t="s">
        <v>269</v>
      </c>
      <c r="B19" s="15" t="s">
        <v>270</v>
      </c>
    </row>
  </sheetData>
  <hyperlinks>
    <hyperlink ref="B15" r:id="rId1" display="https://www.scribd.com/document/899330560/Std-Data-2025-26"/>
    <hyperlink ref="B16" r:id="rId2" display="https://www.scribd.com/document/891003633/IRC-SP-013-2022-Guidelines-for-the-Design-of-Small-Bridges-and-Culverts-1"/>
    <hyperlink ref="B17" r:id="rId3" display="https://studylib.net/doc/25888084/irc.gov.in.006.2017"/>
    <hyperlink ref="B18" r:id="rId4" display="https://studylib.net/doc/27670154/irc.gov.in.112.2020"/>
    <hyperlink ref="B19" r:id="rId5" display="https://law.resource.org/pub/in/bis/S03/is.456.2000.pdf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2026-10-06T12:58:04Z</dcterms:created>
  <dc:creator>openpyxl</dc:creator>
  <dc:description/>
  <dc:language>en-US</dc:language>
  <cp:lastModifiedBy/>
  <dcterms:modified xsi:type="dcterms:W3CDTF">2026-10-06T12:58:04Z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