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815" tabRatio="933"/>
  </bookViews>
  <sheets>
    <sheet name="Index" sheetId="74" r:id="rId1"/>
    <sheet name="Check slip-1" sheetId="58" r:id="rId2"/>
    <sheet name="Absrtact" sheetId="2" r:id="rId3"/>
    <sheet name="Detailed" sheetId="9" r:id="rId4"/>
    <sheet name="Bar bending " sheetId="46" state="hidden" r:id="rId5"/>
    <sheet name="Earth work abtract" sheetId="73" r:id="rId6"/>
    <sheet name="Cross section-gravel" sheetId="60" r:id="rId7"/>
    <sheet name="Cross section-CC lining" sheetId="78" r:id="rId8"/>
    <sheet name="Seinorage" sheetId="29" r:id="rId9"/>
    <sheet name="Data" sheetId="52" r:id="rId10"/>
    <sheet name="Lead" sheetId="28" r:id="rId11"/>
    <sheet name="Site plan" sheetId="80" r:id="rId12"/>
    <sheet name="Structures details" sheetId="81" r:id="rId13"/>
    <sheet name="Land aquisition" sheetId="82" r:id="rId14"/>
    <sheet name="M-20 railling" sheetId="19" state="hidden" r:id="rId15"/>
    <sheet name="M-25" sheetId="22" state="hidden" r:id="rId16"/>
    <sheet name="M-25 deck slab" sheetId="45" state="hidden" r:id="rId17"/>
    <sheet name="M-25 wear coat" sheetId="49" state="hidden" r:id="rId18"/>
    <sheet name="M-30 wear coat" sheetId="48" state="hidden" r:id="rId19"/>
    <sheet name="Drinage Spout" sheetId="26" state="hidden" r:id="rId20"/>
    <sheet name="Road Data" sheetId="25" state="hidden" r:id="rId21"/>
    <sheet name="Proratadata-1" sheetId="76" r:id="rId22"/>
    <sheet name="Proratadata -2" sheetId="83" r:id="rId23"/>
    <sheet name="Proratadata -3" sheetId="84" r:id="rId24"/>
    <sheet name="Check slip-2" sheetId="63" r:id="rId25"/>
    <sheet name="Chec slip-3" sheetId="59" r:id="rId26"/>
    <sheet name="Weir channel" sheetId="79" r:id="rId27"/>
  </sheets>
  <externalReferences>
    <externalReference r:id="rId28"/>
    <externalReference r:id="rId29"/>
  </externalReferences>
  <definedNames>
    <definedName name="a" localSheetId="7">'[1]Road Detail Est.'!#REF!</definedName>
    <definedName name="a" localSheetId="13">'[1]Road Detail Est.'!#REF!</definedName>
    <definedName name="a" localSheetId="17">'[1]Road Detail Est.'!#REF!</definedName>
    <definedName name="a" localSheetId="22">'[1]Road Detail Est.'!#REF!</definedName>
    <definedName name="a" localSheetId="23">'[1]Road Detail Est.'!#REF!</definedName>
    <definedName name="a" localSheetId="11">'[1]Road Detail Est.'!#REF!</definedName>
    <definedName name="a" localSheetId="12">'[1]Road Detail Est.'!#REF!</definedName>
    <definedName name="a" localSheetId="26">'[1]Road Detail Est.'!#REF!</definedName>
    <definedName name="a">'[1]Road Detail Est.'!#REF!</definedName>
    <definedName name="E_W_SIDE">#N/A</definedName>
    <definedName name="f">'[1]Road Detail Est.'!#REF!</definedName>
    <definedName name="kun" localSheetId="7">'[1]Road Detail Est.'!#REF!</definedName>
    <definedName name="kun" localSheetId="13">'[1]Road Detail Est.'!#REF!</definedName>
    <definedName name="kun" localSheetId="17">'[1]Road Detail Est.'!#REF!</definedName>
    <definedName name="kun" localSheetId="22">'[1]Road Detail Est.'!#REF!</definedName>
    <definedName name="kun" localSheetId="23">'[1]Road Detail Est.'!#REF!</definedName>
    <definedName name="kun" localSheetId="12">'[1]Road Detail Est.'!#REF!</definedName>
    <definedName name="kun">'[1]Road Detail Est.'!#REF!</definedName>
    <definedName name="_xlnm.Print_Titles" localSheetId="2">Absrtact!$3:$3</definedName>
    <definedName name="_xlnm.Print_Titles" localSheetId="3">Detailed!$3:$3</definedName>
    <definedName name="_xlnm.Print_Titles" localSheetId="5">'Earth work abtract'!$3:$3</definedName>
    <definedName name="REVETMENT" localSheetId="7">'[1]Road Detail Est.'!#REF!</definedName>
    <definedName name="REVETMENT" localSheetId="13">'[1]Road Detail Est.'!#REF!</definedName>
    <definedName name="REVETMENT" localSheetId="17">'[1]Road Detail Est.'!#REF!</definedName>
    <definedName name="REVETMENT" localSheetId="22">'[1]Road Detail Est.'!#REF!</definedName>
    <definedName name="REVETMENT" localSheetId="23">'[1]Road Detail Est.'!#REF!</definedName>
    <definedName name="REVETMENT" localSheetId="11">'[1]Road Detail Est.'!#REF!</definedName>
    <definedName name="REVETMENT" localSheetId="12">'[1]Road Detail Est.'!#REF!</definedName>
    <definedName name="REVETMENT" localSheetId="26">'[1]Road Detail Est.'!#REF!</definedName>
    <definedName name="REVETMENT">'[1]Road Detail Est.'!#REF!</definedName>
    <definedName name="SPREADING_65MM" localSheetId="7">'[1]Road data'!#REF!</definedName>
    <definedName name="SPREADING_65MM" localSheetId="17">'[1]Road data'!#REF!</definedName>
    <definedName name="SPREADING_65MM" localSheetId="22">'[1]Road data'!#REF!</definedName>
    <definedName name="SPREADING_65MM" localSheetId="23">'[1]Road data'!#REF!</definedName>
    <definedName name="SPREADING_65MM">'[1]Road data'!#REF!</definedName>
  </definedNames>
  <calcPr calcId="124519"/>
</workbook>
</file>

<file path=xl/calcChain.xml><?xml version="1.0" encoding="utf-8"?>
<calcChain xmlns="http://schemas.openxmlformats.org/spreadsheetml/2006/main">
  <c r="G833" i="52"/>
  <c r="G832"/>
  <c r="G831"/>
  <c r="G830"/>
  <c r="G829"/>
  <c r="G828"/>
  <c r="G827"/>
  <c r="E824"/>
  <c r="G820"/>
  <c r="G819"/>
  <c r="G818"/>
  <c r="G817"/>
  <c r="G816"/>
  <c r="G815"/>
  <c r="G813"/>
  <c r="G812"/>
  <c r="G821" s="1"/>
  <c r="G811"/>
  <c r="G810"/>
  <c r="G809"/>
  <c r="G804"/>
  <c r="G803"/>
  <c r="G802"/>
  <c r="G801"/>
  <c r="G800"/>
  <c r="G799"/>
  <c r="G798"/>
  <c r="G792"/>
  <c r="G791"/>
  <c r="G790"/>
  <c r="G789"/>
  <c r="G788"/>
  <c r="G787"/>
  <c r="G786"/>
  <c r="G785"/>
  <c r="G793" s="1"/>
  <c r="E750"/>
  <c r="G745"/>
  <c r="G746" s="1"/>
  <c r="G744"/>
  <c r="G743"/>
  <c r="G742"/>
  <c r="G741"/>
  <c r="G740"/>
  <c r="G739"/>
  <c r="G738"/>
  <c r="G737"/>
  <c r="G736"/>
  <c r="G735"/>
  <c r="G734"/>
  <c r="G733"/>
  <c r="G747" s="1"/>
  <c r="G727"/>
  <c r="G726"/>
  <c r="G725"/>
  <c r="G724"/>
  <c r="G723"/>
  <c r="G722"/>
  <c r="G721"/>
  <c r="G720"/>
  <c r="G728" s="1"/>
  <c r="G714"/>
  <c r="F712"/>
  <c r="G712" s="1"/>
  <c r="G711"/>
  <c r="G710"/>
  <c r="G709"/>
  <c r="G708"/>
  <c r="G707"/>
  <c r="G706"/>
  <c r="G672"/>
  <c r="G671"/>
  <c r="G670"/>
  <c r="G669"/>
  <c r="E666"/>
  <c r="G662"/>
  <c r="G661"/>
  <c r="G660"/>
  <c r="G659"/>
  <c r="G658"/>
  <c r="G657"/>
  <c r="G656"/>
  <c r="G655"/>
  <c r="G654"/>
  <c r="G653"/>
  <c r="G652"/>
  <c r="G651"/>
  <c r="G663" s="1"/>
  <c r="G650"/>
  <c r="G649"/>
  <c r="G643"/>
  <c r="G642"/>
  <c r="G641"/>
  <c r="G640"/>
  <c r="G639"/>
  <c r="G638"/>
  <c r="G637"/>
  <c r="G636"/>
  <c r="G644" s="1"/>
  <c r="G630"/>
  <c r="G629"/>
  <c r="G627"/>
  <c r="G626"/>
  <c r="G625"/>
  <c r="G624"/>
  <c r="G623"/>
  <c r="G622"/>
  <c r="G631" s="1"/>
  <c r="G621"/>
  <c r="G590"/>
  <c r="G589"/>
  <c r="G588"/>
  <c r="G587"/>
  <c r="G586"/>
  <c r="G585"/>
  <c r="G584"/>
  <c r="E581"/>
  <c r="G577"/>
  <c r="G576"/>
  <c r="G575"/>
  <c r="G574"/>
  <c r="G573"/>
  <c r="G572"/>
  <c r="G571"/>
  <c r="G569"/>
  <c r="G568"/>
  <c r="G567"/>
  <c r="G566"/>
  <c r="G565"/>
  <c r="G578" s="1"/>
  <c r="G564"/>
  <c r="G558"/>
  <c r="G557"/>
  <c r="G556"/>
  <c r="G555"/>
  <c r="G554"/>
  <c r="G553"/>
  <c r="G552"/>
  <c r="G551"/>
  <c r="G559" s="1"/>
  <c r="G545"/>
  <c r="G543"/>
  <c r="G544" s="1"/>
  <c r="G542"/>
  <c r="G541"/>
  <c r="G540"/>
  <c r="G539"/>
  <c r="G538"/>
  <c r="G537"/>
  <c r="G536"/>
  <c r="E459"/>
  <c r="G427"/>
  <c r="G426"/>
  <c r="G425"/>
  <c r="G424"/>
  <c r="G423"/>
  <c r="G422"/>
  <c r="G421"/>
  <c r="G420"/>
  <c r="E417"/>
  <c r="G414"/>
  <c r="G412"/>
  <c r="G413"/>
  <c r="G411"/>
  <c r="G406"/>
  <c r="G404"/>
  <c r="G405"/>
  <c r="G403"/>
  <c r="G398"/>
  <c r="G393"/>
  <c r="G394"/>
  <c r="G395"/>
  <c r="G396"/>
  <c r="G397"/>
  <c r="G392"/>
  <c r="G373"/>
  <c r="G372"/>
  <c r="G371"/>
  <c r="G370"/>
  <c r="G369"/>
  <c r="G367"/>
  <c r="E364"/>
  <c r="G361"/>
  <c r="G360"/>
  <c r="G359"/>
  <c r="G347"/>
  <c r="G346"/>
  <c r="G345"/>
  <c r="G274"/>
  <c r="G273"/>
  <c r="G272"/>
  <c r="G271"/>
  <c r="G275" s="1"/>
  <c r="G276" s="1"/>
  <c r="G270"/>
  <c r="G269"/>
  <c r="G268"/>
  <c r="E265"/>
  <c r="G261"/>
  <c r="G260"/>
  <c r="G259"/>
  <c r="G258"/>
  <c r="G257"/>
  <c r="G256"/>
  <c r="G255"/>
  <c r="G254"/>
  <c r="G253"/>
  <c r="G252"/>
  <c r="G251"/>
  <c r="G250"/>
  <c r="G262" s="1"/>
  <c r="G249"/>
  <c r="G248"/>
  <c r="G242"/>
  <c r="G241"/>
  <c r="G240"/>
  <c r="G239"/>
  <c r="G238"/>
  <c r="G237"/>
  <c r="G236"/>
  <c r="G235"/>
  <c r="G234"/>
  <c r="G233"/>
  <c r="G232"/>
  <c r="G231"/>
  <c r="G230"/>
  <c r="G229"/>
  <c r="G228"/>
  <c r="G227"/>
  <c r="G243" s="1"/>
  <c r="G226"/>
  <c r="G220"/>
  <c r="G219"/>
  <c r="G218"/>
  <c r="G217"/>
  <c r="G216"/>
  <c r="G215"/>
  <c r="G214"/>
  <c r="G213"/>
  <c r="G221" s="1"/>
  <c r="G110"/>
  <c r="E90"/>
  <c r="G81"/>
  <c r="G82"/>
  <c r="G83"/>
  <c r="G84"/>
  <c r="G85"/>
  <c r="G86"/>
  <c r="G80"/>
  <c r="G64"/>
  <c r="G65"/>
  <c r="G66"/>
  <c r="G67"/>
  <c r="G68"/>
  <c r="G69"/>
  <c r="G70"/>
  <c r="G71"/>
  <c r="G72"/>
  <c r="G73"/>
  <c r="G63"/>
  <c r="E19" i="2"/>
  <c r="E20"/>
  <c r="G945" i="52"/>
  <c r="G943"/>
  <c r="G940"/>
  <c r="G938"/>
  <c r="J38" i="9"/>
  <c r="J39"/>
  <c r="J40"/>
  <c r="J41"/>
  <c r="J37"/>
  <c r="F260"/>
  <c r="F259"/>
  <c r="B4" i="2"/>
  <c r="G107" i="73"/>
  <c r="E10" i="84"/>
  <c r="D10"/>
  <c r="C10"/>
  <c r="G9"/>
  <c r="G10" s="1"/>
  <c r="G22" s="1"/>
  <c r="G23" s="1"/>
  <c r="G24" s="1"/>
  <c r="G25" s="1"/>
  <c r="F9"/>
  <c r="F10" s="1"/>
  <c r="F22" s="1"/>
  <c r="F23" s="1"/>
  <c r="F24" s="1"/>
  <c r="F25" s="1"/>
  <c r="E9"/>
  <c r="E22" s="1"/>
  <c r="E23" s="1"/>
  <c r="E24" s="1"/>
  <c r="E25" s="1"/>
  <c r="D9"/>
  <c r="D22" s="1"/>
  <c r="D23" s="1"/>
  <c r="D24" s="1"/>
  <c r="D25" s="1"/>
  <c r="C9"/>
  <c r="A1"/>
  <c r="F10" i="83"/>
  <c r="F9"/>
  <c r="G9"/>
  <c r="E9"/>
  <c r="E10" s="1"/>
  <c r="E22" s="1"/>
  <c r="E23" s="1"/>
  <c r="E24" s="1"/>
  <c r="E25" s="1"/>
  <c r="D9"/>
  <c r="D10" s="1"/>
  <c r="D22" s="1"/>
  <c r="D23" s="1"/>
  <c r="D24" s="1"/>
  <c r="D25" s="1"/>
  <c r="C9"/>
  <c r="C10" s="1"/>
  <c r="C22" s="1"/>
  <c r="C23" s="1"/>
  <c r="C24" s="1"/>
  <c r="C25" s="1"/>
  <c r="A1"/>
  <c r="G715" i="52" l="1"/>
  <c r="G546"/>
  <c r="C22" i="84"/>
  <c r="C23" s="1"/>
  <c r="C24" s="1"/>
  <c r="C25" s="1"/>
  <c r="G22" i="83"/>
  <c r="G23" s="1"/>
  <c r="G24" s="1"/>
  <c r="G25" s="1"/>
  <c r="G10"/>
  <c r="F22"/>
  <c r="F23" s="1"/>
  <c r="F24" s="1"/>
  <c r="F25" s="1"/>
  <c r="I9" i="76"/>
  <c r="I10" s="1"/>
  <c r="I22" s="1"/>
  <c r="H9"/>
  <c r="H10" s="1"/>
  <c r="H22" s="1"/>
  <c r="G9"/>
  <c r="G10" s="1"/>
  <c r="G22" s="1"/>
  <c r="F9"/>
  <c r="F10" s="1"/>
  <c r="F22" s="1"/>
  <c r="E9"/>
  <c r="E10" s="1"/>
  <c r="E22" s="1"/>
  <c r="D9"/>
  <c r="D10" s="1"/>
  <c r="D22" s="1"/>
  <c r="C9"/>
  <c r="C10" s="1"/>
  <c r="C22" s="1"/>
  <c r="C23" s="1"/>
  <c r="J379" i="9"/>
  <c r="J378"/>
  <c r="J377"/>
  <c r="J407"/>
  <c r="J408"/>
  <c r="J406"/>
  <c r="J401"/>
  <c r="J309"/>
  <c r="J307"/>
  <c r="J402"/>
  <c r="J400"/>
  <c r="J321"/>
  <c r="J319"/>
  <c r="J371"/>
  <c r="J368"/>
  <c r="J417"/>
  <c r="J333"/>
  <c r="J336"/>
  <c r="J339"/>
  <c r="J342"/>
  <c r="J330"/>
  <c r="J320"/>
  <c r="J318"/>
  <c r="J317"/>
  <c r="J315"/>
  <c r="J314"/>
  <c r="J313"/>
  <c r="J306"/>
  <c r="J303"/>
  <c r="J302"/>
  <c r="J308"/>
  <c r="J305"/>
  <c r="J301"/>
  <c r="J281"/>
  <c r="J284"/>
  <c r="J285"/>
  <c r="J288"/>
  <c r="J289"/>
  <c r="J292"/>
  <c r="J293"/>
  <c r="J296"/>
  <c r="J297"/>
  <c r="J280"/>
  <c r="J275"/>
  <c r="J274"/>
  <c r="J273"/>
  <c r="J272"/>
  <c r="J271"/>
  <c r="J189"/>
  <c r="J190"/>
  <c r="J188"/>
  <c r="J162"/>
  <c r="J165"/>
  <c r="J166"/>
  <c r="J169"/>
  <c r="J170"/>
  <c r="J173"/>
  <c r="J174"/>
  <c r="J177"/>
  <c r="J178"/>
  <c r="J161"/>
  <c r="J344" l="1"/>
  <c r="J345" s="1"/>
  <c r="B16" i="2" s="1"/>
  <c r="J381" i="9"/>
  <c r="J382" s="1"/>
  <c r="J276"/>
  <c r="J277" s="1"/>
  <c r="J324" s="1"/>
  <c r="J192"/>
  <c r="J193" s="1"/>
  <c r="J180"/>
  <c r="J124"/>
  <c r="J127"/>
  <c r="J128"/>
  <c r="J131"/>
  <c r="J132"/>
  <c r="J135"/>
  <c r="J136"/>
  <c r="J139"/>
  <c r="J140"/>
  <c r="J143"/>
  <c r="J144"/>
  <c r="J145"/>
  <c r="J146"/>
  <c r="J150"/>
  <c r="J151"/>
  <c r="J152"/>
  <c r="J153"/>
  <c r="J123"/>
  <c r="J118"/>
  <c r="J117"/>
  <c r="J81"/>
  <c r="J84"/>
  <c r="J85"/>
  <c r="J88"/>
  <c r="J89"/>
  <c r="J92"/>
  <c r="J93"/>
  <c r="J96"/>
  <c r="J97"/>
  <c r="J100"/>
  <c r="J101"/>
  <c r="J102"/>
  <c r="J103"/>
  <c r="J107"/>
  <c r="J108"/>
  <c r="J109"/>
  <c r="J110"/>
  <c r="J80"/>
  <c r="J75"/>
  <c r="J74"/>
  <c r="J54"/>
  <c r="J55"/>
  <c r="J56"/>
  <c r="J57"/>
  <c r="J58"/>
  <c r="J59"/>
  <c r="J60"/>
  <c r="J47"/>
  <c r="J48"/>
  <c r="J49"/>
  <c r="J50"/>
  <c r="J46"/>
  <c r="J198"/>
  <c r="J199"/>
  <c r="J200"/>
  <c r="J203"/>
  <c r="J204"/>
  <c r="J205"/>
  <c r="J206"/>
  <c r="J209"/>
  <c r="J210"/>
  <c r="J211"/>
  <c r="J212"/>
  <c r="J215"/>
  <c r="J216"/>
  <c r="J217"/>
  <c r="J218"/>
  <c r="J221"/>
  <c r="J222"/>
  <c r="J223"/>
  <c r="J224"/>
  <c r="J228"/>
  <c r="J229"/>
  <c r="J230"/>
  <c r="J231"/>
  <c r="J232"/>
  <c r="J233"/>
  <c r="J234"/>
  <c r="J235"/>
  <c r="J237"/>
  <c r="J238"/>
  <c r="J239"/>
  <c r="J243"/>
  <c r="J244"/>
  <c r="J245"/>
  <c r="J246"/>
  <c r="J247"/>
  <c r="J248"/>
  <c r="J249"/>
  <c r="J250"/>
  <c r="J252"/>
  <c r="J253"/>
  <c r="J254"/>
  <c r="J258"/>
  <c r="J259"/>
  <c r="J260"/>
  <c r="J261"/>
  <c r="J262"/>
  <c r="J263"/>
  <c r="J264"/>
  <c r="J197"/>
  <c r="J422"/>
  <c r="J424" s="1"/>
  <c r="B20" i="2" s="1"/>
  <c r="J397" i="9"/>
  <c r="J394"/>
  <c r="J391"/>
  <c r="J388"/>
  <c r="J365"/>
  <c r="J362"/>
  <c r="J359"/>
  <c r="J356"/>
  <c r="J353"/>
  <c r="J266" l="1"/>
  <c r="J119"/>
  <c r="J120" s="1"/>
  <c r="J155" s="1"/>
  <c r="J76"/>
  <c r="J77" s="1"/>
  <c r="G20" i="2" l="1"/>
  <c r="F11" i="82"/>
  <c r="F10"/>
  <c r="F9"/>
  <c r="D9"/>
  <c r="D8"/>
  <c r="F8" s="1"/>
  <c r="F7"/>
  <c r="D7"/>
  <c r="D6"/>
  <c r="F6" s="1"/>
  <c r="F5"/>
  <c r="D5"/>
  <c r="D4"/>
  <c r="F4" s="1"/>
  <c r="A2"/>
  <c r="G857" i="52"/>
  <c r="C12" i="29"/>
  <c r="E12" s="1"/>
  <c r="G12" s="1"/>
  <c r="I12" l="1"/>
  <c r="K12" s="1"/>
  <c r="F12" i="82"/>
  <c r="F13" s="1"/>
  <c r="F15" s="1"/>
  <c r="G31" i="2" s="1"/>
  <c r="G113" i="52" l="1"/>
  <c r="G87"/>
  <c r="G95" s="1"/>
  <c r="G74"/>
  <c r="G94" s="1"/>
  <c r="G68" i="9"/>
  <c r="J68" s="1"/>
  <c r="G67"/>
  <c r="J67" s="1"/>
  <c r="G66"/>
  <c r="J66" s="1"/>
  <c r="G65"/>
  <c r="J65" s="1"/>
  <c r="H32"/>
  <c r="J32" s="1"/>
  <c r="H31"/>
  <c r="J31" s="1"/>
  <c r="H30"/>
  <c r="J30" s="1"/>
  <c r="H29"/>
  <c r="J29" s="1"/>
  <c r="H28"/>
  <c r="J28" s="1"/>
  <c r="H27"/>
  <c r="J27" s="1"/>
  <c r="H26"/>
  <c r="J26" s="1"/>
  <c r="H21"/>
  <c r="J21" s="1"/>
  <c r="H20"/>
  <c r="J20" s="1"/>
  <c r="H19"/>
  <c r="J19" s="1"/>
  <c r="H18"/>
  <c r="J18" s="1"/>
  <c r="H17"/>
  <c r="J17" s="1"/>
  <c r="E5" i="79"/>
  <c r="F9" s="1"/>
  <c r="F104" i="73"/>
  <c r="G104" s="1"/>
  <c r="F103"/>
  <c r="F102"/>
  <c r="F101"/>
  <c r="G101" s="1"/>
  <c r="F100"/>
  <c r="G100" s="1"/>
  <c r="F99"/>
  <c r="F98"/>
  <c r="F97"/>
  <c r="G97" s="1"/>
  <c r="F96"/>
  <c r="G96" s="1"/>
  <c r="F95"/>
  <c r="F94"/>
  <c r="F93"/>
  <c r="G93" s="1"/>
  <c r="F92"/>
  <c r="G92" s="1"/>
  <c r="F91"/>
  <c r="F90"/>
  <c r="F82"/>
  <c r="G82" s="1"/>
  <c r="F81"/>
  <c r="F80"/>
  <c r="F79"/>
  <c r="F78"/>
  <c r="G78" s="1"/>
  <c r="F77"/>
  <c r="G77" s="1"/>
  <c r="F76"/>
  <c r="G76" s="1"/>
  <c r="F75"/>
  <c r="G75" s="1"/>
  <c r="G74"/>
  <c r="F74"/>
  <c r="F73"/>
  <c r="F72"/>
  <c r="F71"/>
  <c r="G58"/>
  <c r="F49"/>
  <c r="G49" s="1"/>
  <c r="F50"/>
  <c r="G50" s="1"/>
  <c r="F51"/>
  <c r="G51" s="1"/>
  <c r="F52"/>
  <c r="G52" s="1"/>
  <c r="F53"/>
  <c r="G53" s="1"/>
  <c r="F54"/>
  <c r="G54" s="1"/>
  <c r="F55"/>
  <c r="G55" s="1"/>
  <c r="F56"/>
  <c r="G56" s="1"/>
  <c r="F57"/>
  <c r="G57" s="1"/>
  <c r="F58"/>
  <c r="F59"/>
  <c r="G59" s="1"/>
  <c r="F60"/>
  <c r="G60" s="1"/>
  <c r="F61"/>
  <c r="G61" s="1"/>
  <c r="F62"/>
  <c r="G62" s="1"/>
  <c r="F63"/>
  <c r="G63" s="1"/>
  <c r="F64"/>
  <c r="G64" s="1"/>
  <c r="F65"/>
  <c r="G65" s="1"/>
  <c r="F48"/>
  <c r="F40"/>
  <c r="G40" s="1"/>
  <c r="F41"/>
  <c r="G41" s="1"/>
  <c r="F42"/>
  <c r="F39"/>
  <c r="G39" s="1"/>
  <c r="F38"/>
  <c r="G38" s="1"/>
  <c r="F37"/>
  <c r="G37" s="1"/>
  <c r="F36"/>
  <c r="G36" s="1"/>
  <c r="F35"/>
  <c r="G35" s="1"/>
  <c r="F34"/>
  <c r="G34" s="1"/>
  <c r="F33"/>
  <c r="G33" s="1"/>
  <c r="F32"/>
  <c r="G32" s="1"/>
  <c r="F31"/>
  <c r="G31" s="1"/>
  <c r="F30"/>
  <c r="G30" s="1"/>
  <c r="F29"/>
  <c r="G29" s="1"/>
  <c r="F28"/>
  <c r="G28" s="1"/>
  <c r="F27"/>
  <c r="G27" s="1"/>
  <c r="F26"/>
  <c r="G26" s="1"/>
  <c r="F8"/>
  <c r="G8" s="1"/>
  <c r="F9"/>
  <c r="F10"/>
  <c r="F11"/>
  <c r="G11" s="1"/>
  <c r="F12"/>
  <c r="G12" s="1"/>
  <c r="F13"/>
  <c r="F14"/>
  <c r="F15"/>
  <c r="G15" s="1"/>
  <c r="F16"/>
  <c r="G16" s="1"/>
  <c r="F17"/>
  <c r="F18"/>
  <c r="F19"/>
  <c r="G19" s="1"/>
  <c r="F20"/>
  <c r="G20" s="1"/>
  <c r="F7"/>
  <c r="D104"/>
  <c r="D103"/>
  <c r="D102"/>
  <c r="D101"/>
  <c r="D100"/>
  <c r="D99"/>
  <c r="D98"/>
  <c r="D97"/>
  <c r="D96"/>
  <c r="D95"/>
  <c r="D94"/>
  <c r="D93"/>
  <c r="D92"/>
  <c r="D91"/>
  <c r="D90"/>
  <c r="D82"/>
  <c r="D81"/>
  <c r="D80"/>
  <c r="G80" s="1"/>
  <c r="D79"/>
  <c r="D78"/>
  <c r="D77"/>
  <c r="D76"/>
  <c r="D75"/>
  <c r="D74"/>
  <c r="D73"/>
  <c r="D72"/>
  <c r="G72" s="1"/>
  <c r="D71"/>
  <c r="D49"/>
  <c r="D50"/>
  <c r="D51"/>
  <c r="D52"/>
  <c r="D53"/>
  <c r="D54"/>
  <c r="D55"/>
  <c r="D56"/>
  <c r="D57"/>
  <c r="D58"/>
  <c r="D59"/>
  <c r="D60"/>
  <c r="D61"/>
  <c r="D62"/>
  <c r="D63"/>
  <c r="D64"/>
  <c r="D65"/>
  <c r="D48"/>
  <c r="F118" i="78"/>
  <c r="I99"/>
  <c r="I95" s="1"/>
  <c r="C95" s="1"/>
  <c r="D102" s="1"/>
  <c r="F102" s="1"/>
  <c r="F95"/>
  <c r="F79"/>
  <c r="I66"/>
  <c r="I62" s="1"/>
  <c r="C62" s="1"/>
  <c r="D69" s="1"/>
  <c r="F69" s="1"/>
  <c r="F62"/>
  <c r="F42"/>
  <c r="I30"/>
  <c r="I26" s="1"/>
  <c r="C26" s="1"/>
  <c r="D33" s="1"/>
  <c r="F33" s="1"/>
  <c r="F26"/>
  <c r="F9"/>
  <c r="F118" i="60"/>
  <c r="F95"/>
  <c r="I99" s="1"/>
  <c r="I95" s="1"/>
  <c r="C95" s="1"/>
  <c r="D102" s="1"/>
  <c r="F102" s="1"/>
  <c r="F79"/>
  <c r="I83" s="1"/>
  <c r="F62"/>
  <c r="I66" s="1"/>
  <c r="I62" s="1"/>
  <c r="C62" s="1"/>
  <c r="D69" s="1"/>
  <c r="F69" s="1"/>
  <c r="D8" i="73"/>
  <c r="D9"/>
  <c r="D10"/>
  <c r="G10" s="1"/>
  <c r="D11"/>
  <c r="D12"/>
  <c r="D13"/>
  <c r="D14"/>
  <c r="G14" s="1"/>
  <c r="D15"/>
  <c r="D16"/>
  <c r="D17"/>
  <c r="D18"/>
  <c r="G18" s="1"/>
  <c r="D19"/>
  <c r="D20"/>
  <c r="D7"/>
  <c r="D27"/>
  <c r="D28"/>
  <c r="D29"/>
  <c r="D30"/>
  <c r="D31"/>
  <c r="D32"/>
  <c r="D33"/>
  <c r="D34"/>
  <c r="D35"/>
  <c r="D36"/>
  <c r="D37"/>
  <c r="D38"/>
  <c r="D39"/>
  <c r="D40"/>
  <c r="D41"/>
  <c r="D42"/>
  <c r="D26"/>
  <c r="I23" i="76"/>
  <c r="I24" s="1"/>
  <c r="I25" s="1"/>
  <c r="H23"/>
  <c r="H24" s="1"/>
  <c r="H25" s="1"/>
  <c r="G23"/>
  <c r="G24" s="1"/>
  <c r="G25" s="1"/>
  <c r="F23"/>
  <c r="F24" s="1"/>
  <c r="F25" s="1"/>
  <c r="E23"/>
  <c r="E24" s="1"/>
  <c r="E25" s="1"/>
  <c r="D23"/>
  <c r="D24" s="1"/>
  <c r="D25" s="1"/>
  <c r="C24"/>
  <c r="C25" s="1"/>
  <c r="A1"/>
  <c r="J385" i="9"/>
  <c r="J412" s="1"/>
  <c r="J349"/>
  <c r="J350" s="1"/>
  <c r="J373" s="1"/>
  <c r="M274"/>
  <c r="M273"/>
  <c r="L273"/>
  <c r="N189"/>
  <c r="J416"/>
  <c r="G280" i="52"/>
  <c r="G281" s="1"/>
  <c r="G304"/>
  <c r="G305"/>
  <c r="G306"/>
  <c r="G311"/>
  <c r="G312"/>
  <c r="G317"/>
  <c r="G318" s="1"/>
  <c r="G326" s="1"/>
  <c r="E321"/>
  <c r="A2" i="74"/>
  <c r="E10" i="2"/>
  <c r="E378" i="52"/>
  <c r="A1" i="73"/>
  <c r="G12" i="28"/>
  <c r="F929" i="52" s="1"/>
  <c r="G10" i="28"/>
  <c r="F63" i="48" s="1"/>
  <c r="G63" s="1"/>
  <c r="F7" i="28"/>
  <c r="F8" s="1"/>
  <c r="F9" s="1"/>
  <c r="G6"/>
  <c r="G9" s="1"/>
  <c r="A2"/>
  <c r="H214" i="25"/>
  <c r="K216" s="1"/>
  <c r="K218" s="1"/>
  <c r="F213"/>
  <c r="F212"/>
  <c r="F211"/>
  <c r="H210"/>
  <c r="G210"/>
  <c r="F210"/>
  <c r="K205"/>
  <c r="K202"/>
  <c r="K198"/>
  <c r="K196"/>
  <c r="K194"/>
  <c r="K192"/>
  <c r="K183"/>
  <c r="K181"/>
  <c r="K180"/>
  <c r="K179"/>
  <c r="K178"/>
  <c r="K177"/>
  <c r="K176"/>
  <c r="K175"/>
  <c r="K174"/>
  <c r="K173"/>
  <c r="K171"/>
  <c r="K170"/>
  <c r="K169"/>
  <c r="K168"/>
  <c r="K167"/>
  <c r="K159"/>
  <c r="G159"/>
  <c r="K157"/>
  <c r="H154"/>
  <c r="G154"/>
  <c r="F154"/>
  <c r="K149"/>
  <c r="K146"/>
  <c r="K143"/>
  <c r="K142"/>
  <c r="K140"/>
  <c r="K139"/>
  <c r="K138"/>
  <c r="K137"/>
  <c r="K135"/>
  <c r="K134"/>
  <c r="K133"/>
  <c r="K132"/>
  <c r="K124"/>
  <c r="E124"/>
  <c r="K122"/>
  <c r="H118"/>
  <c r="H117"/>
  <c r="G117"/>
  <c r="F117"/>
  <c r="H116"/>
  <c r="G116"/>
  <c r="F116"/>
  <c r="K111"/>
  <c r="K108"/>
  <c r="K105"/>
  <c r="K104"/>
  <c r="C104"/>
  <c r="K103"/>
  <c r="C103"/>
  <c r="K101"/>
  <c r="K100"/>
  <c r="K99"/>
  <c r="K98"/>
  <c r="K97"/>
  <c r="K96"/>
  <c r="K95"/>
  <c r="K94"/>
  <c r="K92"/>
  <c r="K91"/>
  <c r="K90"/>
  <c r="K89"/>
  <c r="K88"/>
  <c r="F74"/>
  <c r="F73"/>
  <c r="F72"/>
  <c r="K68"/>
  <c r="K66"/>
  <c r="K63"/>
  <c r="K62"/>
  <c r="K60"/>
  <c r="K58"/>
  <c r="K56"/>
  <c r="K55"/>
  <c r="K54"/>
  <c r="K53"/>
  <c r="K52"/>
  <c r="K51"/>
  <c r="K50"/>
  <c r="K48"/>
  <c r="K47"/>
  <c r="K46"/>
  <c r="K45"/>
  <c r="K44"/>
  <c r="K25"/>
  <c r="K23"/>
  <c r="K21"/>
  <c r="K20"/>
  <c r="K19"/>
  <c r="K16"/>
  <c r="K15"/>
  <c r="K14"/>
  <c r="K13"/>
  <c r="K12"/>
  <c r="K10"/>
  <c r="K9"/>
  <c r="K8"/>
  <c r="K7"/>
  <c r="K6"/>
  <c r="F19" i="26"/>
  <c r="F17"/>
  <c r="F16"/>
  <c r="F15"/>
  <c r="F13"/>
  <c r="F12"/>
  <c r="F11"/>
  <c r="F8"/>
  <c r="F7"/>
  <c r="F6"/>
  <c r="F5"/>
  <c r="G52" i="48"/>
  <c r="G51"/>
  <c r="G45"/>
  <c r="G44"/>
  <c r="G43"/>
  <c r="G42"/>
  <c r="G41"/>
  <c r="G40"/>
  <c r="G39"/>
  <c r="G38"/>
  <c r="G37"/>
  <c r="G36"/>
  <c r="G35"/>
  <c r="G34"/>
  <c r="G33"/>
  <c r="G29"/>
  <c r="G28"/>
  <c r="G27"/>
  <c r="G26"/>
  <c r="G25"/>
  <c r="G24"/>
  <c r="G23"/>
  <c r="G18"/>
  <c r="G17"/>
  <c r="G16"/>
  <c r="G15"/>
  <c r="F15"/>
  <c r="G14"/>
  <c r="F14"/>
  <c r="G13"/>
  <c r="F13"/>
  <c r="G12"/>
  <c r="F12"/>
  <c r="G11"/>
  <c r="F11"/>
  <c r="E11"/>
  <c r="G52" i="49"/>
  <c r="G51"/>
  <c r="G45"/>
  <c r="G44"/>
  <c r="G43"/>
  <c r="G42"/>
  <c r="G41"/>
  <c r="G40"/>
  <c r="G39"/>
  <c r="G38"/>
  <c r="G37"/>
  <c r="G36"/>
  <c r="G35"/>
  <c r="G34"/>
  <c r="G33"/>
  <c r="G29"/>
  <c r="G28"/>
  <c r="G27"/>
  <c r="G26"/>
  <c r="G25"/>
  <c r="G24"/>
  <c r="G23"/>
  <c r="G18"/>
  <c r="G17"/>
  <c r="G16"/>
  <c r="G15"/>
  <c r="F15"/>
  <c r="G14"/>
  <c r="F14"/>
  <c r="G13"/>
  <c r="F13"/>
  <c r="G12"/>
  <c r="F12"/>
  <c r="G11"/>
  <c r="F11"/>
  <c r="G56" i="45"/>
  <c r="G55"/>
  <c r="G45"/>
  <c r="G44"/>
  <c r="G43"/>
  <c r="G42"/>
  <c r="G41"/>
  <c r="G40"/>
  <c r="G39"/>
  <c r="G38"/>
  <c r="G37"/>
  <c r="G36"/>
  <c r="G35"/>
  <c r="G34"/>
  <c r="G33"/>
  <c r="G32"/>
  <c r="G28"/>
  <c r="G27"/>
  <c r="G26"/>
  <c r="G25"/>
  <c r="G24"/>
  <c r="G23"/>
  <c r="G22"/>
  <c r="G17"/>
  <c r="G16"/>
  <c r="G15"/>
  <c r="G14"/>
  <c r="G13"/>
  <c r="G12"/>
  <c r="F12"/>
  <c r="G11"/>
  <c r="F11"/>
  <c r="G10"/>
  <c r="F10"/>
  <c r="G9"/>
  <c r="F9"/>
  <c r="I74" i="22"/>
  <c r="I73"/>
  <c r="G69"/>
  <c r="I66"/>
  <c r="I65"/>
  <c r="I64"/>
  <c r="I63"/>
  <c r="I62"/>
  <c r="I61"/>
  <c r="I60"/>
  <c r="I59"/>
  <c r="I58"/>
  <c r="I57"/>
  <c r="I56"/>
  <c r="I55"/>
  <c r="I54"/>
  <c r="I53"/>
  <c r="I52"/>
  <c r="I51"/>
  <c r="I50"/>
  <c r="I45"/>
  <c r="I44"/>
  <c r="I43"/>
  <c r="I42"/>
  <c r="I41"/>
  <c r="I40"/>
  <c r="I39"/>
  <c r="I38"/>
  <c r="I37"/>
  <c r="I36"/>
  <c r="I35"/>
  <c r="I34"/>
  <c r="I33"/>
  <c r="I32"/>
  <c r="I31"/>
  <c r="I30"/>
  <c r="I24"/>
  <c r="I23"/>
  <c r="I22"/>
  <c r="I21"/>
  <c r="H21"/>
  <c r="I20"/>
  <c r="H20"/>
  <c r="H19"/>
  <c r="I19" s="1"/>
  <c r="I18"/>
  <c r="H18"/>
  <c r="I17"/>
  <c r="H17"/>
  <c r="G36" i="19"/>
  <c r="G35"/>
  <c r="G34"/>
  <c r="G33"/>
  <c r="G32"/>
  <c r="G23"/>
  <c r="G22"/>
  <c r="G21"/>
  <c r="G20"/>
  <c r="G16"/>
  <c r="G15"/>
  <c r="G14"/>
  <c r="G10"/>
  <c r="G9"/>
  <c r="G8"/>
  <c r="G7"/>
  <c r="G6"/>
  <c r="G5" i="29"/>
  <c r="A2"/>
  <c r="E929" i="52"/>
  <c r="E916"/>
  <c r="G912"/>
  <c r="G911"/>
  <c r="G910"/>
  <c r="G896"/>
  <c r="G898" s="1"/>
  <c r="G919" s="1"/>
  <c r="E873"/>
  <c r="G869"/>
  <c r="G868"/>
  <c r="G858"/>
  <c r="G876" s="1"/>
  <c r="E515"/>
  <c r="E502"/>
  <c r="G498"/>
  <c r="G497"/>
  <c r="G483"/>
  <c r="G485" s="1"/>
  <c r="G505" s="1"/>
  <c r="G462"/>
  <c r="G455"/>
  <c r="G454"/>
  <c r="G453"/>
  <c r="G447"/>
  <c r="G446"/>
  <c r="E175"/>
  <c r="G171"/>
  <c r="G170"/>
  <c r="G169"/>
  <c r="G168"/>
  <c r="G167"/>
  <c r="G165"/>
  <c r="G164"/>
  <c r="G163"/>
  <c r="G162"/>
  <c r="G161"/>
  <c r="G160"/>
  <c r="G159"/>
  <c r="G153"/>
  <c r="G152"/>
  <c r="G151"/>
  <c r="G150"/>
  <c r="G149"/>
  <c r="G148"/>
  <c r="G147"/>
  <c r="G146"/>
  <c r="G140"/>
  <c r="G138"/>
  <c r="G137"/>
  <c r="G136"/>
  <c r="G135"/>
  <c r="G134"/>
  <c r="G133"/>
  <c r="G36"/>
  <c r="E33"/>
  <c r="G29"/>
  <c r="G28"/>
  <c r="G27"/>
  <c r="G21"/>
  <c r="G20"/>
  <c r="A2"/>
  <c r="F42" i="60"/>
  <c r="I46" s="1"/>
  <c r="I42" s="1"/>
  <c r="C42" s="1"/>
  <c r="D49" s="1"/>
  <c r="F49" s="1"/>
  <c r="F26"/>
  <c r="I30" s="1"/>
  <c r="I26" s="1"/>
  <c r="C26" s="1"/>
  <c r="D33" s="1"/>
  <c r="H16" i="9" s="1"/>
  <c r="J16" s="1"/>
  <c r="F9" i="60"/>
  <c r="I13" s="1"/>
  <c r="I9" s="1"/>
  <c r="I50" i="46"/>
  <c r="I49"/>
  <c r="H49"/>
  <c r="G49"/>
  <c r="I48"/>
  <c r="H48"/>
  <c r="G48"/>
  <c r="I47"/>
  <c r="H47"/>
  <c r="G47"/>
  <c r="I46"/>
  <c r="H46"/>
  <c r="G46"/>
  <c r="I45"/>
  <c r="H45"/>
  <c r="G45"/>
  <c r="I44"/>
  <c r="H44"/>
  <c r="G44"/>
  <c r="I43"/>
  <c r="H43"/>
  <c r="G43"/>
  <c r="I42"/>
  <c r="H42"/>
  <c r="G42"/>
  <c r="I41"/>
  <c r="H41"/>
  <c r="G41"/>
  <c r="I40"/>
  <c r="H40"/>
  <c r="G40"/>
  <c r="I39"/>
  <c r="H39"/>
  <c r="G39"/>
  <c r="I38"/>
  <c r="H38"/>
  <c r="G38"/>
  <c r="I37"/>
  <c r="H37"/>
  <c r="G37"/>
  <c r="I36"/>
  <c r="H36"/>
  <c r="G36"/>
  <c r="I35"/>
  <c r="H35"/>
  <c r="G35"/>
  <c r="F35"/>
  <c r="I34"/>
  <c r="H34"/>
  <c r="G34"/>
  <c r="I33"/>
  <c r="H33"/>
  <c r="G33"/>
  <c r="I32"/>
  <c r="H32"/>
  <c r="G32"/>
  <c r="I31"/>
  <c r="H31"/>
  <c r="G31"/>
  <c r="I30"/>
  <c r="H30"/>
  <c r="G30"/>
  <c r="I29"/>
  <c r="H29"/>
  <c r="G29"/>
  <c r="I28"/>
  <c r="H28"/>
  <c r="G28"/>
  <c r="I27"/>
  <c r="H27"/>
  <c r="G27"/>
  <c r="I26"/>
  <c r="H26"/>
  <c r="G26"/>
  <c r="I25"/>
  <c r="H25"/>
  <c r="G25"/>
  <c r="I24"/>
  <c r="H24"/>
  <c r="G24"/>
  <c r="I23"/>
  <c r="H23"/>
  <c r="G23"/>
  <c r="I22"/>
  <c r="H22"/>
  <c r="G22"/>
  <c r="I21"/>
  <c r="H21"/>
  <c r="G21"/>
  <c r="I20"/>
  <c r="H20"/>
  <c r="G20"/>
  <c r="F20"/>
  <c r="I19"/>
  <c r="H19"/>
  <c r="G19"/>
  <c r="I18"/>
  <c r="H18"/>
  <c r="G18"/>
  <c r="I17"/>
  <c r="H17"/>
  <c r="G17"/>
  <c r="F17"/>
  <c r="I16"/>
  <c r="H16"/>
  <c r="G16"/>
  <c r="F16"/>
  <c r="I15"/>
  <c r="H15"/>
  <c r="G15"/>
  <c r="F15"/>
  <c r="I14"/>
  <c r="H14"/>
  <c r="G14"/>
  <c r="F14"/>
  <c r="I13"/>
  <c r="H13"/>
  <c r="G13"/>
  <c r="I12"/>
  <c r="H12"/>
  <c r="G12"/>
  <c r="I11"/>
  <c r="H11"/>
  <c r="G11"/>
  <c r="I10"/>
  <c r="H10"/>
  <c r="G10"/>
  <c r="I9"/>
  <c r="H9"/>
  <c r="G9"/>
  <c r="I8"/>
  <c r="H8"/>
  <c r="G8"/>
  <c r="I7"/>
  <c r="H7"/>
  <c r="G7"/>
  <c r="I6"/>
  <c r="H6"/>
  <c r="G6"/>
  <c r="A3"/>
  <c r="J428" i="9"/>
  <c r="J427"/>
  <c r="J426"/>
  <c r="J425"/>
  <c r="A2"/>
  <c r="A1" i="60" s="1"/>
  <c r="B24" i="2"/>
  <c r="B23"/>
  <c r="B22"/>
  <c r="B21"/>
  <c r="G18" i="45" l="1"/>
  <c r="G54" s="1"/>
  <c r="G57" s="1"/>
  <c r="G58" s="1"/>
  <c r="G19" i="49"/>
  <c r="G50" s="1"/>
  <c r="G53" s="1"/>
  <c r="G54" s="1"/>
  <c r="G19" i="48"/>
  <c r="G50" s="1"/>
  <c r="G53" s="1"/>
  <c r="G54" s="1"/>
  <c r="I25" i="22"/>
  <c r="I72" s="1"/>
  <c r="I75" s="1"/>
  <c r="I78" s="1"/>
  <c r="F191" i="52"/>
  <c r="G191" s="1"/>
  <c r="F766"/>
  <c r="G766" s="1"/>
  <c r="F51" i="45"/>
  <c r="G51" s="1"/>
  <c r="F515" i="52"/>
  <c r="G515" s="1"/>
  <c r="G516" s="1"/>
  <c r="F684"/>
  <c r="G684" s="1"/>
  <c r="G11" i="28"/>
  <c r="F288" i="52" s="1"/>
  <c r="G288" s="1"/>
  <c r="F840"/>
  <c r="G840" s="1"/>
  <c r="F378"/>
  <c r="H88" i="22"/>
  <c r="I88" s="1"/>
  <c r="F599" i="52"/>
  <c r="G599" s="1"/>
  <c r="F29" i="19"/>
  <c r="G29" s="1"/>
  <c r="J418" i="9"/>
  <c r="B19" i="2" s="1"/>
  <c r="G19" s="1"/>
  <c r="G17" i="73"/>
  <c r="G13"/>
  <c r="G9"/>
  <c r="G7"/>
  <c r="G42"/>
  <c r="G43" s="1"/>
  <c r="J7" i="9" s="1"/>
  <c r="G96" i="52"/>
  <c r="G97" s="1"/>
  <c r="M275" i="9"/>
  <c r="A1" i="78"/>
  <c r="F8" i="79"/>
  <c r="F12"/>
  <c r="F7"/>
  <c r="F11"/>
  <c r="F6"/>
  <c r="F10"/>
  <c r="F14"/>
  <c r="E14" s="1"/>
  <c r="G73" i="73"/>
  <c r="G81"/>
  <c r="G90"/>
  <c r="G94"/>
  <c r="G98"/>
  <c r="G102"/>
  <c r="G48"/>
  <c r="G66" s="1"/>
  <c r="J8" i="9" s="1"/>
  <c r="G71" i="73"/>
  <c r="G79"/>
  <c r="G91"/>
  <c r="G95"/>
  <c r="G99"/>
  <c r="G103"/>
  <c r="I9" i="78"/>
  <c r="C9" s="1"/>
  <c r="D16" s="1"/>
  <c r="F16" s="1"/>
  <c r="I79"/>
  <c r="C79" s="1"/>
  <c r="D86" s="1"/>
  <c r="F86" s="1"/>
  <c r="I13"/>
  <c r="I46"/>
  <c r="I42" s="1"/>
  <c r="C42" s="1"/>
  <c r="D49" s="1"/>
  <c r="F49" s="1"/>
  <c r="I83"/>
  <c r="I122"/>
  <c r="I118" s="1"/>
  <c r="C118" s="1"/>
  <c r="D125" s="1"/>
  <c r="F125" s="1"/>
  <c r="I118" i="60"/>
  <c r="C118" s="1"/>
  <c r="D125" s="1"/>
  <c r="F125" s="1"/>
  <c r="I122"/>
  <c r="I79"/>
  <c r="C79" s="1"/>
  <c r="D86" s="1"/>
  <c r="F86" s="1"/>
  <c r="F104" i="52"/>
  <c r="G104" s="1"/>
  <c r="G107" s="1"/>
  <c r="F63" i="49"/>
  <c r="G63" s="1"/>
  <c r="G72" i="25"/>
  <c r="G211"/>
  <c r="G29"/>
  <c r="F681" i="52"/>
  <c r="G681" s="1"/>
  <c r="F27" i="19"/>
  <c r="E218" i="25"/>
  <c r="G8" i="28"/>
  <c r="H86" i="22"/>
  <c r="F49" i="45"/>
  <c r="G7" i="28"/>
  <c r="F838" i="52" s="1"/>
  <c r="B17" i="2"/>
  <c r="J182" i="9"/>
  <c r="B13" i="2" s="1"/>
  <c r="C8" i="29" s="1"/>
  <c r="E8" s="1"/>
  <c r="G8" s="1"/>
  <c r="G307" i="52"/>
  <c r="G324" s="1"/>
  <c r="G313"/>
  <c r="G325" s="1"/>
  <c r="F33" i="60"/>
  <c r="C9"/>
  <c r="D16" s="1"/>
  <c r="H15" i="9" s="1"/>
  <c r="G378" i="52"/>
  <c r="G379" s="1"/>
  <c r="G499"/>
  <c r="G507" s="1"/>
  <c r="G508" s="1"/>
  <c r="G509" s="1"/>
  <c r="G510" s="1"/>
  <c r="G511" s="1"/>
  <c r="G929"/>
  <c r="G930" s="1"/>
  <c r="G931" s="1"/>
  <c r="G932" s="1"/>
  <c r="G448"/>
  <c r="G463" s="1"/>
  <c r="G30"/>
  <c r="G38" s="1"/>
  <c r="G141"/>
  <c r="G178" s="1"/>
  <c r="G456"/>
  <c r="G464" s="1"/>
  <c r="G154"/>
  <c r="G179" s="1"/>
  <c r="G172"/>
  <c r="G180" s="1"/>
  <c r="G753"/>
  <c r="G754"/>
  <c r="G913"/>
  <c r="G921" s="1"/>
  <c r="G922" s="1"/>
  <c r="G22"/>
  <c r="G37" s="1"/>
  <c r="G870"/>
  <c r="G878" s="1"/>
  <c r="G879" s="1"/>
  <c r="G880" s="1"/>
  <c r="G881" s="1"/>
  <c r="G882" s="1"/>
  <c r="E17" i="2" s="1"/>
  <c r="G755" i="52"/>
  <c r="J112" i="9"/>
  <c r="J113" s="1"/>
  <c r="I76" i="22" l="1"/>
  <c r="I79" s="1"/>
  <c r="I80" s="1"/>
  <c r="J80" s="1"/>
  <c r="J81" s="1"/>
  <c r="I77"/>
  <c r="G838" i="52"/>
  <c r="G841" s="1"/>
  <c r="G842" s="1"/>
  <c r="G843" s="1"/>
  <c r="G844" s="1"/>
  <c r="F839"/>
  <c r="G839" s="1"/>
  <c r="G83" i="73"/>
  <c r="J9" i="9" s="1"/>
  <c r="G21" i="73"/>
  <c r="J6" i="9" s="1"/>
  <c r="J156"/>
  <c r="B12" i="2" s="1"/>
  <c r="C7" i="29" s="1"/>
  <c r="E7" s="1"/>
  <c r="G7" s="1"/>
  <c r="J413" i="9"/>
  <c r="B18" i="2" s="1"/>
  <c r="C5" i="29" s="1"/>
  <c r="I5" s="1"/>
  <c r="K5" s="1"/>
  <c r="B11" i="2"/>
  <c r="G98" i="52"/>
  <c r="G99" s="1"/>
  <c r="G327"/>
  <c r="G328" s="1"/>
  <c r="J42" i="9"/>
  <c r="B8" i="2" s="1"/>
  <c r="I8" i="29"/>
  <c r="K8" s="1"/>
  <c r="F22" i="79"/>
  <c r="F18"/>
  <c r="F19"/>
  <c r="F24"/>
  <c r="E24" s="1"/>
  <c r="F20"/>
  <c r="F16"/>
  <c r="F21"/>
  <c r="F17"/>
  <c r="G105" i="73"/>
  <c r="J10" i="9" s="1"/>
  <c r="F286" i="52"/>
  <c r="F189"/>
  <c r="F596"/>
  <c r="G30" i="25"/>
  <c r="H30" s="1"/>
  <c r="H29"/>
  <c r="I86" i="22"/>
  <c r="H87"/>
  <c r="I87" s="1"/>
  <c r="G49" i="45"/>
  <c r="F50"/>
  <c r="G50" s="1"/>
  <c r="F28" i="19"/>
  <c r="G28" s="1"/>
  <c r="G27"/>
  <c r="H72" i="25"/>
  <c r="G73"/>
  <c r="H73" s="1"/>
  <c r="G74"/>
  <c r="H74" s="1"/>
  <c r="F61" i="48"/>
  <c r="F764" i="52"/>
  <c r="F682"/>
  <c r="F61" i="49"/>
  <c r="G212" i="25"/>
  <c r="H211"/>
  <c r="G17" i="2"/>
  <c r="J325" i="9"/>
  <c r="B15" i="2" s="1"/>
  <c r="C11" i="29" s="1"/>
  <c r="I11" s="1"/>
  <c r="K11" s="1"/>
  <c r="J267" i="9"/>
  <c r="B14" i="2" s="1"/>
  <c r="C10" i="29" s="1"/>
  <c r="I10" s="1"/>
  <c r="K10" s="1"/>
  <c r="F16" i="60"/>
  <c r="G380" i="52"/>
  <c r="G465"/>
  <c r="G466" s="1"/>
  <c r="G467" s="1"/>
  <c r="G468" s="1"/>
  <c r="E11" i="2" s="1"/>
  <c r="G673" i="52"/>
  <c r="G674" s="1"/>
  <c r="G675" s="1"/>
  <c r="G517"/>
  <c r="G518" s="1"/>
  <c r="G520" s="1"/>
  <c r="E12" i="2" s="1"/>
  <c r="G181" i="52"/>
  <c r="G182" s="1"/>
  <c r="G183" s="1"/>
  <c r="G184" s="1"/>
  <c r="G108"/>
  <c r="G109" s="1"/>
  <c r="G39"/>
  <c r="G40" s="1"/>
  <c r="G41" s="1"/>
  <c r="G42" s="1"/>
  <c r="E4" i="2" s="1"/>
  <c r="G756" i="52"/>
  <c r="G757" s="1"/>
  <c r="G758" s="1"/>
  <c r="G759" s="1"/>
  <c r="G923"/>
  <c r="G924" s="1"/>
  <c r="I89" i="22" l="1"/>
  <c r="I91" s="1"/>
  <c r="I92" s="1"/>
  <c r="G846" i="52"/>
  <c r="E16" i="2" s="1"/>
  <c r="G16" s="1"/>
  <c r="G845" i="52"/>
  <c r="J11" i="9"/>
  <c r="G108" i="73"/>
  <c r="G925" i="52"/>
  <c r="G934" s="1"/>
  <c r="E18" i="2" s="1"/>
  <c r="G18" s="1"/>
  <c r="G381" i="52"/>
  <c r="G383" s="1"/>
  <c r="E9" i="2" s="1"/>
  <c r="G329" i="52"/>
  <c r="G330" s="1"/>
  <c r="E8" i="2" s="1"/>
  <c r="G8" s="1"/>
  <c r="F40" i="79"/>
  <c r="F36"/>
  <c r="F31"/>
  <c r="F27"/>
  <c r="F37"/>
  <c r="F32"/>
  <c r="F28"/>
  <c r="F42"/>
  <c r="E42" s="1"/>
  <c r="F38"/>
  <c r="F34"/>
  <c r="F29"/>
  <c r="F39"/>
  <c r="F35"/>
  <c r="F30"/>
  <c r="F26"/>
  <c r="H33" i="25"/>
  <c r="H35" s="1"/>
  <c r="H37" s="1"/>
  <c r="F190" i="52"/>
  <c r="G190" s="1"/>
  <c r="G189"/>
  <c r="H212" i="25"/>
  <c r="G213"/>
  <c r="H213" s="1"/>
  <c r="G61" i="48"/>
  <c r="F62"/>
  <c r="G62" s="1"/>
  <c r="F597" i="52"/>
  <c r="G596"/>
  <c r="G30" i="19"/>
  <c r="G37" s="1"/>
  <c r="G38" s="1"/>
  <c r="G39" s="1"/>
  <c r="G682" i="52"/>
  <c r="F683"/>
  <c r="G683" s="1"/>
  <c r="F287"/>
  <c r="G287" s="1"/>
  <c r="G286"/>
  <c r="F62" i="49"/>
  <c r="G62" s="1"/>
  <c r="G61"/>
  <c r="F765" i="52"/>
  <c r="G765" s="1"/>
  <c r="G764"/>
  <c r="H76" i="25"/>
  <c r="K76" s="1"/>
  <c r="K78" s="1"/>
  <c r="K80" s="1"/>
  <c r="G52" i="45"/>
  <c r="G59" s="1"/>
  <c r="G60" s="1"/>
  <c r="G61" s="1"/>
  <c r="E10" i="29"/>
  <c r="G10" s="1"/>
  <c r="G12" i="2"/>
  <c r="G11"/>
  <c r="E11" i="29"/>
  <c r="G11" s="1"/>
  <c r="G111" i="52"/>
  <c r="I7" i="29"/>
  <c r="K7" s="1"/>
  <c r="J15" i="9"/>
  <c r="J22" s="1"/>
  <c r="J23" s="1"/>
  <c r="B5" i="2" s="1"/>
  <c r="C6" i="29" s="1"/>
  <c r="I6" s="1"/>
  <c r="K6" s="1"/>
  <c r="G64" i="48" l="1"/>
  <c r="G66" s="1"/>
  <c r="G67" s="1"/>
  <c r="G64" i="49"/>
  <c r="G66" s="1"/>
  <c r="G67" s="1"/>
  <c r="G4" i="2"/>
  <c r="G115" i="52"/>
  <c r="E5" i="2" s="1"/>
  <c r="G5" s="1"/>
  <c r="G685" i="52"/>
  <c r="G686" s="1"/>
  <c r="G687" s="1"/>
  <c r="G688" s="1"/>
  <c r="F49" i="79"/>
  <c r="F45"/>
  <c r="F50"/>
  <c r="F46"/>
  <c r="F47"/>
  <c r="F53"/>
  <c r="E53" s="1"/>
  <c r="F54" s="1"/>
  <c r="E54" s="1"/>
  <c r="F48"/>
  <c r="F44"/>
  <c r="G597" i="52"/>
  <c r="F598"/>
  <c r="G598" s="1"/>
  <c r="G767"/>
  <c r="G768" s="1"/>
  <c r="G769" s="1"/>
  <c r="G770" s="1"/>
  <c r="G289"/>
  <c r="G290" s="1"/>
  <c r="G291" s="1"/>
  <c r="G293" s="1"/>
  <c r="E6" i="2" s="1"/>
  <c r="G192" i="52"/>
  <c r="G193" s="1"/>
  <c r="G194" s="1"/>
  <c r="G195" s="1"/>
  <c r="G196" s="1"/>
  <c r="E7" i="2" s="1"/>
  <c r="J61" i="9"/>
  <c r="J62" s="1"/>
  <c r="B9" i="2" s="1"/>
  <c r="G9" s="1"/>
  <c r="J33" i="9"/>
  <c r="J34" s="1"/>
  <c r="G600" i="52" l="1"/>
  <c r="G601" s="1"/>
  <c r="G602" s="1"/>
  <c r="G603" s="1"/>
  <c r="G605" s="1"/>
  <c r="E13" i="2" s="1"/>
  <c r="G13" s="1"/>
  <c r="G690" i="52"/>
  <c r="E14" i="2" s="1"/>
  <c r="G14" s="1"/>
  <c r="G689" i="52"/>
  <c r="G771"/>
  <c r="E15" i="2" s="1"/>
  <c r="G15" s="1"/>
  <c r="J69" i="9"/>
  <c r="J70" s="1"/>
  <c r="B10" i="2" s="1"/>
  <c r="G10" s="1"/>
  <c r="F62" i="79"/>
  <c r="F58"/>
  <c r="F59"/>
  <c r="F64"/>
  <c r="E64" s="1"/>
  <c r="F65" s="1"/>
  <c r="E65" s="1"/>
  <c r="F60"/>
  <c r="F56"/>
  <c r="F61"/>
  <c r="F57"/>
  <c r="B7" i="2"/>
  <c r="B6"/>
  <c r="G6" s="1"/>
  <c r="G25" l="1"/>
  <c r="F74" i="79"/>
  <c r="E74" s="1"/>
  <c r="F70"/>
  <c r="F71"/>
  <c r="F67"/>
  <c r="F72"/>
  <c r="F68"/>
  <c r="F69"/>
  <c r="C9" i="29"/>
  <c r="I9" s="1"/>
  <c r="K9" s="1"/>
  <c r="K13" s="1"/>
  <c r="F79" i="79" l="1"/>
  <c r="F85"/>
  <c r="E85" s="1"/>
  <c r="F86" s="1"/>
  <c r="E86" s="1"/>
  <c r="F80"/>
  <c r="F76"/>
  <c r="F81"/>
  <c r="F77"/>
  <c r="F82"/>
  <c r="F78"/>
  <c r="E9" i="29"/>
  <c r="G9" s="1"/>
  <c r="G13" l="1"/>
  <c r="D16" s="1"/>
  <c r="D17" s="1"/>
  <c r="G26" i="2" s="1"/>
  <c r="F92" i="79"/>
  <c r="F88"/>
  <c r="F89"/>
  <c r="F95"/>
  <c r="E95" s="1"/>
  <c r="F90"/>
  <c r="F91"/>
  <c r="G27" i="2" l="1"/>
  <c r="F98" i="79"/>
  <c r="F104"/>
  <c r="E104" s="1"/>
  <c r="F99"/>
  <c r="F100"/>
  <c r="F101"/>
  <c r="F97"/>
  <c r="G28" i="2" l="1"/>
  <c r="G29" s="1"/>
  <c r="F108" i="79"/>
  <c r="F114"/>
  <c r="E114" s="1"/>
  <c r="F109"/>
  <c r="F110"/>
  <c r="F106"/>
  <c r="F111"/>
  <c r="F107"/>
  <c r="G30" i="2" l="1"/>
  <c r="G35" s="1"/>
  <c r="G36" s="1"/>
  <c r="F122" i="79"/>
  <c r="E122" s="1"/>
  <c r="F123" s="1"/>
  <c r="E123" s="1"/>
  <c r="F118"/>
  <c r="F119"/>
  <c r="F120"/>
  <c r="F116"/>
  <c r="F117"/>
  <c r="D3" i="63" l="1"/>
  <c r="D5" i="59"/>
  <c r="D3" i="58"/>
  <c r="F130" i="79"/>
  <c r="F126"/>
  <c r="F127"/>
  <c r="F133"/>
  <c r="E133" s="1"/>
  <c r="F134" s="1"/>
  <c r="E134" s="1"/>
  <c r="F135" s="1"/>
  <c r="E135" s="1"/>
  <c r="F136" s="1"/>
  <c r="E136" s="1"/>
  <c r="F137" s="1"/>
  <c r="E137" s="1"/>
  <c r="F128"/>
  <c r="F129"/>
  <c r="F125"/>
  <c r="F157" l="1"/>
  <c r="F151"/>
  <c r="F147"/>
  <c r="F141"/>
  <c r="F158"/>
  <c r="F154"/>
  <c r="F148"/>
  <c r="F142"/>
  <c r="F155"/>
  <c r="F149"/>
  <c r="F143"/>
  <c r="F161"/>
  <c r="E161" s="1"/>
  <c r="F156"/>
  <c r="F150"/>
  <c r="F144"/>
  <c r="F140"/>
  <c r="F167" l="1"/>
  <c r="F163"/>
  <c r="F168"/>
  <c r="F164"/>
  <c r="F165"/>
  <c r="F171"/>
  <c r="E171" s="1"/>
  <c r="F172" s="1"/>
  <c r="E172" s="1"/>
  <c r="F173" s="1"/>
  <c r="E173" s="1"/>
  <c r="F174" s="1"/>
  <c r="E174" s="1"/>
  <c r="F166"/>
  <c r="F185" l="1"/>
  <c r="F179"/>
  <c r="F191"/>
  <c r="E191" s="1"/>
  <c r="F186"/>
  <c r="F180"/>
  <c r="F187"/>
  <c r="F181"/>
  <c r="F177"/>
  <c r="F188"/>
  <c r="F184"/>
  <c r="F178"/>
  <c r="F195" l="1"/>
  <c r="F201"/>
  <c r="E201" s="1"/>
  <c r="F202" s="1"/>
  <c r="E202" s="1"/>
  <c r="F196"/>
  <c r="F197"/>
  <c r="F193"/>
  <c r="F198"/>
  <c r="F194"/>
  <c r="F208" l="1"/>
  <c r="F204"/>
  <c r="F209"/>
  <c r="F205"/>
  <c r="F206"/>
  <c r="F212"/>
  <c r="E212" s="1"/>
  <c r="F213" s="1"/>
  <c r="E213" s="1"/>
  <c r="F207"/>
  <c r="F217" l="1"/>
  <c r="F223"/>
  <c r="E223" s="1"/>
  <c r="F218"/>
  <c r="F219"/>
  <c r="F215"/>
  <c r="F220"/>
  <c r="F216"/>
  <c r="F232" l="1"/>
  <c r="E232" s="1"/>
  <c r="F227"/>
  <c r="F228"/>
  <c r="F229"/>
  <c r="F225"/>
  <c r="F226"/>
  <c r="F237" l="1"/>
  <c r="F238"/>
  <c r="F234"/>
  <c r="F235"/>
  <c r="F240"/>
  <c r="E240" s="1"/>
  <c r="F236"/>
  <c r="F246" l="1"/>
  <c r="F242"/>
  <c r="F247"/>
  <c r="F243"/>
  <c r="F244"/>
  <c r="F250"/>
  <c r="E250" s="1"/>
  <c r="F251" s="1"/>
  <c r="E251" s="1"/>
  <c r="F245"/>
  <c r="F259" l="1"/>
  <c r="E259" s="1"/>
  <c r="F255"/>
  <c r="F256"/>
  <c r="F257"/>
  <c r="F253"/>
  <c r="F254"/>
  <c r="F264" l="1"/>
  <c r="F265"/>
  <c r="F261"/>
  <c r="F262"/>
  <c r="F267"/>
  <c r="E267" s="1"/>
  <c r="F268" s="1"/>
  <c r="E268" s="1"/>
  <c r="F263"/>
  <c r="F276" l="1"/>
  <c r="E276" s="1"/>
  <c r="F272"/>
  <c r="F273"/>
  <c r="F274"/>
  <c r="F270"/>
  <c r="F271"/>
  <c r="F281" l="1"/>
  <c r="F282"/>
  <c r="F278"/>
  <c r="F283"/>
  <c r="F279"/>
  <c r="F286"/>
  <c r="F280"/>
</calcChain>
</file>

<file path=xl/sharedStrings.xml><?xml version="1.0" encoding="utf-8"?>
<sst xmlns="http://schemas.openxmlformats.org/spreadsheetml/2006/main" count="4439" uniqueCount="1161">
  <si>
    <t>CHECK-SLIP TO ACCOMPANY ESTIMATES FOR CIVIL WORKS</t>
  </si>
  <si>
    <t xml:space="preserve">  Name of the project/scheme/work      </t>
  </si>
  <si>
    <t>:</t>
  </si>
  <si>
    <t>Improvements to Seshavataram channel from km 5.000 to km 8.925 by C.C.lining &amp; Widening from km 3.350 to km 5.350 and constructing a tail dam at km 8.925 in Narasapuram (M) of  W.G.District.</t>
  </si>
  <si>
    <t xml:space="preserve">Estimate Amount                                                  </t>
  </si>
  <si>
    <t xml:space="preserve">Category of Project/Scheme/Work                     </t>
  </si>
  <si>
    <t>Major irrigation</t>
  </si>
  <si>
    <r>
      <rPr>
        <sz val="11"/>
        <color indexed="8"/>
        <rFont val="Times New Roman"/>
        <family val="1"/>
      </rPr>
      <t xml:space="preserve">   Location / District / Mandal / Village                </t>
    </r>
  </si>
  <si>
    <r>
      <rPr>
        <sz val="11"/>
        <color indexed="8"/>
        <rFont val="Times New Roman"/>
        <family val="1"/>
      </rPr>
      <t xml:space="preserve">  Scope of the work in brief                                 </t>
    </r>
  </si>
  <si>
    <r>
      <rPr>
        <sz val="11"/>
        <color indexed="8"/>
        <rFont val="Times New Roman"/>
        <family val="1"/>
      </rPr>
      <t xml:space="preserve">  Ayacut proposed ­– wet / ID       </t>
    </r>
  </si>
  <si>
    <t>Wet</t>
  </si>
  <si>
    <r>
      <rPr>
        <sz val="11"/>
        <color indexed="8"/>
        <rFont val="Times New Roman"/>
        <family val="1"/>
      </rPr>
      <t xml:space="preserve"> Cropping pattern                                                   </t>
    </r>
  </si>
  <si>
    <t xml:space="preserve"> Source / River basin / Sub basin / Sub minor     </t>
  </si>
  <si>
    <r>
      <rPr>
        <sz val="11"/>
        <color indexed="8"/>
        <rFont val="Times New Roman"/>
        <family val="1"/>
      </rPr>
      <t xml:space="preserve"> Availability of water at the right                           </t>
    </r>
  </si>
  <si>
    <t>Narasapuram main canal</t>
  </si>
  <si>
    <t xml:space="preserve">Allocation of  water / utilization                          </t>
  </si>
  <si>
    <r>
      <rPr>
        <sz val="11"/>
        <color indexed="8"/>
        <rFont val="Times New Roman"/>
        <family val="1"/>
      </rPr>
      <t xml:space="preserve"> Reference in which hydrological clearance   was accorded by the component authority.</t>
    </r>
  </si>
  <si>
    <r>
      <rPr>
        <sz val="11"/>
        <color indexed="8"/>
        <rFont val="Times New Roman"/>
        <family val="1"/>
      </rPr>
      <t xml:space="preserve">   Cost per Acre                                                            </t>
    </r>
  </si>
  <si>
    <r>
      <rPr>
        <sz val="11"/>
        <color indexed="8"/>
        <rFont val="Times New Roman"/>
        <family val="1"/>
      </rPr>
      <t xml:space="preserve">  B.C Ratio                                                               </t>
    </r>
  </si>
  <si>
    <t xml:space="preserve">Whether the report accompanying the estimate detailed estimate and Abstract estimate are enclosed.        </t>
  </si>
  <si>
    <t>Yes- Enclosed</t>
  </si>
  <si>
    <t xml:space="preserve">Whether salient features are enclosed        </t>
  </si>
  <si>
    <t>Whether command area plan / index  plans enclosed</t>
  </si>
  <si>
    <t xml:space="preserve">Whether the approved drawing / Designs   /Hydraulic particulars/cross sections are enclosed.                                          </t>
  </si>
  <si>
    <t xml:space="preserve"> Whether C.C lining thickness Grade of  concrete layer thickness proposedare with</t>
  </si>
  <si>
    <t>Whether the data enclosed is based on the current SSR with year</t>
  </si>
  <si>
    <t>Whether latest cement / steel rates are adopted</t>
  </si>
  <si>
    <t>Yes</t>
  </si>
  <si>
    <t xml:space="preserve">Whether the quotations for non SSR. Enclosed  </t>
  </si>
  <si>
    <t>Whether the lead statement with certificates is enclosed</t>
  </si>
  <si>
    <t>Whether Barrow area / Quarry maps are enclosed</t>
  </si>
  <si>
    <t>Whether the amount of labour component and certificate of L.A and L.I furnished</t>
  </si>
  <si>
    <t>Whether Geological and foundation  investigation carried out</t>
  </si>
  <si>
    <t>Whether the extent of L.A./Forest lands is furnished.</t>
  </si>
  <si>
    <t>Are the rates of L.A. adopted based on the certificate issued by the Revenue authorities.</t>
  </si>
  <si>
    <t>Whether provision for compensatory     afforestation and NPV is provided in consultation with forest Department.</t>
  </si>
  <si>
    <t>Whether the cost CM &amp; CR works in based on cost curve updated with SSR.</t>
  </si>
  <si>
    <t>Whether provisions made for dewatering and other L.S provisions are reasonable.</t>
  </si>
  <si>
    <t>Whether the provision for formation of Road NH crossing railaway crossing and other road crossing is based on their specifications and standards.</t>
  </si>
  <si>
    <t>Whether the site was inspected by the competent authority before submitting the estimate as indicated below.if so furnish the date of inspection and confirm whether the estimate is prepared keeping in view of the observations.</t>
  </si>
  <si>
    <t xml:space="preserve">Are the estimates / DATA checked in SEs offices     </t>
  </si>
  <si>
    <t>Are the provisions examined / abstract estimate checked in CE's office</t>
  </si>
  <si>
    <t>Whether the check slip for Admn. approval is enclosed</t>
  </si>
  <si>
    <t xml:space="preserve">Whether all officers up to CE signed             </t>
  </si>
  <si>
    <t>Construction Programme of the project / scheme work</t>
  </si>
  <si>
    <t xml:space="preserve">Q.C. Check authority proposed for the work      </t>
  </si>
  <si>
    <t>CHECK SLIP TO ACCOMPANY THE ESTIMATE FOR CIVIL WORKS</t>
  </si>
  <si>
    <t>1)</t>
  </si>
  <si>
    <t xml:space="preserve">Name of work                                </t>
  </si>
  <si>
    <t>2)</t>
  </si>
  <si>
    <t xml:space="preserve">Cost of work                                     </t>
  </si>
  <si>
    <t>3)</t>
  </si>
  <si>
    <t xml:space="preserve">Provision in the Project Estimate </t>
  </si>
  <si>
    <t xml:space="preserve">a) Report in the form as prescribed in govt memo no.1514-G1/79-1 dt:01.11.79                     </t>
  </si>
  <si>
    <t xml:space="preserve">b) Abstract of Estimate as prescribed in CE.G1,Circular No.F4/7071/79-4 dt:01.11.79                  </t>
  </si>
  <si>
    <t xml:space="preserve">c) General index plan ,site and typical drawings showing the general features of work                    </t>
  </si>
  <si>
    <t>4)</t>
  </si>
  <si>
    <t>Designation of highest officer who inspected and the date of inspection for</t>
  </si>
  <si>
    <t xml:space="preserve">a) Classification of soils                 </t>
  </si>
  <si>
    <t xml:space="preserve">c) Site of important structures            </t>
  </si>
  <si>
    <t>5)</t>
  </si>
  <si>
    <t xml:space="preserve">Whether the L.S.Provision is in accordance with CE.G1.Circular No.F4/7071/79-5 dt:10.11.79           </t>
  </si>
  <si>
    <t>6)</t>
  </si>
  <si>
    <t xml:space="preserve">Whether provision for L.I &amp; L.A Charges is shown seperately on lumpsum as per G.O.Ms.No.385 dt:25.10.79   </t>
  </si>
  <si>
    <t>7)</t>
  </si>
  <si>
    <t xml:space="preserve">Whether vthe rates for earthwork by machinery and gates ,hoists,etc are based on sub estimates prepared by the mechanical organisation              </t>
  </si>
  <si>
    <t>8)</t>
  </si>
  <si>
    <t xml:space="preserve">Proposed date of commencement of work                                      </t>
  </si>
  <si>
    <t>9)</t>
  </si>
  <si>
    <t xml:space="preserve">Proposed date of completion of work   </t>
  </si>
  <si>
    <t>CHECK MEMO FOR NEW SCHEMES</t>
  </si>
  <si>
    <t>I.</t>
  </si>
  <si>
    <t>TECHNICAL DETAILS</t>
  </si>
  <si>
    <t>Name of the Project / Scheme / Location</t>
  </si>
  <si>
    <t>Objective</t>
  </si>
  <si>
    <t>To provide the irrigated water  and drinking water  to the tail end ayacut in Narasapuram mandalam</t>
  </si>
  <si>
    <t>Cost</t>
  </si>
  <si>
    <t>Head of Account</t>
  </si>
  <si>
    <t>4700-01-114-11-27-530-531 (Godavari Modernization Head of Account)</t>
  </si>
  <si>
    <t>Is detailed surveying &amp; investigation is completedand designs / drawings approved by the competent authority for Stage-I</t>
  </si>
  <si>
    <t>Invistigation completed</t>
  </si>
  <si>
    <t>Brief hydrology details viz., source, quantum of water required, whether H.C. obtained from the competent authority, if so reference of approval etc.</t>
  </si>
  <si>
    <t>Extent of forest land / non-forest land to be acquired and its cost with the support of land value certificate issued by Revenue Department.</t>
  </si>
  <si>
    <t>Proposed extent of IP. Creation / stabilization.</t>
  </si>
  <si>
    <t xml:space="preserve">Stabilization of ayacutt nearly 3000 acres </t>
  </si>
  <si>
    <t>Cost per Acre</t>
  </si>
  <si>
    <t>-</t>
  </si>
  <si>
    <t>10)</t>
  </si>
  <si>
    <t>Cost benefit ratio</t>
  </si>
  <si>
    <t>11)</t>
  </si>
  <si>
    <t>Specific reference of C.M.Assurances / specific orders of Hon’ble C.M., if any.</t>
  </si>
  <si>
    <t>CMP No. 990/Addl. Secy/2020, dated 25-01-2020</t>
  </si>
  <si>
    <t>12)</t>
  </si>
  <si>
    <t>Justification and recommendation of HOD for considering the project / Scheme</t>
  </si>
  <si>
    <t>II.</t>
  </si>
  <si>
    <t>FINANCIAL DETAILS</t>
  </si>
  <si>
    <t>Budget check slip as per the guidelines of Finance Dept., is enclosed?</t>
  </si>
  <si>
    <t xml:space="preserve">Is the Project / Scheme cost permissible as per the FRBM.Act? </t>
  </si>
  <si>
    <t>Abstract Esimate</t>
  </si>
  <si>
    <t>S.No</t>
  </si>
  <si>
    <t>Quantity</t>
  </si>
  <si>
    <t>Unit</t>
  </si>
  <si>
    <t>Description of the Work</t>
  </si>
  <si>
    <t>Rate</t>
  </si>
  <si>
    <t>Per</t>
  </si>
  <si>
    <t>Amount in Rs.</t>
  </si>
  <si>
    <t>cum</t>
  </si>
  <si>
    <t>1 cum</t>
  </si>
  <si>
    <t>Nos</t>
  </si>
  <si>
    <t>1 No</t>
  </si>
  <si>
    <t>RMT</t>
  </si>
  <si>
    <t>1 RM</t>
  </si>
  <si>
    <t>Tonne</t>
  </si>
  <si>
    <t xml:space="preserve">OT  sluice shutters screw gear hoist including platform for below 5 Tons capacity (small gates )Fabrication, Supply,erection,testind, and commissioning of embeded parts consisting of supporting structures, platform etc., with all accessories for operating canal escape/regulator gate with all accessories including cost of all materials,machinery,labour,cutting,bending,aligninig,anchoring,welding,finishing etc., complete as per specifictions and approved drawings. </t>
  </si>
  <si>
    <t>1 Tonne</t>
  </si>
  <si>
    <t>OT sluice shutters EM parts below 5 Tons capacity (small gates)-  Fabrication,supply,erection,testing and commissioning of Embede parts consisting of sil beams,slide tracks, seal seats, guide plates etc., with all accessories including cost of all materials, machinery,labour,etc., complete as per specifications and drawings.</t>
  </si>
  <si>
    <t>OT sluice shutters for below 5 Tons capacity ( small gates )- Fabrication,supply, erection, testing and commissioning of sluice shutters consisting of skin plate, horizontal and vertical angles,stiffnners,rubber seals,clamps with all accessories for sluice shutters includingcost of ll materials, machinery, labour, seal fixing etc., complete as per specifications and approvede drawings.</t>
  </si>
  <si>
    <t>Sqm</t>
  </si>
  <si>
    <t>Surface cleaning of metal surface by chimical cleaners and then by hand power tool cleners and removing dust. After cleaning applying primery coat with one coat of zinc rich epxy primer to a thickness of 100 microns followed by finishing coats with coal tar epoxy with material labour and all accessories with all leads and lifts.</t>
  </si>
  <si>
    <t>1 Sqm</t>
  </si>
  <si>
    <t>(A) Total working items amount</t>
  </si>
  <si>
    <t>L.S</t>
  </si>
  <si>
    <t>(B) Provision towards seigniorage charges</t>
  </si>
  <si>
    <t xml:space="preserve"> ( C ) Total of (A+B)</t>
  </si>
  <si>
    <t xml:space="preserve">      </t>
  </si>
  <si>
    <t>(D) Provision towards NAC @0.10% on     (  C  )</t>
  </si>
  <si>
    <t>Total Estimate cost in Rs. Lakh</t>
  </si>
  <si>
    <t xml:space="preserve">Detailed Estimate </t>
  </si>
  <si>
    <t>L</t>
  </si>
  <si>
    <t>B</t>
  </si>
  <si>
    <t>D</t>
  </si>
  <si>
    <t>Content</t>
  </si>
  <si>
    <t>Cum</t>
  </si>
  <si>
    <t>Total in Cum</t>
  </si>
  <si>
    <t>or say</t>
  </si>
  <si>
    <t>U/S and D/S head wall</t>
  </si>
  <si>
    <t xml:space="preserve">For Pipe Portion </t>
  </si>
  <si>
    <t>Total of (A+B) in Cum</t>
  </si>
  <si>
    <t>Total in RMT</t>
  </si>
  <si>
    <t>Separate sheet enclosed</t>
  </si>
  <si>
    <t>Provision towards Seigniorage Charges .</t>
  </si>
  <si>
    <t>Provision towards NAC @0.10%</t>
  </si>
  <si>
    <t>Provision towards GST @ 18%</t>
  </si>
  <si>
    <t xml:space="preserve">Provision towards Land acquisition </t>
  </si>
  <si>
    <t>Description of item</t>
  </si>
  <si>
    <t>Dia. Of bar in mm</t>
  </si>
  <si>
    <t>Spacing C/C  in mm</t>
  </si>
  <si>
    <t>Length in Mts.</t>
  </si>
  <si>
    <t>Total length in mts. (5) X (6)</t>
  </si>
  <si>
    <t>Specific weight in Kg/m</t>
  </si>
  <si>
    <t xml:space="preserve">Weight in Kg (7) X (8) </t>
  </si>
  <si>
    <t>BAR BENDING SCHEDULE</t>
  </si>
  <si>
    <t>Unit weight</t>
  </si>
  <si>
    <t>(1)</t>
  </si>
  <si>
    <t>(2)</t>
  </si>
  <si>
    <t>(3)</t>
  </si>
  <si>
    <t>(4)</t>
  </si>
  <si>
    <t>(5)</t>
  </si>
  <si>
    <t>(6)</t>
  </si>
  <si>
    <t>(7)</t>
  </si>
  <si>
    <t>(8)</t>
  </si>
  <si>
    <t>(9)</t>
  </si>
  <si>
    <t>cutt off wall main bar ( Left)  along creek</t>
  </si>
  <si>
    <t>2 x 69</t>
  </si>
  <si>
    <t>cutt off wall distribution bar ( Left)  along creek</t>
  </si>
  <si>
    <t>2  X 20</t>
  </si>
  <si>
    <t>cutt off wall main bar ( Right)  along creek</t>
  </si>
  <si>
    <t>cutt off wall distribution  bar (Right))  along creek</t>
  </si>
  <si>
    <t>cutt off wall main bar ( U/S)  across creek</t>
  </si>
  <si>
    <t>cutt off wall distribution bar ( U/S)  across creek</t>
  </si>
  <si>
    <t>cutt off wall main bar ( D/S)  across creek</t>
  </si>
  <si>
    <t>cutt off wall distribution bar ( D/S)  across creek</t>
  </si>
  <si>
    <t>Raft Bottom mat main bar</t>
  </si>
  <si>
    <t>Raft Bottom mat distribution bar</t>
  </si>
  <si>
    <t>Raft Top mat main bar</t>
  </si>
  <si>
    <t>Raft Top mat distribution bar</t>
  </si>
  <si>
    <t>Pier P1, P2 and P3 main bar</t>
  </si>
  <si>
    <t>3 X 60</t>
  </si>
  <si>
    <t>Pier P1, P2 and P3  stirrups (Rings)</t>
  </si>
  <si>
    <t>3 X 64</t>
  </si>
  <si>
    <t xml:space="preserve">Abutment A1 and A2 main bars </t>
  </si>
  <si>
    <t>2 x 2 x 35</t>
  </si>
  <si>
    <t xml:space="preserve">Abutment A1 and A2 distriburion bars </t>
  </si>
  <si>
    <t>2 x 2  x 56</t>
  </si>
  <si>
    <t>Slab bottom main bar ( 4 Nos)</t>
  </si>
  <si>
    <t>4 x 44</t>
  </si>
  <si>
    <t>Slab bottom distribution bar ( 4 Nos)</t>
  </si>
  <si>
    <t>4 x 43</t>
  </si>
  <si>
    <t>4 x 23</t>
  </si>
  <si>
    <t>Kerb main bars  (8 Nos)</t>
  </si>
  <si>
    <t>8 X 5</t>
  </si>
  <si>
    <t>Kerb stirrups bars  (8 Nos)</t>
  </si>
  <si>
    <t>8 x 35</t>
  </si>
  <si>
    <t>Hand rails vertical bars</t>
  </si>
  <si>
    <t>8 x 40 x 4</t>
  </si>
  <si>
    <t>Hand rails stirrups bars</t>
  </si>
  <si>
    <t>Pier bed block main bar bottom               ( 3 Nos)</t>
  </si>
  <si>
    <t>,-</t>
  </si>
  <si>
    <t>3 x 8</t>
  </si>
  <si>
    <t>Pier bed block main bar Top                       ( 3 Nos)</t>
  </si>
  <si>
    <t>Pier bed block  stirrups  ( 3 Nos)</t>
  </si>
  <si>
    <t>3 x 37</t>
  </si>
  <si>
    <t>Abutment A1 and A2 bed block main bar  (bottom)</t>
  </si>
  <si>
    <t>2 X 8</t>
  </si>
  <si>
    <t>Abutment A1 and A2 bed block main bar  (top)</t>
  </si>
  <si>
    <t>Abutment A1 and A2 bed block stirrups</t>
  </si>
  <si>
    <t xml:space="preserve"> 2 x 37</t>
  </si>
  <si>
    <t>Abutment Dirt wall A1 and A2</t>
  </si>
  <si>
    <t>2 X 2 x 7</t>
  </si>
  <si>
    <t xml:space="preserve">Abutment Dirt wall A1 and A2 -2 legged stirrups </t>
  </si>
  <si>
    <t>2 x 2 x 16</t>
  </si>
  <si>
    <t>Aproach slab main bar bottom ( entrance and Exist)</t>
  </si>
  <si>
    <t>2 x 35</t>
  </si>
  <si>
    <t>Aproach slab distribution bar bottom ( entrance and Exist)</t>
  </si>
  <si>
    <t>2 x 25</t>
  </si>
  <si>
    <t>Aproach slab main bar top ( entrance and Exist)</t>
  </si>
  <si>
    <t>Aproach slab distribution bar top ( entrance and Exist)</t>
  </si>
  <si>
    <t>Wing wall bottom mat main bar</t>
  </si>
  <si>
    <t>4 x 85</t>
  </si>
  <si>
    <t xml:space="preserve">Wing wall bottom mat distribution  bar </t>
  </si>
  <si>
    <t>4 x 16</t>
  </si>
  <si>
    <t>Wing wall top mat main bar</t>
  </si>
  <si>
    <t>4 x 47</t>
  </si>
  <si>
    <t xml:space="preserve">Wing wall top mat distribution  bar </t>
  </si>
  <si>
    <t>Wing wall vertical bars  earth side</t>
  </si>
  <si>
    <t>Wing wall distribution earth side</t>
  </si>
  <si>
    <t>4 x 35</t>
  </si>
  <si>
    <t>Wing wall vertical bars  canal  side</t>
  </si>
  <si>
    <t>4 x 68</t>
  </si>
  <si>
    <t>Wing wall distribution canal side</t>
  </si>
  <si>
    <t>Total</t>
  </si>
  <si>
    <t>or say kgs</t>
  </si>
  <si>
    <t>Sl.No</t>
  </si>
  <si>
    <t>MT</t>
  </si>
  <si>
    <t>S.No.</t>
  </si>
  <si>
    <t>Name of the Channel</t>
  </si>
  <si>
    <t>Location @km</t>
  </si>
  <si>
    <t>Type of Structure</t>
  </si>
  <si>
    <t>Remarks</t>
  </si>
  <si>
    <t>Pipe Culvert</t>
  </si>
  <si>
    <t>Tail Dam</t>
  </si>
  <si>
    <t>Land Acquisition</t>
  </si>
  <si>
    <t>Length in mts.</t>
  </si>
  <si>
    <t>Width in mts.</t>
  </si>
  <si>
    <t>Area in Sqm.</t>
  </si>
  <si>
    <t>Total in Sqm</t>
  </si>
  <si>
    <t>T.B.L=F.S.D+</t>
  </si>
  <si>
    <t>F.S.D</t>
  </si>
  <si>
    <t>1.5 : 1</t>
  </si>
  <si>
    <t>B.W=</t>
  </si>
  <si>
    <t>Total width</t>
  </si>
  <si>
    <t>mm=</t>
  </si>
  <si>
    <t>DATA</t>
  </si>
  <si>
    <t>IRR-CAW-1-2</t>
  </si>
  <si>
    <t>Excavation in all kinds of soil including boulders upto 0.30 m dia for field channels, seating</t>
  </si>
  <si>
    <t>of embankment for field channels etc., including dressing of bed and sides to required profile,</t>
  </si>
  <si>
    <t>cost of all materials, machinery, labour, placing the excavated stuff for formation of service</t>
  </si>
  <si>
    <t>road / embankment as directed etc., complete with lead upto 10 m and lift upto 3 m.</t>
  </si>
  <si>
    <t>DATA:</t>
  </si>
  <si>
    <t>RATE ANALYSIS</t>
  </si>
  <si>
    <t>UNIT :</t>
  </si>
  <si>
    <t>A. MATERIALS:</t>
  </si>
  <si>
    <t>Sl No</t>
  </si>
  <si>
    <t>particulars</t>
  </si>
  <si>
    <t>Amount</t>
  </si>
  <si>
    <t>in Rs.</t>
  </si>
  <si>
    <t>NIL</t>
  </si>
  <si>
    <t>Total cost of Materials</t>
  </si>
  <si>
    <t>Rs:</t>
  </si>
  <si>
    <t>B. MACHINERY:</t>
  </si>
  <si>
    <t>Description</t>
  </si>
  <si>
    <t>Shovel 0.50 cum capacity</t>
  </si>
  <si>
    <t>Hour</t>
  </si>
  <si>
    <t>Fuel / Energy charges</t>
  </si>
  <si>
    <t>Total hire charges of Machinery</t>
  </si>
  <si>
    <t>C. LABOUR:</t>
  </si>
  <si>
    <t>Crew for Shovel</t>
  </si>
  <si>
    <t>work inspector</t>
  </si>
  <si>
    <t>Day</t>
  </si>
  <si>
    <t>mazdoor</t>
  </si>
  <si>
    <t>Total cost of Labour</t>
  </si>
  <si>
    <t>labour component/unit qty</t>
  </si>
  <si>
    <t>Add contractor's profit and overhead charges</t>
  </si>
  <si>
    <t>labour component/unit qty (including contractor's profit)</t>
  </si>
  <si>
    <t>ABSTRACT:</t>
  </si>
  <si>
    <t>A. Cost of Materials</t>
  </si>
  <si>
    <t>B. Hire charges of Machinery</t>
  </si>
  <si>
    <t>C. Cost of Labour</t>
  </si>
  <si>
    <t>Total      Rs:</t>
  </si>
  <si>
    <t>D. Add for contractor's profit and overheads on (A+B+C)</t>
  </si>
  <si>
    <t>Total cost for</t>
  </si>
  <si>
    <t>Rate per</t>
  </si>
  <si>
    <t>(A+B+C+D)/440</t>
  </si>
  <si>
    <t>Rs.</t>
  </si>
  <si>
    <t>Gravel</t>
  </si>
  <si>
    <t>5 hp pump ( diesel )</t>
  </si>
  <si>
    <t>E.Conveyance Charges</t>
  </si>
  <si>
    <t>Particulars</t>
  </si>
  <si>
    <t>Lead Charges</t>
  </si>
  <si>
    <t>Add contractor profit@13.615%</t>
  </si>
  <si>
    <t>IRR-CAW-7-15</t>
  </si>
  <si>
    <r>
      <rPr>
        <sz val="10"/>
        <rFont val="Times New Roman"/>
        <family val="1"/>
      </rPr>
      <t xml:space="preserve">Providing and </t>
    </r>
    <r>
      <rPr>
        <b/>
        <sz val="10"/>
        <rFont val="Times New Roman"/>
        <family val="1"/>
      </rPr>
      <t>laying insitu vibrated M-15</t>
    </r>
    <r>
      <rPr>
        <sz val="10"/>
        <rFont val="Times New Roman"/>
        <family val="1"/>
      </rPr>
      <t xml:space="preserve"> ( 28 days cube compressive strength not less than</t>
    </r>
  </si>
  <si>
    <r>
      <rPr>
        <sz val="10"/>
        <rFont val="Times New Roman"/>
        <family val="1"/>
      </rPr>
      <t xml:space="preserve">15 N /sq mm ) grade cement concrete using </t>
    </r>
    <r>
      <rPr>
        <b/>
        <sz val="10"/>
        <rFont val="Times New Roman"/>
        <family val="1"/>
      </rPr>
      <t>20 mm down size</t>
    </r>
    <r>
      <rPr>
        <sz val="10"/>
        <rFont val="Times New Roman"/>
        <family val="1"/>
      </rPr>
      <t xml:space="preserve"> approved, clean, hard, graded</t>
    </r>
  </si>
  <si>
    <r>
      <rPr>
        <sz val="9"/>
        <rFont val="Times New Roman"/>
        <family val="1"/>
      </rPr>
      <t xml:space="preserve">aggregates </t>
    </r>
    <r>
      <rPr>
        <b/>
        <sz val="9"/>
        <rFont val="Times New Roman"/>
        <family val="1"/>
      </rPr>
      <t>for bed and side lining of canal(100 mm thick)</t>
    </r>
    <r>
      <rPr>
        <sz val="9"/>
        <rFont val="Times New Roman"/>
        <family val="1"/>
      </rPr>
      <t xml:space="preserve"> including finishing the junction of bed and sides</t>
    </r>
  </si>
  <si>
    <t>to required curveture, cost of all materials, machinery, labour, formwork including supports,</t>
  </si>
  <si>
    <t>cleaning, batching, mixing, placing in position, levelling, vibrating, finishing, curing etc.,</t>
  </si>
  <si>
    <r>
      <rPr>
        <sz val="10"/>
        <rFont val="Times New Roman"/>
        <family val="1"/>
      </rPr>
      <t xml:space="preserve">complete </t>
    </r>
    <r>
      <rPr>
        <b/>
        <sz val="10"/>
        <rFont val="Times New Roman"/>
        <family val="1"/>
      </rPr>
      <t xml:space="preserve">with initial lead upto 50 m and all lifts. </t>
    </r>
  </si>
  <si>
    <t>(Cement content: 300 kg / cum for use of super plasticiser(0.4% by wt. of cement),</t>
  </si>
  <si>
    <t>CA : 0.80 cum, Blending Ratio of CA--65:35,  FA : 0.45 cum)</t>
  </si>
  <si>
    <t>Cement for mix</t>
  </si>
  <si>
    <t>kg</t>
  </si>
  <si>
    <t>Cement for incidentals @ 5 kg / cum</t>
  </si>
  <si>
    <t>Coarse aggregate 20-10 mm</t>
  </si>
  <si>
    <t>Coarse aggregate 10 mm below</t>
  </si>
  <si>
    <t>Fine aggregate (Un-Screened)</t>
  </si>
  <si>
    <t>Super Plasticizer</t>
  </si>
  <si>
    <t>Use rate of manual paver</t>
  </si>
  <si>
    <t>sqm</t>
  </si>
  <si>
    <t>Sundries</t>
  </si>
  <si>
    <t>LS</t>
  </si>
  <si>
    <t>Concrete mixer 600/400 ltr ( diesel )</t>
  </si>
  <si>
    <t>Water tanker 8000 ltr</t>
  </si>
  <si>
    <t>Needle vibrator 40 mm dia ( petrol )</t>
  </si>
  <si>
    <t>Crew for Concrete mixer</t>
  </si>
  <si>
    <t>Crew for Pump</t>
  </si>
  <si>
    <t>Crew for Water tanker</t>
  </si>
  <si>
    <t>Crew for Vibrator</t>
  </si>
  <si>
    <t>Mason Class-I</t>
  </si>
  <si>
    <t>Fitter</t>
  </si>
  <si>
    <t>for batching materials</t>
  </si>
  <si>
    <t>for loading mortar pans</t>
  </si>
  <si>
    <t>for laying and moving paver</t>
  </si>
  <si>
    <t>for conveying concrete</t>
  </si>
  <si>
    <t>for cleaning/ washing/ curing</t>
  </si>
  <si>
    <t>E.Rate per 1 cum</t>
  </si>
  <si>
    <t>(A+B+C+D)/23.10</t>
  </si>
  <si>
    <t>F.Conveyance charges</t>
  </si>
  <si>
    <t>Add contractor profit @13.615%</t>
  </si>
  <si>
    <t>Total conveyance chares</t>
  </si>
  <si>
    <t>Conveyance charges  per 1cum</t>
  </si>
  <si>
    <t>Total cost per 1 cum (E + F )</t>
  </si>
  <si>
    <t>IRR-CAW-5-7</t>
  </si>
  <si>
    <t>Laying and fixing of 100 mm Dia 300 mm long precast porus CC plugs in bed and sides</t>
  </si>
  <si>
    <t>using 0.787 Kgs of cement per each using 20 mm HG metal and placing in local filters of size</t>
  </si>
  <si>
    <t>600x600x750 mm in size including Excavation of drains and Cost of procuring of all materials</t>
  </si>
  <si>
    <t>including 50 m lead and for all lifts.</t>
  </si>
  <si>
    <t>(Thickness of lining=100 mm)</t>
  </si>
  <si>
    <t>Rate Analysis</t>
  </si>
  <si>
    <t>Plug</t>
  </si>
  <si>
    <t>Qty</t>
  </si>
  <si>
    <t>Rate in Rs</t>
  </si>
  <si>
    <t>Coarse aggregate</t>
  </si>
  <si>
    <t>Sand (Un-Screened )</t>
  </si>
  <si>
    <t>Cement</t>
  </si>
  <si>
    <t>Kg</t>
  </si>
  <si>
    <t>Total cost of materials</t>
  </si>
  <si>
    <t>B. MACHINERY</t>
  </si>
  <si>
    <t>Rate in Rs.</t>
  </si>
  <si>
    <t>Excavation of drain with  Excavator</t>
  </si>
  <si>
    <t>Machine mixing Charges</t>
  </si>
  <si>
    <t>Total Rs.</t>
  </si>
  <si>
    <t>C. LABOUR</t>
  </si>
  <si>
    <t>Mazdoor</t>
  </si>
  <si>
    <t>ABSTRACT</t>
  </si>
  <si>
    <t>each plug</t>
  </si>
  <si>
    <t>(A+B+C+D)/1.0</t>
  </si>
  <si>
    <t>IRR-CCDW-1-2</t>
  </si>
  <si>
    <t>Excavation for Structures- Mechanical Means</t>
  </si>
  <si>
    <t>( Data adopted from MORTH)</t>
  </si>
  <si>
    <t xml:space="preserve">Earth work in excavation in all kinds of soils  of foundation of  structures as per drawing and </t>
  </si>
  <si>
    <t>technical specification, including setting out, construction of shoring and bracing, removal of stumps</t>
  </si>
  <si>
    <t>and other deleterious matter, dressing  of sides and bottom and backfilling with approved material.</t>
  </si>
  <si>
    <t>Depth upto 3 m</t>
  </si>
  <si>
    <t>Unit = cum</t>
  </si>
  <si>
    <t>Taking output = 240 cum</t>
  </si>
  <si>
    <t>A. Materials:</t>
  </si>
  <si>
    <t>B. Machinery:</t>
  </si>
  <si>
    <t>Hydraulic excavator 1.0 cum bucket capacity</t>
  </si>
  <si>
    <t>hour</t>
  </si>
  <si>
    <t>Fuel/ Energy charges</t>
  </si>
  <si>
    <t>Total in Rs.</t>
  </si>
  <si>
    <t>C. Labour:</t>
  </si>
  <si>
    <t>day</t>
  </si>
  <si>
    <t>crew for excavator</t>
  </si>
  <si>
    <t>Abstract</t>
  </si>
  <si>
    <t>a) Material</t>
  </si>
  <si>
    <t>Rs</t>
  </si>
  <si>
    <t>b) Machinery</t>
  </si>
  <si>
    <t>c) Labour</t>
  </si>
  <si>
    <t>(A+B+C+D)/240.0</t>
  </si>
  <si>
    <t>IRR-CCDW-3-2</t>
  </si>
  <si>
    <t>Filling foundation wells with sand in layers of 25 to 30 cm and compacting by watering,</t>
  </si>
  <si>
    <t>ramming as directed including cost of all materials, machinery, labour etc., complete with</t>
  </si>
  <si>
    <t>initial lead upto 50 m and all lifts.</t>
  </si>
  <si>
    <t>Bulkage of 5 percent considered.</t>
  </si>
  <si>
    <t>Output of 2 mazdoors per day</t>
  </si>
  <si>
    <t>0.5 mazdoor for levelling and compacting works.</t>
  </si>
  <si>
    <t>Sand for filling</t>
  </si>
  <si>
    <t>Nill</t>
  </si>
  <si>
    <t>E) Rate per 1 cum</t>
  </si>
  <si>
    <t>(A+B+C+D)/15.0</t>
  </si>
  <si>
    <t>Total conveyance charges</t>
  </si>
  <si>
    <t>IRR-CCDW-2-3</t>
  </si>
  <si>
    <t>Providing and laying insitu vibrated M-15 ( 28 days cube compressive strength not less than</t>
  </si>
  <si>
    <t>15 N /sq mm ) grade cement concrete using 40 mm down size approved, clean, hard, graded</t>
  </si>
  <si>
    <t>aggregates for foundation filling including cost of all materials, machinery, labour, formwork,</t>
  </si>
  <si>
    <t xml:space="preserve">complete with initial lead upto 50 m and all lifts. </t>
  </si>
  <si>
    <t>(Cement content: 260 kg / cum with use of super plasticiser(0.4% by wt. of cement),</t>
  </si>
  <si>
    <t>CA : 0.90cum, Blending Ratio of CA--50:30:20, FA : 0.40 cum)</t>
  </si>
  <si>
    <t>Data</t>
  </si>
  <si>
    <t>Cement for incidentals @ 3 kg / cum</t>
  </si>
  <si>
    <t>Coarse aggregate 40-20 mm</t>
  </si>
  <si>
    <t>Use rate of shuttering for 40 uses</t>
  </si>
  <si>
    <t>Scaffolding @  of shuttering</t>
  </si>
  <si>
    <t>Concrete mixer 300/200 ltr ( diesel )</t>
  </si>
  <si>
    <t>Crew for Needle vibrator</t>
  </si>
  <si>
    <t>for laying</t>
  </si>
  <si>
    <t>Labour cost for shuttering</t>
  </si>
  <si>
    <t>Labour cost for scaffolding @</t>
  </si>
  <si>
    <t>(A+B+C+D)/15.38</t>
  </si>
  <si>
    <t>IRR-CCDW-2-10</t>
  </si>
  <si>
    <t>15 N / sq mm ) grade cement concrete using 20 mm down size approved, clean, hard, graded</t>
  </si>
  <si>
    <t>aggregates for sub-structure / super- structure works including cost of all materials,</t>
  </si>
  <si>
    <t>machinery, labour, formwork, scaffolding, cleaning, batching, mixing, placing in position,</t>
  </si>
  <si>
    <t>levelling, vibrating, finishing, curing etc., complete with initial lead upto 50 m and all lifts.</t>
  </si>
  <si>
    <t>(Cement content: 280 kg / cum with use of super plasticiser(0.4% by wt. of cement),</t>
  </si>
  <si>
    <t>CA : 0.80cum, Blending Ratio of CA--65:35, FA : 0.45 cum)</t>
  </si>
  <si>
    <t>(A+B+C+D)/15.71</t>
  </si>
  <si>
    <t>IRR-CAW-7-23</t>
  </si>
  <si>
    <t>Providing and fixing 100 mm dia perforated PVC pipes 40 cm  long for Weep holes</t>
  </si>
  <si>
    <t>including cost of all materials, labour, drilling 8 mm dia holes etc. complete with all</t>
  </si>
  <si>
    <t>leads and lifts.</t>
  </si>
  <si>
    <t>Consider 10 Nos 100 mm dia PVC pipes 40 cm long each</t>
  </si>
  <si>
    <t>UNIT:</t>
  </si>
  <si>
    <t>Nos.</t>
  </si>
  <si>
    <t>PVC pipe 100 mm dia 10 Nos</t>
  </si>
  <si>
    <t>Rm</t>
  </si>
  <si>
    <t>Total hire chargs of Machinery</t>
  </si>
  <si>
    <t>Pipe fitter</t>
  </si>
  <si>
    <t>No.</t>
  </si>
  <si>
    <t>(A+B+C+D)/10.0</t>
  </si>
  <si>
    <t>IRR-CCDW-7-2</t>
  </si>
  <si>
    <t>Providing and filling murrum / gravely soil ( CNS soil ) for foundation or around pipes</t>
  </si>
  <si>
    <t>including breaking clods, spreading in layers of 10 to 15 cm, watering, compaction by earth</t>
  </si>
  <si>
    <t>masters to achieve density control of not less than 95 percent etc., complete with lead</t>
  </si>
  <si>
    <t>upto 50 m and all lifts.</t>
  </si>
  <si>
    <t>Cartman with double bullock cart</t>
  </si>
  <si>
    <t>per 1 RM in .Rs</t>
  </si>
  <si>
    <t>Description of Item</t>
  </si>
  <si>
    <t>Qty. Involved</t>
  </si>
  <si>
    <t>Coarse Aggrigate / Rubble Stone</t>
  </si>
  <si>
    <t>Sand/Gravel</t>
  </si>
  <si>
    <t>Qty. per cum</t>
  </si>
  <si>
    <t>Qty. required</t>
  </si>
  <si>
    <t>Seignorage charges per cum</t>
  </si>
  <si>
    <t>Total Seignorage charges</t>
  </si>
  <si>
    <t>Gravel for backfilling</t>
  </si>
  <si>
    <t>Gravel under lining</t>
  </si>
  <si>
    <t>Filling sand</t>
  </si>
  <si>
    <t xml:space="preserve">M - 15 for Foundation </t>
  </si>
  <si>
    <t>M-15 for Sub/Super structure</t>
  </si>
  <si>
    <t>Total Seignorage Charges</t>
  </si>
  <si>
    <t>Say Rs.</t>
  </si>
  <si>
    <t>Page 472,497 of MoRT&amp;H SDB</t>
  </si>
  <si>
    <r>
      <rPr>
        <sz val="10"/>
        <rFont val="Calibri"/>
        <family val="2"/>
        <scheme val="minor"/>
      </rPr>
      <t xml:space="preserve">Construction of </t>
    </r>
    <r>
      <rPr>
        <b/>
        <sz val="10"/>
        <rFont val="Calibri"/>
        <family val="2"/>
      </rPr>
      <t>precast VRCC railing of M20</t>
    </r>
    <r>
      <rPr>
        <sz val="10"/>
        <rFont val="Calibri"/>
        <family val="2"/>
      </rPr>
      <t xml:space="preserve"> grade using HBG crushed stone aggregate of size not exceeding 12 mm and fine aggregate conforming to table 1000-2 true to line and grade, tolerance of vertical RCC post not to exceed 1 in 500, centre to centre spacing between vertical posts not to exceed 2000mm, leaving adequate space between vertical posts for expansion including cost, seigniorage conveyance of all materials to site and labour charges, centering, machine mixing, laying, vibrating, curing etc., including other incidental hire and operational charges of all T&amp;P  as per approved drawings and as directed  during execution but excluding cost of steel and its fabrication charges  as per approved drawings and technical specifications for finished item of work as per MoRT&amp;H Specification 2703, 1500, 1600, 1700(4th Revision)</t>
    </r>
  </si>
  <si>
    <t>Cement at site</t>
  </si>
  <si>
    <t>Cost of 12mm SS-5 HBG M/C metal</t>
  </si>
  <si>
    <t>Cost of 10mm SS-5  HBG M/C metal</t>
  </si>
  <si>
    <t>Sand at site</t>
  </si>
  <si>
    <t>Concrete mixer 0.4/0.28 cum</t>
  </si>
  <si>
    <t>Generator set 35 KVA</t>
  </si>
  <si>
    <t>Mate</t>
  </si>
  <si>
    <t>Mason</t>
  </si>
  <si>
    <t>E. LEAD CHARGES:</t>
  </si>
  <si>
    <t>A. Cost of Materials including seignorage charges</t>
  </si>
  <si>
    <t>E. Lead Charges</t>
  </si>
  <si>
    <t>(A+B+C+D+E)/15</t>
  </si>
  <si>
    <t>IRR-DAW-2-4B</t>
  </si>
  <si>
    <t xml:space="preserve">Providing and laying insitu vibrated M-25 ( 28 days cube compressive </t>
  </si>
  <si>
    <t>new Item3-2010-11</t>
  </si>
  <si>
    <t xml:space="preserve">strength not less than 25 N / sq mm ) grade cement concrete using 20 mm </t>
  </si>
  <si>
    <t xml:space="preserve">down size approved, clean, hard, graded aggregates including cost of all </t>
  </si>
  <si>
    <t xml:space="preserve">materials, machinery, labour, formwork, centering, scaffolding, cleaning, </t>
  </si>
  <si>
    <t xml:space="preserve">batching, mixing, placing in position, levelling, vibrating, finishing, curing </t>
  </si>
  <si>
    <t xml:space="preserve">etc.,complete for RCC works of gallery, sluice, spillway crest, spillway d / s </t>
  </si>
  <si>
    <t xml:space="preserve">face, energy dissipating structures, training walls, piers, abutments and </t>
  </si>
  <si>
    <t>such other locations with initial lead upto 1 km and all lifts.</t>
  </si>
  <si>
    <t xml:space="preserve"> ( Cement content : 380 kg / cum with use of super plasticiser,</t>
  </si>
  <si>
    <t>CA : 0.90 cum, blending ratio of CA--65:35, FA :  0.40 cum)</t>
  </si>
  <si>
    <t xml:space="preserve">Rate </t>
  </si>
  <si>
    <t xml:space="preserve">Amount </t>
  </si>
  <si>
    <t xml:space="preserve"> in Rs.</t>
  </si>
  <si>
    <t>in Rs</t>
  </si>
  <si>
    <t>Fine aggregate (Un-Screened )</t>
  </si>
  <si>
    <t>Super Plasticizer or AEA</t>
  </si>
  <si>
    <t>Use rate of shuttering</t>
  </si>
  <si>
    <t>Scaffolding  of shuttering @</t>
  </si>
  <si>
    <t>Batching plant 2 x 1.5 cum</t>
  </si>
  <si>
    <t>Air compressor 7 cmm ( ele )</t>
  </si>
  <si>
    <t>Tipper</t>
  </si>
  <si>
    <t>Tower crane 5 t</t>
  </si>
  <si>
    <t>Concrete bucket</t>
  </si>
  <si>
    <t>10 hp pump ( ele )</t>
  </si>
  <si>
    <t>Needle vibrator 60 mm dia ( ele )</t>
  </si>
  <si>
    <t>Crew for Batching plant</t>
  </si>
  <si>
    <t>Crew for Air compressor</t>
  </si>
  <si>
    <t>Crew for Tipper ( 4 )</t>
  </si>
  <si>
    <t>Crew for Tower crane ( 2 )</t>
  </si>
  <si>
    <t>Crew for Needle vibrator ( 2 )</t>
  </si>
  <si>
    <t>Foreman</t>
  </si>
  <si>
    <t>for silo ( cement handling )</t>
  </si>
  <si>
    <t>for batching plant</t>
  </si>
  <si>
    <t>for conveyor system</t>
  </si>
  <si>
    <t>for laying &amp; vibrating</t>
  </si>
  <si>
    <t>for cleaning / washing / curing</t>
  </si>
  <si>
    <t xml:space="preserve">Labour cost for scaffolding @ </t>
  </si>
  <si>
    <t>Add for aggregate conveyor system @</t>
  </si>
  <si>
    <t>Add for electric sub-station / Demand charges @</t>
  </si>
  <si>
    <t>Add for trestle bridge for tower crane track @</t>
  </si>
  <si>
    <t>D.Add for contractor's profit and overheads on (A+B+C+other percentages)</t>
  </si>
  <si>
    <t>E ) Conveyance charges</t>
  </si>
  <si>
    <t>Tota cost ( A+B+C+D+E) for  240 cum</t>
  </si>
  <si>
    <t>Rate per 1 Cum</t>
  </si>
  <si>
    <t>IRR-CCDW-2-24</t>
  </si>
  <si>
    <r>
      <rPr>
        <sz val="10"/>
        <rFont val="Times New Roman"/>
        <family val="1"/>
      </rPr>
      <t xml:space="preserve">Providing and laying insitu vibrated </t>
    </r>
    <r>
      <rPr>
        <b/>
        <sz val="10"/>
        <rFont val="Times New Roman"/>
        <family val="1"/>
      </rPr>
      <t>M-25</t>
    </r>
    <r>
      <rPr>
        <sz val="10"/>
        <rFont val="Times New Roman"/>
        <family val="1"/>
      </rPr>
      <t xml:space="preserve"> ( 28 days cube compressive strength not less than 25 N / sq mm ) grade cement concrete using </t>
    </r>
    <r>
      <rPr>
        <b/>
        <sz val="10"/>
        <rFont val="Times New Roman"/>
        <family val="1"/>
      </rPr>
      <t>20 mm</t>
    </r>
    <r>
      <rPr>
        <sz val="10"/>
        <rFont val="Times New Roman"/>
        <family val="1"/>
      </rPr>
      <t xml:space="preserve"> down size approved, clean, hard, graded aggregates for </t>
    </r>
    <r>
      <rPr>
        <b/>
        <sz val="10"/>
        <rFont val="Times New Roman"/>
        <family val="1"/>
      </rPr>
      <t>deck slab &amp; Kerbs</t>
    </r>
    <r>
      <rPr>
        <sz val="10"/>
        <rFont val="Times New Roman"/>
        <family val="1"/>
      </rPr>
      <t xml:space="preserve">  including cost of all materials,machinery, labour, formwork, scaffolding, cleaning, batching, mixing, placing in position, levelling, vibrating, finishing, curing etc., complete with initial lead upto 50 m and all lifts. ( Cement content : 300 kg / cum )</t>
    </r>
  </si>
  <si>
    <t>Note:</t>
  </si>
  <si>
    <t>(Cement content: 380 kg / cum with use of super plasticiser(0.4% by wt. of cement),</t>
  </si>
  <si>
    <t xml:space="preserve"> </t>
  </si>
  <si>
    <t>Fine aggregate</t>
  </si>
  <si>
    <t>Use rate of shuttering for 30 uses</t>
  </si>
  <si>
    <t>(A+B+C+D+E)/15.76</t>
  </si>
  <si>
    <t>IRR-CCDW-2-26</t>
  </si>
  <si>
    <r>
      <rPr>
        <sz val="11"/>
        <color theme="1"/>
        <rFont val="Calibri"/>
        <family val="2"/>
        <scheme val="minor"/>
      </rPr>
      <t xml:space="preserve">Providing and laying insitu </t>
    </r>
    <r>
      <rPr>
        <b/>
        <sz val="11"/>
        <color theme="1"/>
        <rFont val="Calibri"/>
        <family val="2"/>
        <scheme val="minor"/>
      </rPr>
      <t>M- 25</t>
    </r>
    <r>
      <rPr>
        <sz val="11"/>
        <color theme="1"/>
        <rFont val="Calibri"/>
        <family val="2"/>
        <scheme val="minor"/>
      </rPr>
      <t xml:space="preserve"> ( 28 days cube compressive strength not less than 20 N /</t>
    </r>
  </si>
  <si>
    <t>sqmm ) grade cement concrete using 20 mm down size approved, clean, hard, graded</t>
  </si>
  <si>
    <r>
      <rPr>
        <sz val="11"/>
        <color theme="1"/>
        <rFont val="Calibri"/>
        <family val="2"/>
        <scheme val="minor"/>
      </rPr>
      <t>aggregates for</t>
    </r>
    <r>
      <rPr>
        <b/>
        <sz val="11"/>
        <color theme="1"/>
        <rFont val="Calibri"/>
        <family val="2"/>
        <scheme val="minor"/>
      </rPr>
      <t xml:space="preserve"> wearing coat</t>
    </r>
    <r>
      <rPr>
        <sz val="11"/>
        <color theme="1"/>
        <rFont val="Calibri"/>
        <family val="2"/>
        <scheme val="minor"/>
      </rPr>
      <t xml:space="preserve"> including cost of all materials, machinery, labour, formwork,</t>
    </r>
  </si>
  <si>
    <t>cleaning, batching, mixing, placing in position in alternate panels, levelling, compacting,</t>
  </si>
  <si>
    <t>finishing, curing, packing joints with asphalt mortar etc., complete with initial lead upto 50 m</t>
  </si>
  <si>
    <t>and all lifts.</t>
  </si>
  <si>
    <t>Sundries ( asphalt mortar etc )</t>
  </si>
  <si>
    <t>Total cost (A+B+C+D+E)  for</t>
  </si>
  <si>
    <t>Rate for 1 cum</t>
  </si>
  <si>
    <r>
      <rPr>
        <sz val="11"/>
        <color theme="1"/>
        <rFont val="Calibri"/>
        <family val="2"/>
        <scheme val="minor"/>
      </rPr>
      <t xml:space="preserve">Providing and laying insitu </t>
    </r>
    <r>
      <rPr>
        <b/>
        <sz val="11"/>
        <color theme="1"/>
        <rFont val="Calibri"/>
        <family val="2"/>
        <scheme val="minor"/>
      </rPr>
      <t>M- 30</t>
    </r>
    <r>
      <rPr>
        <sz val="11"/>
        <color theme="1"/>
        <rFont val="Calibri"/>
        <family val="2"/>
        <scheme val="minor"/>
      </rPr>
      <t xml:space="preserve"> ( 28 days cube compressive strength not less than 20 N /</t>
    </r>
  </si>
  <si>
    <r>
      <rPr>
        <sz val="11"/>
        <color theme="1"/>
        <rFont val="Calibri"/>
        <family val="2"/>
        <scheme val="minor"/>
      </rPr>
      <t xml:space="preserve">supplying &amp; fixing </t>
    </r>
    <r>
      <rPr>
        <b/>
        <sz val="11"/>
        <color theme="1"/>
        <rFont val="Calibri"/>
        <family val="2"/>
        <scheme val="minor"/>
      </rPr>
      <t xml:space="preserve">drainage spouts </t>
    </r>
    <r>
      <rPr>
        <sz val="11"/>
        <color theme="1"/>
        <rFont val="Calibri"/>
        <family val="2"/>
        <scheme val="minor"/>
      </rPr>
      <t>at site made of 210mmx 210 mm water sput at top with 100 mm dia GI Drain spout and MS Plate of 12mmx40 mmx6mm thick plates including cost and conveyance of all materials to the site and all labour charges for cutting bending,welding ,placing in position etc., complete for deck slab .</t>
    </r>
  </si>
  <si>
    <t>Unit=1 No</t>
  </si>
  <si>
    <t>taking out 1 No</t>
  </si>
  <si>
    <t>unit</t>
  </si>
  <si>
    <t>description of item</t>
  </si>
  <si>
    <t xml:space="preserve">Per </t>
  </si>
  <si>
    <t>A)Material</t>
  </si>
  <si>
    <t>Corrossion resistance structural steel including 5% wastage</t>
  </si>
  <si>
    <t>1 kg</t>
  </si>
  <si>
    <t>Mts</t>
  </si>
  <si>
    <t>GI pipe 100mm dia</t>
  </si>
  <si>
    <t>Each</t>
  </si>
  <si>
    <t>GI bolt 10mm dia</t>
  </si>
  <si>
    <t>Galvanised MS Flat clamp</t>
  </si>
  <si>
    <t>B) Labour</t>
  </si>
  <si>
    <t>Skilled(blacksmith,welder etc.,)</t>
  </si>
  <si>
    <t>For fixing in position</t>
  </si>
  <si>
    <t>Total  A + B</t>
  </si>
  <si>
    <t>1  No</t>
  </si>
  <si>
    <t>DATA FOR ROAD ITEMS</t>
  </si>
  <si>
    <r>
      <rPr>
        <sz val="10"/>
        <rFont val="Times New Roman"/>
        <family val="1"/>
      </rPr>
      <t>Construction of Granular sub-base by providing   HBG material confirming to Grading - III of MoRT&amp;H Table 400-2 including cost,  seigniorage charges and conveyance of all materials to work site and spreading in uniform layers with motor grader or by approved means,  on prepared surface mixing by mix in place method with Rotavator / approved means at OMC and compacting with vibratory roller to achieve the desired density etc., complete for finished item of work as per MoRT&amp;H Specification   401  (4</t>
    </r>
    <r>
      <rPr>
        <vertAlign val="superscript"/>
        <sz val="10"/>
        <rFont val="Times New Roman"/>
        <family val="1"/>
      </rPr>
      <t>th</t>
    </r>
    <r>
      <rPr>
        <sz val="10"/>
        <rFont val="Times New Roman"/>
        <family val="1"/>
      </rPr>
      <t xml:space="preserve"> revision) and as directed by the Engineer-in-charge. ( Payment will be made based on levels for finished item of work ).</t>
    </r>
  </si>
  <si>
    <t>Taking output = 300 cum</t>
  </si>
  <si>
    <t>Page 95 of MoRT&amp;H SDB</t>
  </si>
  <si>
    <t>(A)</t>
  </si>
  <si>
    <t>Labour</t>
  </si>
  <si>
    <t>Mazdoor skilled</t>
  </si>
  <si>
    <t>Mazdoor unskilled</t>
  </si>
  <si>
    <t>%</t>
  </si>
  <si>
    <t>Extra for Corporation Area Allowance on Rs.</t>
  </si>
  <si>
    <t>(B)</t>
  </si>
  <si>
    <t>Machinery</t>
  </si>
  <si>
    <t>hr</t>
  </si>
  <si>
    <t>Motor grader 3.35M Blade @50 cum/Hr</t>
  </si>
  <si>
    <t>Tractor with Rotavator</t>
  </si>
  <si>
    <t>Vibratory roller 8T</t>
  </si>
  <si>
    <t>Water tanker 6 KL</t>
  </si>
  <si>
    <t>(C)</t>
  </si>
  <si>
    <t>Material</t>
  </si>
  <si>
    <t>Coarse graded Granular sub-base material as per Table 400-2 of MORT&amp;H</t>
  </si>
  <si>
    <t>9.5mm to 4.75mm @ 66% 
(Av. rate of 9.5-11.2mm , 5-7mm &amp; 2.36 - 5mm HBG M/C metal)</t>
  </si>
  <si>
    <t>2.36mm and below @34%
(Rate of 2.36mm &amp; below HBG metal)</t>
  </si>
  <si>
    <t>Total of (A+B+C )</t>
  </si>
  <si>
    <t xml:space="preserve">( D ) </t>
  </si>
  <si>
    <t>Add 13.615% for Over Head charges &amp; contractors profit on (A + B + C )</t>
  </si>
  <si>
    <t>Total of E</t>
  </si>
  <si>
    <t>Total of (A+B+C+D+E) FOR 300 CUM=</t>
  </si>
  <si>
    <t>Rate for 1 cum=(A+B+C+D+E)/300=</t>
  </si>
  <si>
    <r>
      <rPr>
        <sz val="10"/>
        <rFont val="Times New Roman"/>
        <family val="1"/>
      </rPr>
      <t>Providing, Laying, Spreading and compacting graded HBG crushed stone aggregate to Wet Mix macadem specification including cost,seignorage of all materials and including premixing the material with water at OMC in Mechanical mix plant carriage of mixed material by tipper to site , laying in uniform layers with paver in   base courses on well prepared surface and compacting with Vibratory roller to acheive the desired density etc., as directed by the Engineer-in-Charge and as per MoRT&amp;H specification.406 (4</t>
    </r>
    <r>
      <rPr>
        <vertAlign val="superscript"/>
        <sz val="10"/>
        <rFont val="Times New Roman"/>
        <family val="1"/>
      </rPr>
      <t>th</t>
    </r>
    <r>
      <rPr>
        <sz val="10"/>
        <rFont val="Times New Roman"/>
        <family val="1"/>
      </rPr>
      <t xml:space="preserve"> revision) for finished item of work. (Payment based on levels for finished item of work)</t>
    </r>
  </si>
  <si>
    <t>Page 110,111 of MoRT&amp;H SDB</t>
  </si>
  <si>
    <t>Taking output = 225 cum</t>
  </si>
  <si>
    <t>nos.</t>
  </si>
  <si>
    <t xml:space="preserve">Mazdoor </t>
  </si>
  <si>
    <t>Wet mix plant of 60 tonne hr. capacity</t>
  </si>
  <si>
    <t>Electric generating set 125 KVA</t>
  </si>
  <si>
    <t>front end loader 1 cum capacity</t>
  </si>
  <si>
    <t>Mechanical Paver finisher 100 TPH</t>
  </si>
  <si>
    <t>Vibratory roller 8-10 T</t>
  </si>
  <si>
    <t>Water tanker</t>
  </si>
  <si>
    <t xml:space="preserve">45 to 22.40mm IRC&amp;MoRT&amp;H HBG M/C </t>
  </si>
  <si>
    <t>metal@ 30%  (Av. Of 40-45, 25-27, 19-22mm )</t>
  </si>
  <si>
    <t xml:space="preserve">22.4 to 2.36mm IRC&amp;MoRT&amp;H HBG M/C </t>
  </si>
  <si>
    <t>metal@40%   (Av. Of 19-22mm, 12-14mm, 9.5-11.2mm, 5-7mm, 2.36  - 5mm )</t>
  </si>
  <si>
    <t>2.36mm to 75 micron @ 30% (2.36mm &amp; below)</t>
  </si>
  <si>
    <t>45mm to 22.40mm HBG</t>
  </si>
  <si>
    <t>22.4mm to 2.3.6mm HBG</t>
  </si>
  <si>
    <t>2.36 mm to 75 m icron</t>
  </si>
  <si>
    <t>Total of (A+B+C+D+E) FOR 225 CUM=</t>
  </si>
  <si>
    <t>Rate for 1 cum=(A+B+C+D+E)/225=</t>
  </si>
  <si>
    <r>
      <rPr>
        <sz val="10"/>
        <rFont val="Times New Roman"/>
        <family val="1"/>
      </rPr>
      <t>Providing and laying surface dressing  in single coat using 6 mm nominal size IRC HBG machine crushed stone aggregates @ 0.004 cum / sqm on a layer of bitumen binder of   80/100 grade @ 0.75 kg / sqm including cost, seigniorage and conveyance of all materials to work site and laid on prepared surface and rolling with 8-10 T  Power Road Roller etc., complete for finished item of work as per MoRT&amp;H Specification 510 (4</t>
    </r>
    <r>
      <rPr>
        <vertAlign val="superscript"/>
        <sz val="10"/>
        <rFont val="Times New Roman"/>
        <family val="1"/>
      </rPr>
      <t>th</t>
    </r>
    <r>
      <rPr>
        <sz val="10"/>
        <rFont val="Times New Roman"/>
        <family val="1"/>
      </rPr>
      <t xml:space="preserve"> Revision) and as directed by the Engineer-in-charge.</t>
    </r>
  </si>
  <si>
    <t>Unit = sqm</t>
  </si>
  <si>
    <t>Page 141,142 of MoRT&amp;H SDB</t>
  </si>
  <si>
    <t>Taking output = 9000 sqm</t>
  </si>
  <si>
    <t>Extra for Municipal Area Allowance on Rs.</t>
  </si>
  <si>
    <t>Mechanical broom @ 1250 sqm/hr.</t>
  </si>
  <si>
    <t>Air compressor 250 cfm</t>
  </si>
  <si>
    <t>Hydraulic self propelled chip spreader @ 1500 sqm/hr.</t>
  </si>
  <si>
    <t>Tipper 10Tonne capacity for carriage of stone chips from stock pile on road side to chip spreader (Rate of Tipper 5 cum</t>
  </si>
  <si>
    <t>Front end loader 1 cum bucket capacity</t>
  </si>
  <si>
    <t>Bitumen pressure distributor @1750 sqm/hr</t>
  </si>
  <si>
    <t>smooth wheeled roller 8 Ton</t>
  </si>
  <si>
    <t>h</t>
  </si>
  <si>
    <t>Bitumen 80/100 @ 0.75 Kg / sqm</t>
  </si>
  <si>
    <t>Crushed stone chippings 6 mm nominal size @0.004 cum/sqm</t>
  </si>
  <si>
    <t>Total of (A+B+C)=</t>
  </si>
  <si>
    <t xml:space="preserve">D) </t>
  </si>
  <si>
    <t>Total of ( E )</t>
  </si>
  <si>
    <t>Total of ( A+B+C+D+E) for 9000 Sqm=</t>
  </si>
  <si>
    <t>Rate per 1 SQM=</t>
  </si>
  <si>
    <t>/9000</t>
  </si>
  <si>
    <r>
      <rPr>
        <sz val="10"/>
        <rFont val="Times New Roman"/>
        <family val="1"/>
      </rPr>
      <t>Providing and applying tack coat with bitumen Emulsion (Bulk) using Emulsion pressure distributor at the rate of 0.20 kgs per sqm on the prepared bituminous/granular surface cleaned with mechanical broom for finished item of work as per MoRT&amp;H Specification 503 (4</t>
    </r>
    <r>
      <rPr>
        <vertAlign val="superscript"/>
        <sz val="10"/>
        <rFont val="Times New Roman"/>
        <family val="1"/>
      </rPr>
      <t xml:space="preserve">th </t>
    </r>
    <r>
      <rPr>
        <sz val="10"/>
        <rFont val="Times New Roman"/>
        <family val="1"/>
      </rPr>
      <t>revision) and as directed by the Engineer-in-Charge.</t>
    </r>
  </si>
  <si>
    <t>unit = sqm</t>
  </si>
  <si>
    <t>Page 124 of MoRT&amp;H SDB</t>
  </si>
  <si>
    <t>Taking output = 3500 sqm</t>
  </si>
  <si>
    <t>nos</t>
  </si>
  <si>
    <t>Mechanical broom Hydraulic @ 1250 sqm/hr.</t>
  </si>
  <si>
    <t>Emulsion pressure distributor @1750 sqm/hr</t>
  </si>
  <si>
    <t>Bitumen Emulsion @ 0.20 Kgs/sqm</t>
  </si>
  <si>
    <t>Total of ( A+B+C+D+E) for 3500 Sqm=</t>
  </si>
  <si>
    <t>/3500</t>
  </si>
  <si>
    <t>Providing and laying of 50mm thick Bituminous Macadam with hot mix plant producing an average output of 37.5 tonnes per hour using hard blasted granite crushed aggregates of Grading - II as per table 500-4 of MoRT&amp;amp;H specificaion 504 (4th Revision) premixed with bituminous binder of 60/70 grade @ 3.3% by weight of total mixture, transported to site, laid over a previously prepared surface with mechanical paver finisher to the required grade, level and alignment and rolled as per Clauses 501.6 and 501.7 to achieve the desired compaction for finished item of work as directed by the Engineer-in-Charge including hire and opeational charges all T&amp;amp;P and all other contingent charges necessary including cost of seigniorage charges on all materials etc., complete and as per MoRTH specification No. 504(4th Revision) .</t>
  </si>
  <si>
    <t>Taking out put = 205 cum (450 tonne)</t>
  </si>
  <si>
    <t>Page 125,126,127 of MoRT&amp;H SDB</t>
  </si>
  <si>
    <t>Mazdoor working with HMP, mechanical broom, paver, roller, asphalt cutter and assistance for setting out lines, levels and layout of construction.</t>
  </si>
  <si>
    <t xml:space="preserve">Hot Mix Plant 40 to 60 TPH </t>
  </si>
  <si>
    <t>Air Compressor 250 cfm</t>
  </si>
  <si>
    <t>Generator 250 KVA</t>
  </si>
  <si>
    <t xml:space="preserve">Front end loader 1 cum bucket capacity </t>
  </si>
  <si>
    <t xml:space="preserve">Smooth wheeled roller 8-10 tonnes for initial break down rolling </t>
  </si>
  <si>
    <t>Vibratory roller 8 tonnes for intermediate rolling</t>
  </si>
  <si>
    <t>Finish rolling with 6-8 tonnes smooth wheeled tandem roller.</t>
  </si>
  <si>
    <t>Bitumen 60/70 @ 3.3 % of weight of mix</t>
  </si>
  <si>
    <t>ii)</t>
  </si>
  <si>
    <t>Aggregate</t>
  </si>
  <si>
    <t>Total weight of mix = 450 tonnes</t>
  </si>
  <si>
    <t>weight of bitumen - 14.85 tonnes</t>
  </si>
  <si>
    <t>Weight of aggregate = 450-14.85 = 435.15 tonnes</t>
  </si>
  <si>
    <t>Taking density of aggregate = 1.5 tonne/cum</t>
  </si>
  <si>
    <t>Volume of aggregate = 290.1 cum</t>
  </si>
  <si>
    <t xml:space="preserve"> Grading - II    (19 mm nominal size)</t>
  </si>
  <si>
    <t>116.04 Cum of 25-10mm @ 40%</t>
  </si>
  <si>
    <t>IRC &amp;MORT&amp;H HBG M/C chips 25 to 10mm @ 40%</t>
  </si>
  <si>
    <t>Average rate of  IRC&amp;MoRT&amp;H HBG M/C  metal of sizes 25-27mm, 19-22mm, 12-14mm, 9.5-11.2mm</t>
  </si>
  <si>
    <t>IRC &amp;MORT&amp;H HBG M/C chips 10 to 5mm @ 30%</t>
  </si>
  <si>
    <t>Average rate of  IRC&amp;MoRT&amp;H HBG M/C  metal of sizes  9.5-11.2mm, 5 to 7mm</t>
  </si>
  <si>
    <t>IRC &amp;MORT&amp;H HBG M/C chips  5mm and below @ 40%</t>
  </si>
  <si>
    <t>Average rate of  IRC&amp;MoRT&amp;H HBG M/C  metal of sizes 2.36 to 5mm and 2.36mm&amp; below</t>
  </si>
  <si>
    <t>Bitumen 60/70</t>
  </si>
  <si>
    <t>Chips 25 to 10 mm</t>
  </si>
  <si>
    <t>Chips 10 to 5mm</t>
  </si>
  <si>
    <t>Chips 5mm</t>
  </si>
  <si>
    <t>Total of E=</t>
  </si>
  <si>
    <t>Total of ( A+B+C+D+E) for 205 Cum=</t>
  </si>
  <si>
    <t>Rate per 1 cum=</t>
  </si>
  <si>
    <t>/205</t>
  </si>
  <si>
    <t>1 Cum</t>
  </si>
  <si>
    <t>Lead Statement</t>
  </si>
  <si>
    <t xml:space="preserve">Description of Materials </t>
  </si>
  <si>
    <t>Source of supply</t>
  </si>
  <si>
    <t>Initial Cost of Material in Rs.</t>
  </si>
  <si>
    <t>Lead in KMs</t>
  </si>
  <si>
    <t>Conveyance charges in Rs.</t>
  </si>
  <si>
    <t>Local Market</t>
  </si>
  <si>
    <t>HBG Metal 80 mm</t>
  </si>
  <si>
    <t>Pangidi</t>
  </si>
  <si>
    <t>HBG Metal 40 mm</t>
  </si>
  <si>
    <t>HBG Metal 20 mm</t>
  </si>
  <si>
    <t>HBG Metal below 10 mm</t>
  </si>
  <si>
    <t>Sand for Filling</t>
  </si>
  <si>
    <t>Siddantham</t>
  </si>
  <si>
    <t>Sand for Mortar</t>
  </si>
  <si>
    <t>Murrum/Gravel</t>
  </si>
  <si>
    <t>Arugolanu</t>
  </si>
  <si>
    <t>For Sand/Gravel</t>
  </si>
  <si>
    <t>For Coarse aggreate</t>
  </si>
  <si>
    <t xml:space="preserve">Lead upto 5.0km </t>
  </si>
  <si>
    <t xml:space="preserve">For every km beyond 5km upto 30km </t>
  </si>
  <si>
    <t xml:space="preserve">For every km beyond  30km </t>
  </si>
  <si>
    <t xml:space="preserve">1) Certified that the leads mentioned above are correct to the best of my knowledge  </t>
  </si>
  <si>
    <t>2) Certified that the  seigniorage charges are excluding in initial cost of materials.</t>
  </si>
  <si>
    <t>km 0.000</t>
  </si>
  <si>
    <t>km 5.350</t>
  </si>
  <si>
    <t>CP</t>
  </si>
  <si>
    <t>Not applicable</t>
  </si>
  <si>
    <t>M-15, 75mm thick</t>
  </si>
  <si>
    <t xml:space="preserve">b) Quarries and barrow areas         </t>
  </si>
  <si>
    <t>Pangidi, Arugolanu &amp; Siddantam</t>
  </si>
  <si>
    <t>Pipe Culverts, Tail dam &amp; CC lining</t>
  </si>
  <si>
    <t>Sand mixed with black earth and Sandy loam</t>
  </si>
  <si>
    <t>Paddy</t>
  </si>
  <si>
    <t>Cross Section @km</t>
  </si>
  <si>
    <t>Distance in 'm'</t>
  </si>
  <si>
    <t>Aream in 'Sqm'</t>
  </si>
  <si>
    <t>Mean area in 'Sqm'</t>
  </si>
  <si>
    <t>Content in 'cum'</t>
  </si>
  <si>
    <t>Earth Work Quantity Abstract</t>
  </si>
  <si>
    <t>Total in cum</t>
  </si>
  <si>
    <t>F.S.D=</t>
  </si>
  <si>
    <t>Along longitudinal direction of the channel</t>
  </si>
  <si>
    <t>Along transverse direction of the channel</t>
  </si>
  <si>
    <t xml:space="preserve">Total in </t>
  </si>
  <si>
    <t>x</t>
  </si>
  <si>
    <t>RM</t>
  </si>
  <si>
    <t>Providing cohesive non-swelling ( CNS ) soil lining to canals using soil from approved borrow area including spreading soil in layers of thickness not more than 15 cm, breaking clods, watering, compacting to density control of not less than 95 percent or as stipulated, dressing to required profile etc., complete with initial lead upto 1 km and all lifts.(IRR-CAW-7-2)</t>
  </si>
  <si>
    <t>Excavation in all kinds of soil including boulders upto 0.3 m diameter including dressing bed and sides to required profile ,cost of all materials machinery ,labour ,placing the excavated stuff for formation of embankment as directed etc.with lead upto 10m and all lifts upto 3m. (IRR-CAW-1-2)</t>
  </si>
  <si>
    <t>Providing and laying insitu vibrated M-15 ( 28 days cube compressive strength not less than 15N/sq mm) grade cement concrete using 20mm down size approved  , clean, hard,graded aggregates  for bed and side lining of canal (100 mm thick)  including finishing  the junction to required  curveture,cost of all materials,    machinery,   labour  ,formwork   including  supports, cleaning,   batching,    mixing,    placing in position ,levelling,  vibrating,  finishing, curing etc., complete with initial lead upto 50 m and all lifts. (IRR-CAW-7-15)</t>
  </si>
  <si>
    <t>Laying and fixing of 100 mm Dia 300 mm long precast porus CC plugs in bed and sides using 0.787 kgs of cement per each using 20 mm HG metal and placing in local filters of size 600x600x750 mm in size including excavation of drains and cost of procuring of all materials  including 50m lead and for all lifts.(IRR-CAW-5-7)</t>
  </si>
  <si>
    <t>Providing  and forming 35mm  wide and 10 mm thick construction / contraction joints for concrete lining by mastic filler including cost of all amterials, labour, etc,. Complete  with all leads and lifts. (IRR-CAW-7-36)</t>
  </si>
  <si>
    <r>
      <t xml:space="preserve">Providing and </t>
    </r>
    <r>
      <rPr>
        <b/>
        <sz val="11"/>
        <rFont val="Times New Roman"/>
        <family val="1"/>
      </rPr>
      <t>laying insitu vibrated M-10</t>
    </r>
    <r>
      <rPr>
        <sz val="11"/>
        <rFont val="Times New Roman"/>
        <family val="1"/>
      </rPr>
      <t xml:space="preserve"> ( 28 days cube compressive strength not less than 10 N / sq mm ) grade cement concrete using 40 mm down size approved, clean, cleaning, batching, mixing, placing in position, levelling, vibrating, finishing, curing etc., aggregates for foundation filling including cost of all materials, machinery, labour,  formwork, hard, graded complete with initial lead upto 50 m and all lifts. (IRR-CCDW-2-5) </t>
    </r>
  </si>
  <si>
    <r>
      <t xml:space="preserve">Providing and laying insitu vibrated </t>
    </r>
    <r>
      <rPr>
        <b/>
        <sz val="11"/>
        <rFont val="Times New Roman"/>
        <family val="1"/>
      </rPr>
      <t>M-15</t>
    </r>
    <r>
      <rPr>
        <sz val="11"/>
        <rFont val="Times New Roman"/>
        <family val="1"/>
      </rPr>
      <t xml:space="preserve"> ( 28 days cube compressive strength not less than 15 N /sq mm ) grade cement concrete using </t>
    </r>
    <r>
      <rPr>
        <b/>
        <sz val="11"/>
        <rFont val="Times New Roman"/>
        <family val="1"/>
      </rPr>
      <t>40 mm</t>
    </r>
    <r>
      <rPr>
        <sz val="11"/>
        <rFont val="Times New Roman"/>
        <family val="1"/>
      </rPr>
      <t xml:space="preserve"> down size approved, clean, hard, graded aggregates for </t>
    </r>
    <r>
      <rPr>
        <b/>
        <sz val="11"/>
        <rFont val="Times New Roman"/>
        <family val="1"/>
      </rPr>
      <t>foundation filling</t>
    </r>
    <r>
      <rPr>
        <sz val="11"/>
        <rFont val="Times New Roman"/>
        <family val="1"/>
      </rPr>
      <t xml:space="preserve"> including cost of all materials, machinery, labour, formwork, cleaning, batching, mixing, placing in position, levelling, vibrating, finishing, curing etc., complete with initial lead upto 50 m and all lifts. complete with initial lead upto 50 m and all lifts. (IRR-CCDW-2-3)</t>
    </r>
  </si>
  <si>
    <r>
      <t xml:space="preserve">Filling foundation with </t>
    </r>
    <r>
      <rPr>
        <b/>
        <sz val="11"/>
        <rFont val="Times New Roman"/>
        <family val="1"/>
      </rPr>
      <t>sand</t>
    </r>
    <r>
      <rPr>
        <sz val="11"/>
        <rFont val="Times New Roman"/>
        <family val="1"/>
      </rPr>
      <t xml:space="preserve"> in layers of 25 to 30 cm and compacting by watering, ramming as directed including cost of all materials, machinery, labour etc., complete with initial lead upto 50 m and all lifts.(IRR-CCDW-3-2)</t>
    </r>
  </si>
  <si>
    <r>
      <t xml:space="preserve">Earth work in excavation in all kinds of soils  of </t>
    </r>
    <r>
      <rPr>
        <b/>
        <sz val="11"/>
        <rFont val="Times New Roman"/>
        <family val="1"/>
      </rPr>
      <t>foundation of  structures</t>
    </r>
    <r>
      <rPr>
        <sz val="11"/>
        <rFont val="Times New Roman"/>
        <family val="1"/>
      </rPr>
      <t xml:space="preserve"> as per drawing and technical specification, including setting out, construction of shoring and bracing, removal of stumps and other deleterious matter, dressing of sides and bottom and backfilling with approved material. (IRR-CCDW-1-2)</t>
    </r>
  </si>
  <si>
    <t>Providing and fixing 100 mm dia perforated PVC pipes 40 cm  long for Weep holes including cost of all materials, labour, drilling 8mm dia. Holes etc., complete with all leads and lifts. (IRR-CAW-7-23)</t>
  </si>
  <si>
    <r>
      <t xml:space="preserve">Providing and </t>
    </r>
    <r>
      <rPr>
        <b/>
        <sz val="11"/>
        <rFont val="Times New Roman"/>
        <family val="1"/>
      </rPr>
      <t>filling murrum</t>
    </r>
    <r>
      <rPr>
        <sz val="11"/>
        <rFont val="Times New Roman"/>
        <family val="1"/>
      </rPr>
      <t xml:space="preserve"> / gravely soil ( CNS soil ) for foundation or around pipes  including clods spreading in layers of 10 to 15 cm ,watering, compaction by earth masters to acgieve density control of not less tgan 95 oercent etc, complete with lead up to 50 m and all lifts for back filling. (IRR-CCDW-7-2)</t>
    </r>
  </si>
  <si>
    <t>IRR-CAW-7-2</t>
  </si>
  <si>
    <t>Nil</t>
  </si>
  <si>
    <t>Shovel 0.5 cum</t>
  </si>
  <si>
    <t>Angle dozer 90 hp</t>
  </si>
  <si>
    <t>Tippers 5 cum</t>
  </si>
  <si>
    <t>Pump 5 hp ( diesel )</t>
  </si>
  <si>
    <t>Diesel road roller 8-10 tonnes</t>
  </si>
  <si>
    <t>Crew for Dozer</t>
  </si>
  <si>
    <t>Crew for Tipper</t>
  </si>
  <si>
    <t>Crew for Road roller</t>
  </si>
  <si>
    <t>(A+B+C+D)/394.0</t>
  </si>
  <si>
    <r>
      <t>Providing cohesive non-swelling ( CNS ) soil lining to canals</t>
    </r>
    <r>
      <rPr>
        <sz val="11"/>
        <rFont val="Times New Roman"/>
        <family val="1"/>
      </rPr>
      <t xml:space="preserve"> using soil from </t>
    </r>
    <r>
      <rPr>
        <b/>
        <sz val="11"/>
        <rFont val="Times New Roman"/>
        <family val="1"/>
      </rPr>
      <t>approved borrow</t>
    </r>
  </si>
  <si>
    <r>
      <t>area</t>
    </r>
    <r>
      <rPr>
        <sz val="11"/>
        <rFont val="Times New Roman"/>
        <family val="1"/>
      </rPr>
      <t xml:space="preserve"> including spreading soil in layers of thickness </t>
    </r>
    <r>
      <rPr>
        <b/>
        <sz val="11"/>
        <rFont val="Times New Roman"/>
        <family val="1"/>
      </rPr>
      <t>not more than 15 cm</t>
    </r>
    <r>
      <rPr>
        <sz val="11"/>
        <rFont val="Times New Roman"/>
        <family val="1"/>
      </rPr>
      <t>, breaking clods,</t>
    </r>
  </si>
  <si>
    <r>
      <t xml:space="preserve">watering, compacting to density control of </t>
    </r>
    <r>
      <rPr>
        <b/>
        <sz val="11"/>
        <rFont val="Times New Roman"/>
        <family val="1"/>
      </rPr>
      <t>not less than 95 percent</t>
    </r>
    <r>
      <rPr>
        <sz val="11"/>
        <rFont val="Times New Roman"/>
        <family val="1"/>
      </rPr>
      <t xml:space="preserve"> or as stipulated,</t>
    </r>
  </si>
  <si>
    <r>
      <t xml:space="preserve">dressing to required profile etc., complete </t>
    </r>
    <r>
      <rPr>
        <b/>
        <sz val="11"/>
        <rFont val="Times New Roman"/>
        <family val="1"/>
      </rPr>
      <t>with initial lead upto 1 km and all lifts.</t>
    </r>
  </si>
  <si>
    <t xml:space="preserve">G. Material cost ( Gravel) per 1 cum </t>
  </si>
  <si>
    <t>E. Rate per</t>
  </si>
  <si>
    <t>Total Cost per 1 Cum ( E + F+ G )</t>
  </si>
  <si>
    <t>IRR-CAW-7-36</t>
  </si>
  <si>
    <t>all leads and lifts.</t>
  </si>
  <si>
    <t>Consider 100 m length mastic filler joint.</t>
  </si>
  <si>
    <t>Asphalt 80/100 Gr</t>
  </si>
  <si>
    <t>Sand ( screened )</t>
  </si>
  <si>
    <t>Sand (Screened )</t>
  </si>
  <si>
    <t>Mason Cl- II</t>
  </si>
  <si>
    <t>(A+B+C+D)/100.00</t>
  </si>
  <si>
    <r>
      <t xml:space="preserve">Providing and </t>
    </r>
    <r>
      <rPr>
        <b/>
        <sz val="11"/>
        <rFont val="Times New Roman"/>
        <family val="1"/>
      </rPr>
      <t>forming 35 mm wide and 10 mm thick construction / contraction joints</t>
    </r>
  </si>
  <si>
    <r>
      <t>for concrete lining by mastic filler</t>
    </r>
    <r>
      <rPr>
        <sz val="11"/>
        <rFont val="Times New Roman"/>
        <family val="1"/>
      </rPr>
      <t xml:space="preserve"> including cost of all materials, labour etc., complete with</t>
    </r>
  </si>
  <si>
    <t>Conveyance charges  per 1 RM</t>
  </si>
  <si>
    <r>
      <t xml:space="preserve">Providing and </t>
    </r>
    <r>
      <rPr>
        <b/>
        <sz val="11"/>
        <rFont val="Times New Roman"/>
        <family val="1"/>
      </rPr>
      <t>forming expansion joint for spillway bridge</t>
    </r>
    <r>
      <rPr>
        <sz val="11"/>
        <rFont val="Times New Roman"/>
        <family val="1"/>
      </rPr>
      <t xml:space="preserve"> consisting of  75 x 75 x 6 mm angles 2 numbers provided with 25 cm long 12 mm dia. on top of one of the angle on top of one of the angle including cost of all materials, machinery, labour, providing and fixing 38 mm thick joint filler board matching the thickness of wearing coat, painting etc., complete with lead upto 1 km and all lifts. (IRR-DAW-2-17)</t>
    </r>
  </si>
  <si>
    <t>Structural steel plate</t>
  </si>
  <si>
    <t>Structural steel angle</t>
  </si>
  <si>
    <t>12 dia steel anchors</t>
  </si>
  <si>
    <t>Welding electrodes</t>
  </si>
  <si>
    <t>Joint filler board 19 mm thick</t>
  </si>
  <si>
    <t>Sundries ( cutting gas / paint etc )</t>
  </si>
  <si>
    <t>Welding set</t>
  </si>
  <si>
    <t>Sundries (cutting torch/ welding guns etc)</t>
  </si>
  <si>
    <t>Marker / Fabricator / Erector</t>
  </si>
  <si>
    <t>Gas cutter / Welder</t>
  </si>
  <si>
    <t>D.Add for contractor's profit and overheads on (A+B+C)</t>
  </si>
  <si>
    <t>Lead Charges for 1Km for Steel (including Loading and Unloading Charges)</t>
  </si>
  <si>
    <t>tonne @</t>
  </si>
  <si>
    <t>(A+B+C+D)/7.50</t>
  </si>
  <si>
    <t>IRR-DAW-2-17</t>
  </si>
  <si>
    <t xml:space="preserve">Description </t>
  </si>
  <si>
    <t>Page</t>
  </si>
  <si>
    <t>INDEX</t>
  </si>
  <si>
    <t>G.O.Rt.No.2083, dated 18-11-2022</t>
  </si>
  <si>
    <t>Check Slip</t>
  </si>
  <si>
    <t>Report</t>
  </si>
  <si>
    <t>Abstract Estimate</t>
  </si>
  <si>
    <t>Detailed Estimate</t>
  </si>
  <si>
    <t>Site Plan</t>
  </si>
  <si>
    <t>Drawings</t>
  </si>
  <si>
    <t>Earth work quantity abstract &amp; Cross sections</t>
  </si>
  <si>
    <t>Hydraulic Particulars</t>
  </si>
  <si>
    <t>IRR-CAW-7-6</t>
  </si>
  <si>
    <t>cost of all materials, machinery, labour, cleaning, batching, mixing, placing in position,</t>
  </si>
  <si>
    <t>finishing, forming contraction joints, fixing PVC joint sealing strips, curing, shifting of paver</t>
  </si>
  <si>
    <t>(43 Gr Cement content: 300 kg /cum (22.5 kg/ sqm) for</t>
  </si>
  <si>
    <t>use of super plasticiser(0.4% by wt. of cement),CA : 0.80cum, Blending Ratio of CA--65:35,</t>
  </si>
  <si>
    <t>FA : 0.45 cum equivalent concrete volume:79.2 cum including the extra quantity of</t>
  </si>
  <si>
    <t>concrete for curvatures and bends etc.,)</t>
  </si>
  <si>
    <t>PVC sealing strip</t>
  </si>
  <si>
    <t>Cement 43 Gr</t>
  </si>
  <si>
    <t>Coarse aggregate 10-4.75 mm</t>
  </si>
  <si>
    <t>Super plasticiser</t>
  </si>
  <si>
    <t>Use rate of paving cylinder</t>
  </si>
  <si>
    <t>Batching plant</t>
  </si>
  <si>
    <t>Transit mixer 3 Nos</t>
  </si>
  <si>
    <t>Mechanical paver</t>
  </si>
  <si>
    <t>Lubricants etc @ 5 %</t>
  </si>
  <si>
    <t>DG set for batching plant 50 KVA</t>
  </si>
  <si>
    <t>DG set for paver 30 KVA</t>
  </si>
  <si>
    <t>Shovel 0.5 cum / Loader</t>
  </si>
  <si>
    <t>Pump 5 hp(diesel) 2 Nos. 4 hrs each</t>
  </si>
  <si>
    <t>Sundries ( power line etc )</t>
  </si>
  <si>
    <t>Crew for Transit mixer</t>
  </si>
  <si>
    <t>Crew for Concrete paver</t>
  </si>
  <si>
    <t>Crew for DG set</t>
  </si>
  <si>
    <t>Mason Class I</t>
  </si>
  <si>
    <t>Mechanic</t>
  </si>
  <si>
    <t>Electrician</t>
  </si>
  <si>
    <t>mazdoor ( BP site )</t>
  </si>
  <si>
    <t>mazdoor ( Paver site )</t>
  </si>
  <si>
    <t>Add for shifting &amp; re-erection of BP @</t>
  </si>
  <si>
    <t>Add for LH / RH shifting &amp; erection of Paver @</t>
  </si>
  <si>
    <t>Add for ledge cutting / erection of tracks etc @</t>
  </si>
  <si>
    <t>D. Add for contractor's profit and overheads on (A+B+C+other percentages)</t>
  </si>
  <si>
    <t>Lead Charges for 1 Km for FA</t>
  </si>
  <si>
    <t>cum @</t>
  </si>
  <si>
    <t>40.9014 Rs./Cum</t>
  </si>
  <si>
    <t>Lead Charges for 1 Km for CA</t>
  </si>
  <si>
    <t>39.424405 Rs./Cum</t>
  </si>
  <si>
    <t>(A+B+C+D)/960.0</t>
  </si>
  <si>
    <r>
      <t xml:space="preserve">Providing and </t>
    </r>
    <r>
      <rPr>
        <b/>
        <sz val="11"/>
        <rFont val="Times New Roman"/>
        <family val="1"/>
      </rPr>
      <t>laying 75 mm thick in-situ M-15</t>
    </r>
    <r>
      <rPr>
        <sz val="11"/>
        <rFont val="Times New Roman"/>
        <family val="1"/>
      </rPr>
      <t xml:space="preserve"> ( 28 days cube compressive strength not less</t>
    </r>
  </si>
  <si>
    <r>
      <t xml:space="preserve">than 15 N / sqmm ) grade cement concrete with </t>
    </r>
    <r>
      <rPr>
        <b/>
        <sz val="11"/>
        <rFont val="Times New Roman"/>
        <family val="1"/>
      </rPr>
      <t>20 mm down size</t>
    </r>
    <r>
      <rPr>
        <sz val="11"/>
        <rFont val="Times New Roman"/>
        <family val="1"/>
      </rPr>
      <t xml:space="preserve"> approved, clean, hard,</t>
    </r>
  </si>
  <si>
    <r>
      <t xml:space="preserve">graded aggregates </t>
    </r>
    <r>
      <rPr>
        <b/>
        <sz val="11"/>
        <rFont val="Times New Roman"/>
        <family val="1"/>
      </rPr>
      <t>for canal lining using vibrating cylinder type mechanical paver</t>
    </r>
    <r>
      <rPr>
        <sz val="11"/>
        <rFont val="Times New Roman"/>
        <family val="1"/>
      </rPr>
      <t xml:space="preserve"> including</t>
    </r>
  </si>
  <si>
    <r>
      <t xml:space="preserve">from one side to other side of canal etc., complete </t>
    </r>
    <r>
      <rPr>
        <b/>
        <sz val="11"/>
        <rFont val="Times New Roman"/>
        <family val="1"/>
      </rPr>
      <t>with initial lead upto 1 km and all lifts.</t>
    </r>
  </si>
  <si>
    <t>E. Total cost for</t>
  </si>
  <si>
    <t>Providing and laying 75 mm thick in-situ M-15 ( 28 days cube compressive strength not less than 15 N / sqmm ) grade cement concrete with 20 mm down size approved, clean, hard, graded aggregates for canal lining using vibrating cylinder type mechanical paver including cost of all materials, machinery, labour, cleaning, batching, mixing, placing in position, finishing, forming contraction joints, fixing PVC joint sealing strips, curing, shifting of paver from one side to other side of canal etc., complete with initial lead upto 1 km and all lifts. (IRR-CAW-7-6)</t>
  </si>
  <si>
    <t>Net conveyance charges per 1 cum</t>
  </si>
  <si>
    <t>Total cost per 1 Rm (E + F )</t>
  </si>
  <si>
    <t>IRR-CCDW-2-5</t>
  </si>
  <si>
    <t>(Cement content: 220 kg / cum with use of super plasticiser(0.4% by wt. of cement),</t>
  </si>
  <si>
    <t>(A+B+C+D)/16.36</t>
  </si>
  <si>
    <r>
      <t xml:space="preserve">Providing and </t>
    </r>
    <r>
      <rPr>
        <b/>
        <sz val="11"/>
        <rFont val="Times New Roman"/>
        <family val="1"/>
      </rPr>
      <t>laying insitu vibrated M-10</t>
    </r>
    <r>
      <rPr>
        <sz val="11"/>
        <rFont val="Times New Roman"/>
        <family val="1"/>
      </rPr>
      <t xml:space="preserve"> ( 28 days cube compressive strength not less than</t>
    </r>
  </si>
  <si>
    <r>
      <t xml:space="preserve">10 N / sq mm ) grade cement concrete using </t>
    </r>
    <r>
      <rPr>
        <b/>
        <sz val="11"/>
        <rFont val="Times New Roman"/>
        <family val="1"/>
      </rPr>
      <t>40 mm down size</t>
    </r>
    <r>
      <rPr>
        <sz val="11"/>
        <rFont val="Times New Roman"/>
        <family val="1"/>
      </rPr>
      <t xml:space="preserve"> approved, clean, hard, graded</t>
    </r>
  </si>
  <si>
    <t>2</t>
  </si>
  <si>
    <t>3</t>
  </si>
  <si>
    <t>Provision towards shifting of Electrical poles</t>
  </si>
  <si>
    <t>Provision towards Shuttering arrangement for tail dam</t>
  </si>
  <si>
    <t>Provision towards for Photo &amp; vedio graphic charges.</t>
  </si>
  <si>
    <r>
      <t xml:space="preserve">Providing and </t>
    </r>
    <r>
      <rPr>
        <b/>
        <sz val="9"/>
        <rFont val="Times New Roman"/>
        <family val="1"/>
      </rPr>
      <t>laying 75 mm thick in-situ M-15</t>
    </r>
    <r>
      <rPr>
        <sz val="9"/>
        <rFont val="Times New Roman"/>
        <family val="1"/>
      </rPr>
      <t xml:space="preserve"> ( 28 days cube compressive strength not less than 15 N / sqmm ) grade cement concrete with 20 mm down size approved, clean, hard, graded aggregates for canal lining using vibrating cylinder type mechanical paver including cost of all materials, machinery, labour, cleaning, batching, mixing, placing in position, finishing, forming contraction joints, fixing PVC joint sealing strips, curing, shifting of paver from one side to other side of canal etc., complete with initial lead upto 1 km and all lifts.(IRR-CAW-7-6) </t>
    </r>
  </si>
  <si>
    <r>
      <t xml:space="preserve">Providing and </t>
    </r>
    <r>
      <rPr>
        <sz val="9"/>
        <rFont val="Times New Roman"/>
        <family val="1"/>
      </rPr>
      <t>forming expansion joint for spillway bridge consisting of  75 x 75 x 6 mm angles 2 numbers provided with 25 cm long 12 mm dia. on top of one of the angle on top of one of the angle including cost of all materials, machinery, labour, providing and fixing 38 mm thick joint filler board matching the thickness of wearing coat, painting etc., complete with lead upto 1 km and all lifts. (IRR-DAW-2-17)</t>
    </r>
  </si>
  <si>
    <r>
      <t xml:space="preserve">Earth work in excavation in all kinds of soils  of </t>
    </r>
    <r>
      <rPr>
        <b/>
        <sz val="9"/>
        <rFont val="Times New Roman"/>
        <family val="1"/>
      </rPr>
      <t>foundation of  structures</t>
    </r>
    <r>
      <rPr>
        <sz val="9"/>
        <rFont val="Times New Roman"/>
        <family val="1"/>
      </rPr>
      <t xml:space="preserve"> as per drawing and technical specification, including setting out, construction of shoring and bracing, removal of stumps and other deleterious matter, dressing of sides and bottom and backfilling with approved material. (IRR-CCDW-1-2)</t>
    </r>
  </si>
  <si>
    <r>
      <t xml:space="preserve">Filling foundation with </t>
    </r>
    <r>
      <rPr>
        <b/>
        <sz val="9"/>
        <rFont val="Times New Roman"/>
        <family val="1"/>
      </rPr>
      <t>sand</t>
    </r>
    <r>
      <rPr>
        <sz val="9"/>
        <rFont val="Times New Roman"/>
        <family val="1"/>
      </rPr>
      <t xml:space="preserve"> in layers of 25 to 30 cm and compacting by watering, ramming as directed including cost of all materials, machinery, labour etc., complete with initial lead upto 50 m and all lifts.(IRR-CCDW-3-2)</t>
    </r>
  </si>
  <si>
    <r>
      <t xml:space="preserve">Providing and </t>
    </r>
    <r>
      <rPr>
        <b/>
        <sz val="9"/>
        <rFont val="Times New Roman"/>
        <family val="1"/>
      </rPr>
      <t>laying insitu vibrated M-10</t>
    </r>
    <r>
      <rPr>
        <sz val="9"/>
        <rFont val="Times New Roman"/>
        <family val="1"/>
      </rPr>
      <t xml:space="preserve"> ( 28 days cube compressive strength not less than 10 N / sq mm ) grade cement concrete using 40 mm down size approved, clean, cleaning, batching, mixing, placing in position, levelling, vibrating, finishing, curing etc., aggregates for foundation filling including cost of all materials, machinery, labour,  formwork, hard, graded complete with initial lead upto 50 m and all lifts. (IRR-CCDW-2-5) </t>
    </r>
  </si>
  <si>
    <r>
      <t xml:space="preserve">Providing and laying insitu vibrated </t>
    </r>
    <r>
      <rPr>
        <b/>
        <sz val="9"/>
        <rFont val="Times New Roman"/>
        <family val="1"/>
      </rPr>
      <t>M-15</t>
    </r>
    <r>
      <rPr>
        <sz val="9"/>
        <rFont val="Times New Roman"/>
        <family val="1"/>
      </rPr>
      <t xml:space="preserve"> ( 28 days cube compressive strength not less than 15 N /sq mm ) grade cement concrete using </t>
    </r>
    <r>
      <rPr>
        <b/>
        <sz val="9"/>
        <rFont val="Times New Roman"/>
        <family val="1"/>
      </rPr>
      <t>40 mm</t>
    </r>
    <r>
      <rPr>
        <sz val="9"/>
        <rFont val="Times New Roman"/>
        <family val="1"/>
      </rPr>
      <t xml:space="preserve"> down size approved, clean, hard, graded aggregates for </t>
    </r>
    <r>
      <rPr>
        <b/>
        <sz val="9"/>
        <rFont val="Times New Roman"/>
        <family val="1"/>
      </rPr>
      <t>foundation filling</t>
    </r>
    <r>
      <rPr>
        <sz val="9"/>
        <rFont val="Times New Roman"/>
        <family val="1"/>
      </rPr>
      <t xml:space="preserve"> including cost of all materials, machinery, labour, formwork, cleaning, batching, mixing, placing in position, levelling, vibrating, finishing, curing etc., complete with initial lead upto 50 m and all lifts. complete with initial lead upto 50 m and all lifts. (IRR-CCDW-2-3)</t>
    </r>
  </si>
  <si>
    <r>
      <t xml:space="preserve">Providing and laying insitu vibrated </t>
    </r>
    <r>
      <rPr>
        <b/>
        <sz val="9"/>
        <color indexed="8"/>
        <rFont val="Times New Roman"/>
        <family val="1"/>
      </rPr>
      <t>M-15</t>
    </r>
    <r>
      <rPr>
        <sz val="9"/>
        <color indexed="8"/>
        <rFont val="Times New Roman"/>
        <family val="1"/>
      </rPr>
      <t>( 28 days cube compressive strength not less than 15 N / sq mm ) grade cement concrete using</t>
    </r>
    <r>
      <rPr>
        <b/>
        <sz val="9"/>
        <color indexed="8"/>
        <rFont val="Times New Roman"/>
        <family val="1"/>
      </rPr>
      <t xml:space="preserve"> 20 mm</t>
    </r>
    <r>
      <rPr>
        <sz val="9"/>
        <color indexed="8"/>
        <rFont val="Times New Roman"/>
        <family val="1"/>
      </rPr>
      <t xml:space="preserve"> down size approved, clean, hard, graded aggregates for </t>
    </r>
    <r>
      <rPr>
        <b/>
        <sz val="9"/>
        <color indexed="8"/>
        <rFont val="Times New Roman"/>
        <family val="1"/>
      </rPr>
      <t>Sub</t>
    </r>
    <r>
      <rPr>
        <sz val="9"/>
        <color indexed="8"/>
        <rFont val="Times New Roman"/>
        <family val="1"/>
      </rPr>
      <t xml:space="preserve"> </t>
    </r>
    <r>
      <rPr>
        <b/>
        <sz val="9"/>
        <color indexed="8"/>
        <rFont val="Times New Roman"/>
        <family val="1"/>
      </rPr>
      <t xml:space="preserve">Structure/Super structure </t>
    </r>
    <r>
      <rPr>
        <sz val="9"/>
        <color indexed="8"/>
        <rFont val="Times New Roman"/>
        <family val="1"/>
      </rPr>
      <t>works including cost of all materials, machinery, labour, formwork, cleaning, batching, mixing, placing in position, levelling, vibrating, finishing, curing etc., complete with initial lead upto 50 m and all lifts. (IRR-CCDW-2-10)</t>
    </r>
  </si>
  <si>
    <r>
      <t xml:space="preserve">Providing and </t>
    </r>
    <r>
      <rPr>
        <b/>
        <sz val="9"/>
        <rFont val="Times New Roman"/>
        <family val="1"/>
      </rPr>
      <t>filling murrum</t>
    </r>
    <r>
      <rPr>
        <sz val="9"/>
        <rFont val="Times New Roman"/>
        <family val="1"/>
      </rPr>
      <t xml:space="preserve"> / gravely soil ( CNS soil ) for foundation or around pipes  including clods spreading in layers of 10 to 15 cm ,watering, compaction by earth masters to acgieve density control of not less tgan 95 oercent etc, complete with lead up to 50 m and all lifts for back filling. (IRR-CCDW-7-2)</t>
    </r>
  </si>
  <si>
    <t>Bank Portion wall</t>
  </si>
  <si>
    <t>Channel Portion wall</t>
  </si>
  <si>
    <t>(2.1+1.8)/2</t>
  </si>
  <si>
    <t>(0.45+0.30)/2</t>
  </si>
  <si>
    <t>Below Pipe portion</t>
  </si>
  <si>
    <t>Pipe cradle portion</t>
  </si>
  <si>
    <t>U/S and D/S head walls</t>
  </si>
  <si>
    <t>U/S &amp; D/S Parapet walls</t>
  </si>
  <si>
    <t>Deduct pipe portion</t>
  </si>
  <si>
    <t>(1.60+1.0)/2</t>
  </si>
  <si>
    <t>Top of Pipe portion</t>
  </si>
  <si>
    <t>Pipe joints</t>
  </si>
  <si>
    <t>M-15 for lining ( 75mm thick)</t>
  </si>
  <si>
    <t>M-10 for Levelling coarse</t>
  </si>
  <si>
    <t>at km 4.400</t>
  </si>
  <si>
    <t>Required Discharge in Cumecs</t>
  </si>
  <si>
    <t>Designed Discharge in Cumecs</t>
  </si>
  <si>
    <t>Bed Level in m</t>
  </si>
  <si>
    <t>F.S.L. in m</t>
  </si>
  <si>
    <t>T.B.L. in m</t>
  </si>
  <si>
    <t>F.S.D. in m</t>
  </si>
  <si>
    <t>Surface fall</t>
  </si>
  <si>
    <t>Side slopes</t>
  </si>
  <si>
    <t>Value of n</t>
  </si>
  <si>
    <t>Velocity in m/s</t>
  </si>
  <si>
    <t>Thickness of Sand filling in mm</t>
  </si>
  <si>
    <t>Height of U/S &amp; D/S head wall in mm</t>
  </si>
  <si>
    <t>Parapat wall Width &amp; Height in mm</t>
  </si>
  <si>
    <t>Head wall Bottom &amp; Top Widths in mm</t>
  </si>
  <si>
    <t xml:space="preserve">Foundation ( Bed concrete) bottom level in m  </t>
  </si>
  <si>
    <t>Diameter of Pipe( NP3) (inner/Outer) in mm</t>
  </si>
  <si>
    <t xml:space="preserve">Foundation ( Bed concrete) top level in m  </t>
  </si>
  <si>
    <t>U/S &amp; D/S head wall top level in m</t>
  </si>
  <si>
    <t>U/S &amp; D/S Parapat wall top level in m</t>
  </si>
  <si>
    <t>Length of the pipe in mm</t>
  </si>
  <si>
    <t>Bed width in mm</t>
  </si>
  <si>
    <t>Free board in mm</t>
  </si>
  <si>
    <t>U/S &amp; D/S head wall Bed Concrete ( b x d ) in mm x mm</t>
  </si>
  <si>
    <t>Bed Concrete below U/S and D/S head wall</t>
  </si>
  <si>
    <t>behind U/S and D/S head walls</t>
  </si>
  <si>
    <t>Seigniorage Charge statemet</t>
  </si>
  <si>
    <t>Prorata data for Pipe culvert</t>
  </si>
  <si>
    <t>Whether provision for distributaries and field   channels is based on the estimate prepared for a model block covering 10% of the command .</t>
  </si>
  <si>
    <t>M-15 - 75 mm thick CC Lining , Pipe culverts , O.T. Sluices and Tail  dam</t>
  </si>
  <si>
    <t>Upputeru River basin</t>
  </si>
  <si>
    <t>1. Weir Channel from km 3.300 to km 6.100</t>
  </si>
  <si>
    <t xml:space="preserve">1 x 1 </t>
  </si>
  <si>
    <t>1.Cross Section of Weir Channel in between  km 3.300 to km 6.100 ( C.C. lining)</t>
  </si>
  <si>
    <t>2.Cross Section of Gedalavampu branch  Channel in between  km 0.000 to km 1.460 (C.C.lining)</t>
  </si>
  <si>
    <t>3.Cross Section of Gedalavampu branch  Channel in between  km 1.4600 to km 3.410 (C.C. lining)</t>
  </si>
  <si>
    <t>4.Cross Section of Perupalem branch  Channel in between  km 0.000 to km 2.600 (C.C. lining)</t>
  </si>
  <si>
    <t>5.Cross Section of Perupalem branch  Channel in between  km 2.600 to km 3.600 (C.C. lining)</t>
  </si>
  <si>
    <t>6.Cross Section of Dibbalapalem branch  Channel in between  km 0.000 to km 2.300 (C.C. lining)</t>
  </si>
  <si>
    <t>7.Cross Section of Mulaparru branch  Channel in between  km 0.000 to km 3.000 (C.C. lining)</t>
  </si>
  <si>
    <t>Grand Total in cum</t>
  </si>
  <si>
    <t>Weir Channel Estimated Levels from km 3.300 to km 6.100</t>
  </si>
  <si>
    <t>B.S</t>
  </si>
  <si>
    <t>I.S</t>
  </si>
  <si>
    <t>F.S</t>
  </si>
  <si>
    <t>H.I</t>
  </si>
  <si>
    <t>R.L</t>
  </si>
  <si>
    <t>Dist.</t>
  </si>
  <si>
    <t>Strd on Top of wall @km 3.300</t>
  </si>
  <si>
    <t>clsd on top of R&amp;B stone</t>
  </si>
  <si>
    <t>Weir Channel</t>
  </si>
  <si>
    <t>km 2.210</t>
  </si>
  <si>
    <t>km 1.100</t>
  </si>
  <si>
    <t>km 3.410</t>
  </si>
  <si>
    <t>km 0.00</t>
  </si>
  <si>
    <t>Gedalavampu branch No.1</t>
  </si>
  <si>
    <t>D.P.No.1</t>
  </si>
  <si>
    <t>km 1.700</t>
  </si>
  <si>
    <t>D.P.No.2</t>
  </si>
  <si>
    <t>km 2.500</t>
  </si>
  <si>
    <t>D.P.No.3</t>
  </si>
  <si>
    <t>km 2.800</t>
  </si>
  <si>
    <t>km 2.076</t>
  </si>
  <si>
    <t>km 1.645</t>
  </si>
  <si>
    <t>km 0.318</t>
  </si>
  <si>
    <t>km 3.300</t>
  </si>
  <si>
    <t>km 3.600</t>
  </si>
  <si>
    <t xml:space="preserve">Perupalem branch No.2 </t>
  </si>
  <si>
    <t>km 4.250</t>
  </si>
  <si>
    <t>km 4.400</t>
  </si>
  <si>
    <t>km 4.600</t>
  </si>
  <si>
    <t>km 4.730</t>
  </si>
  <si>
    <t>km 4.910</t>
  </si>
  <si>
    <t>km 2.300</t>
  </si>
  <si>
    <t>Dibbalapalem branch No.3</t>
  </si>
  <si>
    <t>km 5.000</t>
  </si>
  <si>
    <t>C.C Lining</t>
  </si>
  <si>
    <t>km  5.600</t>
  </si>
  <si>
    <t>km 5.700</t>
  </si>
  <si>
    <t>km 5.900</t>
  </si>
  <si>
    <t>O.T. Sluices</t>
  </si>
  <si>
    <t>Molaparru branch No.4</t>
  </si>
  <si>
    <t>km 6.100</t>
  </si>
  <si>
    <t>km 3.000</t>
  </si>
  <si>
    <t>a) Weir channel from km 3.300 to km 6.100</t>
  </si>
  <si>
    <t>b) Gedalavampu branch channel from km 0.000 to km 3.410</t>
  </si>
  <si>
    <t>b) Gedalavampu branch channel from km 0.000 to km 1.460</t>
  </si>
  <si>
    <t>c) Gedalavampu branch channel from km 1.460 to km 3.410</t>
  </si>
  <si>
    <t>d) Perupalem branch channel from km 0.000 to km 2.600</t>
  </si>
  <si>
    <t>e) Perupalem branch channel from km 2.600 to km 3.600</t>
  </si>
  <si>
    <t>f) Dibbalapalem branch channel from km 0.000 to km 2.300</t>
  </si>
  <si>
    <t>g) Mulaparru branch channel from km 0.000 to km 3.000</t>
  </si>
  <si>
    <t>b) Cross Section of Gedalavampu branch  Channel in between  km 0.000 to km 1.460 (Gravel layer)</t>
  </si>
  <si>
    <t>a) Cross Section of Weir Channel in between  km 3.300 to km 6.100 ( Gravel Layer)</t>
  </si>
  <si>
    <t>c)Cross Section of Gedalavampu branch  Channel in between  km 1.4600 to km 3.410 (Gravel layer)</t>
  </si>
  <si>
    <t>d) Cross Section of Perupalem branch  Channel in between  km 0.000 to km 2.600 ( Gravel Layer)</t>
  </si>
  <si>
    <t>e) Cross Section of Perupalem branch  Channel in between  km 2.600 to km 3.600 ( Gravel Layer)</t>
  </si>
  <si>
    <t>f) Cross Section of Dibbalapalem branch  Channel in between  km 0.000 to km 2.300 (Gravel layer)</t>
  </si>
  <si>
    <t>g) Cross Section of Mulaparru branch  Channel in between  km 0.000 to km 3.000 (Gravel layer)</t>
  </si>
  <si>
    <t>a) Weir  channel from km 3.300 to km 6.100 ( Both side slopes &amp; Bed , 3.0mts interval)</t>
  </si>
  <si>
    <t>b) Gedalavampu branch channel from km 0.000 to km 3.410 ( Both side slopes &amp; Bed , 3.0mts interval)</t>
  </si>
  <si>
    <t>c) Perupalem  branch channel from km 0.000 to km 3.600 ( Both side slopes &amp; Bed , 3.0mts interval)</t>
  </si>
  <si>
    <t>d) Dibbalapalem   branch channel from km 0.000 to km 2.300 ( Both side slopes &amp; Bed , 3.0mts interval)</t>
  </si>
  <si>
    <t>e) Dibbalapalem   branch channel from km 0.000 to km 3.000 ( Both side slopes &amp; Bed , 3.0mts interval)</t>
  </si>
  <si>
    <t xml:space="preserve">c) Perupalem  branch channel from km 0.000 to km 3.600 </t>
  </si>
  <si>
    <t xml:space="preserve">d) Dibbalapalem   branch channel from km 0.000 to km 2.300 </t>
  </si>
  <si>
    <t>e) Dibbalapalem   branch channel from km 0.000 to km 3.000</t>
  </si>
  <si>
    <t>a) Weir channel from km 3.300 to km 6.100 ( 10.00 m interval)</t>
  </si>
  <si>
    <t>b) Gedalavampu branch channel from km 0.000 to km 1.460 (10.0 m interval)</t>
  </si>
  <si>
    <t>c) Gedalavampu branch channel from km 1.460 to km 3.410 ( 10.0 m interval)</t>
  </si>
  <si>
    <t>d) Perupalem branch channel from km 0.000 to km 2.600 (10.0 m interval)</t>
  </si>
  <si>
    <t>f) Dibbalapalem branch channel from km 0.000 to km 2.300 ( 10.0 m interval)</t>
  </si>
  <si>
    <t>g) Mulaparru branch channel from km 0.000 to km 3.000 (10.0m interval)</t>
  </si>
  <si>
    <t>a) Weir channel from km 3.300 to km 6.100 ( Expansion joints will be provided U/S &amp; D/s of the stuctures)</t>
  </si>
  <si>
    <t>b) Gedalavampu branch channel  from km 0.000 to km 3.410 ( Expansion joints will be provided U/S &amp; D/s of the stuctures)</t>
  </si>
  <si>
    <t>c) Perupalem branch  channel  from km 0.000 to km 3.600 ( Expansion joints will be provided U/S &amp; D/s of the stuctures)</t>
  </si>
  <si>
    <t>d) Dibbalapalem branch  channel  from km 0.000 to km 2.300 ( Expansion joints will be provided U/S &amp; D/s of the stuctures)</t>
  </si>
  <si>
    <t>U/S wing walls</t>
  </si>
  <si>
    <t>(B) Tail dam on Weir channel at km 6.100</t>
  </si>
  <si>
    <t>A) For One  Pipe culvert at km 3.300 on Weir channel</t>
  </si>
  <si>
    <t>check formula</t>
  </si>
  <si>
    <t xml:space="preserve">A) For One  Pipe culvert at km 3.300 on Weir channel </t>
  </si>
  <si>
    <t>Check formula</t>
  </si>
  <si>
    <t>(B) For tail dam walls on weir channel at km 6.100</t>
  </si>
  <si>
    <t>Add Contractor profi@13.615%</t>
  </si>
  <si>
    <t>( D ) CC Lining Profile wall</t>
  </si>
  <si>
    <r>
      <t xml:space="preserve">Providing and </t>
    </r>
    <r>
      <rPr>
        <b/>
        <sz val="9"/>
        <rFont val="Times New Roman"/>
        <family val="1"/>
      </rPr>
      <t>laying insitu M- 20</t>
    </r>
    <r>
      <rPr>
        <sz val="9"/>
        <rFont val="Times New Roman"/>
        <family val="1"/>
      </rPr>
      <t xml:space="preserve"> ( 28 days cube compressive strength not less than 20 N /sqmm ) grade cement concrete using 20 mm down size approved, clean, hard, graded aggregates for wearing coat including cost of all materials, machinery, labour, formwork, cleaning, batching, mixing, placing in position in alternate panels, levelling, compacting, finishing, curing, packing joints with asphalt mortar etc., complete with initial lead upto 50 m and all lifts</t>
    </r>
  </si>
  <si>
    <r>
      <t xml:space="preserve">Providing and </t>
    </r>
    <r>
      <rPr>
        <b/>
        <sz val="11"/>
        <rFont val="Times New Roman"/>
        <family val="1"/>
      </rPr>
      <t>laying insitu M- 20</t>
    </r>
    <r>
      <rPr>
        <sz val="11"/>
        <rFont val="Times New Roman"/>
        <family val="1"/>
      </rPr>
      <t xml:space="preserve"> ( 28 days cube compressive strength not less than 20 N /sqmm ) grade cement concrete using 20 mm down size approved, clean, hard, graded aggregates for wearing coat including cost of all materials, machinery, labour, formwork, cleaning, batching, mixing, placing in position in alternate panels, levelling, compacting, finishing, curing, packing joints with asphalt mortar etc., complete with initial lead upto 50 m and all lifts</t>
    </r>
  </si>
  <si>
    <t>M-20 for Wearing coat</t>
  </si>
  <si>
    <r>
      <t xml:space="preserve">Providing and </t>
    </r>
    <r>
      <rPr>
        <b/>
        <sz val="11"/>
        <rFont val="Times New Roman"/>
        <family val="1"/>
      </rPr>
      <t>laying insitu M- 20</t>
    </r>
    <r>
      <rPr>
        <sz val="11"/>
        <rFont val="Times New Roman"/>
        <family val="1"/>
      </rPr>
      <t xml:space="preserve"> ( 28 days cube compressive strength not less than 20 N /</t>
    </r>
  </si>
  <si>
    <r>
      <t xml:space="preserve">sqmm ) grade cement concrete using </t>
    </r>
    <r>
      <rPr>
        <b/>
        <sz val="11"/>
        <rFont val="Times New Roman"/>
        <family val="1"/>
      </rPr>
      <t>20 mm down size</t>
    </r>
    <r>
      <rPr>
        <sz val="11"/>
        <rFont val="Times New Roman"/>
        <family val="1"/>
      </rPr>
      <t xml:space="preserve"> approved, clean, hard, graded</t>
    </r>
  </si>
  <si>
    <r>
      <t xml:space="preserve">aggregates </t>
    </r>
    <r>
      <rPr>
        <b/>
        <sz val="11"/>
        <rFont val="Times New Roman"/>
        <family val="1"/>
      </rPr>
      <t>for wearing coat</t>
    </r>
    <r>
      <rPr>
        <sz val="11"/>
        <rFont val="Times New Roman"/>
        <family val="1"/>
      </rPr>
      <t xml:space="preserve"> including cost of all materials, machinery, labour, formwork,</t>
    </r>
  </si>
  <si>
    <r>
      <t xml:space="preserve">finishing, curing, packing joints with asphalt mortar etc., complete </t>
    </r>
    <r>
      <rPr>
        <b/>
        <sz val="11"/>
        <rFont val="Times New Roman"/>
        <family val="1"/>
      </rPr>
      <t>with initial lead upto 50 m</t>
    </r>
  </si>
  <si>
    <t>(A+B+C+D)/15.76</t>
  </si>
  <si>
    <t>Site  Plan  of Weir Channel from km 0.000 to km 6.100 &amp; its Branch channels</t>
  </si>
  <si>
    <t xml:space="preserve">Structures locations </t>
  </si>
  <si>
    <t>Land Acquisition details</t>
  </si>
  <si>
    <t>Structure details of Weir channel and its four branch channels</t>
  </si>
  <si>
    <t>1.Road crossing points</t>
  </si>
  <si>
    <t>Weir channel</t>
  </si>
  <si>
    <t>Gedalavampu branch channel No.1</t>
  </si>
  <si>
    <t>Perupalem branch channel No.2</t>
  </si>
  <si>
    <t>Dibbalapalem branch channel No.3</t>
  </si>
  <si>
    <t>2) O.T. Sluices</t>
  </si>
  <si>
    <t>O.T.Sluices</t>
  </si>
  <si>
    <t>Weir channel ( Dibbalapalem Branch No.3)</t>
  </si>
  <si>
    <t>Weir channel ( Molaparru Branch No.4)</t>
  </si>
  <si>
    <t xml:space="preserve"> Perupalem Branch No.2</t>
  </si>
  <si>
    <t xml:space="preserve"> Dibbalapalem Branch No.3</t>
  </si>
  <si>
    <t>Weir channel from km 3.3000 to km 4.910</t>
  </si>
  <si>
    <t>Weir channel from km 4.910 to km 6.100</t>
  </si>
  <si>
    <t>Gedalavampu Branch channel No.1 from km 0.000 to km 1.460</t>
  </si>
  <si>
    <t>Gedalavampu Branch channel No.1 from km 1.460 to km 3.410</t>
  </si>
  <si>
    <t>Perupalem Branch channel No.2 from km 0.000 to km 2.600</t>
  </si>
  <si>
    <t>Perupalem Branch channel No.2 from km 2.600 to km 3.600</t>
  </si>
  <si>
    <t>Dibbalapalem branch channel No.3 from km 0.000 to km 2.300</t>
  </si>
  <si>
    <t>Molaparru branch channel No.4 from km 0.000 to km 3.000</t>
  </si>
  <si>
    <t>Rate per 1 acre in Rs.</t>
  </si>
  <si>
    <t>3)  Tail Dams</t>
  </si>
  <si>
    <r>
      <t xml:space="preserve">Manufacture, Supply and Delivery of R.C.C. Socket and Spigot  (NP-3) </t>
    </r>
    <r>
      <rPr>
        <sz val="9"/>
        <rFont val="Times New Roman"/>
        <family val="1"/>
      </rPr>
      <t>1000mm</t>
    </r>
    <r>
      <rPr>
        <sz val="9"/>
        <color theme="1"/>
        <rFont val="Times New Roman"/>
        <family val="1"/>
      </rPr>
      <t xml:space="preserve"> dia.pipes conforming to B.I.S. 458/2003 at ex-factory (rate per meter of effective length) Excluding transportation and all taxes.(MAT-05750)</t>
    </r>
  </si>
  <si>
    <t>Manufacture, Supply and Delivery of R.C.C. Socket and Spigot (NP-3) 1000mm dia.pipes conforming to B.I.S. 458/2003 at ex-factory (rate per meter of effective length) Excluding transportation and all taxes.(MAT-05747)</t>
  </si>
  <si>
    <t>MAT-05747</t>
  </si>
  <si>
    <t>MAT-05743</t>
  </si>
  <si>
    <t>Manufacture, Supply and Delivery of R.C.C. Socket and Spigot (NP-3) 600mm dia.pipes conforming to B.I.S. 458/2003 at ex-factory (rate per meter of effective length) Excluding transportation and all taxes.(MAT-05743)</t>
  </si>
  <si>
    <t>(1.9+0.6)/2</t>
  </si>
  <si>
    <r>
      <t>(</t>
    </r>
    <r>
      <rPr>
        <sz val="11"/>
        <rFont val="Calibri"/>
        <family val="2"/>
      </rPr>
      <t>π/4 x 1.27*1.27)</t>
    </r>
  </si>
  <si>
    <t>For 17 numbers of Pipe culverts  =17 x 16</t>
  </si>
  <si>
    <t>(C) Tail dam on Gedalavampu branch channel at km 3.410</t>
  </si>
  <si>
    <t>(C) Tail dam on Perupalem branch channel at km 3.600</t>
  </si>
  <si>
    <t>(D) Tail dam on Perupalem branch channel at km 3.600</t>
  </si>
  <si>
    <t>(E) Tail dam on Dibbalapalem branch channel at km 2.300</t>
  </si>
  <si>
    <t>(A) Tail dam on Weir channel at km 6.100</t>
  </si>
  <si>
    <t>(B) Tail dam on Gedalavampu branch channel at km 3.410</t>
  </si>
  <si>
    <t>(D) Tail dam on Dibbalapalem branch channel at km 2.300</t>
  </si>
  <si>
    <t xml:space="preserve">U/S &amp; D/S Cutt off wall </t>
  </si>
  <si>
    <t>U/S &amp; D/S apron</t>
  </si>
  <si>
    <t>(E) Tail dam on Mulaparru  branch channel at km 3.000</t>
  </si>
  <si>
    <t>(F) Tail dam on Mulaparru  branch channel at km3.000</t>
  </si>
  <si>
    <t>(F) Tail dam on Mulaparru  branch channel at km 3.000</t>
  </si>
  <si>
    <t>(F) Tail dam on Dibbalapalem  branch channel at km 2.300</t>
  </si>
  <si>
    <t>(G) Tail dam on Mulaparru  branch channel at km 3.000</t>
  </si>
  <si>
    <t>( A) Tail dam on Weir channel at km 6.100</t>
  </si>
  <si>
    <t>U/S &amp; D/S of appron</t>
  </si>
  <si>
    <t>( B) Tail dam on Gedalavampu branch channel  at km 3.410</t>
  </si>
  <si>
    <t>( C) Tail dam on Perupalem branch channel  at km 3.600</t>
  </si>
  <si>
    <t>( D) Tail dam on Dibbalapalem branch channel  at km 2.300</t>
  </si>
  <si>
    <t>( D) Tail dam on Mulaparru branch channel  at km 3.000</t>
  </si>
  <si>
    <t>Bank Portion walls</t>
  </si>
  <si>
    <t>( C) Tail dam on Gedalavampu branch channel  at km 3.410</t>
  </si>
  <si>
    <t>( D) Tail dam on Perupalem branch channel  at km 3.600</t>
  </si>
  <si>
    <t>( E) Tail dam on Dibbalapalem branch channel  at km 2.300</t>
  </si>
  <si>
    <t>( F) Tail dam on Mulaparru branch channel  at km 3.000</t>
  </si>
  <si>
    <t>( A ) for 17 number of pipe Culverts</t>
  </si>
  <si>
    <t>( G )   O.T.Sluice for  Dibbalapalem branch channel</t>
  </si>
  <si>
    <t>U/S  head wall</t>
  </si>
  <si>
    <t xml:space="preserve"> D/S head wall</t>
  </si>
  <si>
    <t>( H )   O.T.Sluice for  Mulaparru  branch channel</t>
  </si>
  <si>
    <t>U/S Appron</t>
  </si>
  <si>
    <t>D/S appron</t>
  </si>
  <si>
    <t>Cradle Portion</t>
  </si>
  <si>
    <t xml:space="preserve">Cutt  off walls </t>
  </si>
  <si>
    <t>Pipe Joint</t>
  </si>
  <si>
    <t>For 17 numbers of Pipe culverts  =17 x 49.584</t>
  </si>
  <si>
    <t>For 17 numbers of Pipe culverts  =17 x 120.842</t>
  </si>
  <si>
    <t>For 17 numbers of Pipe culverts  =17 x 48.337</t>
  </si>
  <si>
    <t>Total of in Cum</t>
  </si>
  <si>
    <t>For 17 numbers of Pipe culverts  =17 x 63.444</t>
  </si>
  <si>
    <t>( H ) O.T.Sluice on Dibbalapalem branch channel</t>
  </si>
  <si>
    <t>D/S head wall</t>
  </si>
  <si>
    <t>U/S Wing wall</t>
  </si>
  <si>
    <t>Parapet walls</t>
  </si>
  <si>
    <t>( I ) O.T Sluice for Mulaparru Branch channel</t>
  </si>
  <si>
    <t>( B ) for Mulaparru branch channel O.T.Sluice</t>
  </si>
  <si>
    <t>( A ) for Dibbalapalem branch channel O.T. sluice</t>
  </si>
  <si>
    <t>( G ) Dibbalapalem branch channel O.T.Sluice</t>
  </si>
  <si>
    <t>U/S &amp; D/S head walls</t>
  </si>
  <si>
    <t>Total  in Nos</t>
  </si>
  <si>
    <t>( H ) Mulaparru  branch channel O.T.Sluice</t>
  </si>
  <si>
    <r>
      <t>(</t>
    </r>
    <r>
      <rPr>
        <sz val="11"/>
        <rFont val="Calibri"/>
        <family val="2"/>
      </rPr>
      <t>π/4 x 1.23*1.23)</t>
    </r>
  </si>
  <si>
    <r>
      <t>(</t>
    </r>
    <r>
      <rPr>
        <sz val="11"/>
        <rFont val="Calibri"/>
        <family val="2"/>
      </rPr>
      <t>π/4 x 0.77*0.77)</t>
    </r>
  </si>
  <si>
    <t>( H ) O.T.Sluice for Mulaparru branch channel</t>
  </si>
  <si>
    <t>(G) O.T.Sluice for Dibbalapalem branch channel</t>
  </si>
  <si>
    <t>For 17 numbers of Pipe culverts  =17 x 69.160</t>
  </si>
  <si>
    <t>Total  in Cum</t>
  </si>
  <si>
    <t>Mulaparru Branch No.4</t>
  </si>
  <si>
    <t>No. of Acres=194320/4046.86</t>
  </si>
  <si>
    <t>at km  3.300</t>
  </si>
  <si>
    <t>2800 x 600</t>
  </si>
  <si>
    <t>(1900+600)</t>
  </si>
  <si>
    <t>(300 x 450)</t>
  </si>
  <si>
    <t>1000/1270</t>
  </si>
  <si>
    <t>at km 4.250</t>
  </si>
  <si>
    <t>at km 4.600</t>
  </si>
  <si>
    <t>at km 4.730</t>
  </si>
  <si>
    <t>at km 5.000</t>
  </si>
  <si>
    <t>at km 5.350</t>
  </si>
  <si>
    <t>at km  5.600</t>
  </si>
  <si>
    <t>at km 5.700</t>
  </si>
  <si>
    <t>at km 5.900</t>
  </si>
  <si>
    <t>km 0.950</t>
  </si>
  <si>
    <t>km 1.150</t>
  </si>
  <si>
    <t>Gedalavampu Branch channel No.1</t>
  </si>
  <si>
    <t>at km 1.736</t>
  </si>
  <si>
    <t>km 1.736</t>
  </si>
  <si>
    <t>at km 2.210</t>
  </si>
  <si>
    <t>at km  0.318</t>
  </si>
  <si>
    <t>at km 1.645</t>
  </si>
  <si>
    <t>at km 2.076</t>
  </si>
  <si>
    <t>Perupalem Branch channel No.2</t>
  </si>
  <si>
    <t>Prorata Data for Pipe culverts</t>
  </si>
  <si>
    <t xml:space="preserve"> Weir Channel</t>
  </si>
  <si>
    <t>Dibbalapalem  Branch channel No.3</t>
  </si>
  <si>
    <t>at km 0.950</t>
  </si>
  <si>
    <t>at km 1.150</t>
  </si>
  <si>
    <t>2. Gedalavampu branch  Channel No.1  from km 0.000 to km 3.410</t>
  </si>
  <si>
    <t>3. Perupalem branch  Channel No.2 from km 0.000 to km 3.600</t>
  </si>
  <si>
    <t>4. Dibbalapalem branch  Channel No.3  from km 0.000 to km 2.300</t>
  </si>
  <si>
    <t>5. Mulaparru branch  Channel No.4 from km 0.000 to km 3.000</t>
  </si>
  <si>
    <t>a) Weir channel from km 3.300 to km 6.100 ( 20.00 m interval)</t>
  </si>
  <si>
    <t>b) Gedalavampu branch channel from km 0.000 to km 1.460 (20.0 m interval)</t>
  </si>
  <si>
    <t>c) Gedalavampu branch channel from km 1.460 to km 3.410 ( 20.0 m interval)</t>
  </si>
  <si>
    <t>d) Perupalem branch channel from km 0.000 to km 2.600 (20.00 m interval)</t>
  </si>
  <si>
    <t>e) Perupalem branch channel from km 2.600 to km 3.600 ( 20.00 m interval)</t>
  </si>
  <si>
    <t>f) Dibbalapalem branch channel from km 0.000 to km 2.300 ( 20.0 m interval)</t>
  </si>
  <si>
    <t>g) Mulaparru branch channel from km 0.000 to km 3.000 (20.0m interval)</t>
  </si>
  <si>
    <t>Manufacture, Supply and Delivery of R.C.C. Socket and Spigot (NP-3) 1000mm dia.pipes conforming to B.I.S. 458/2003 at ex-factory (rate per meter of effective length) Excluding transportation and all taxes.</t>
  </si>
  <si>
    <t>Manufacture, Supply and Delivery of R.C.C. Socket and Spigot (NP-3) 600mm  dia.pipes conforming to B.I.S. 458/2003 at ex-factory (rate per meter of effective length) Excluding transportation and all taxes.</t>
  </si>
  <si>
    <r>
      <t xml:space="preserve">Providing and laying insitu vibrated </t>
    </r>
    <r>
      <rPr>
        <b/>
        <sz val="11"/>
        <rFont val="Times New Roman"/>
        <family val="1"/>
      </rPr>
      <t>M-15</t>
    </r>
    <r>
      <rPr>
        <sz val="11"/>
        <rFont val="Times New Roman"/>
        <family val="1"/>
      </rPr>
      <t>( 28 days cube compressive strength not less than 15 N / sq mm ) grade cement concrete using</t>
    </r>
    <r>
      <rPr>
        <b/>
        <sz val="11"/>
        <rFont val="Times New Roman"/>
        <family val="1"/>
      </rPr>
      <t xml:space="preserve"> 20 mm</t>
    </r>
    <r>
      <rPr>
        <sz val="11"/>
        <rFont val="Times New Roman"/>
        <family val="1"/>
      </rPr>
      <t xml:space="preserve"> down size approved, clean, hard, graded aggregates for </t>
    </r>
    <r>
      <rPr>
        <b/>
        <sz val="11"/>
        <rFont val="Times New Roman"/>
        <family val="1"/>
      </rPr>
      <t>Sub</t>
    </r>
    <r>
      <rPr>
        <sz val="11"/>
        <rFont val="Times New Roman"/>
        <family val="1"/>
      </rPr>
      <t xml:space="preserve"> </t>
    </r>
    <r>
      <rPr>
        <b/>
        <sz val="11"/>
        <rFont val="Times New Roman"/>
        <family val="1"/>
      </rPr>
      <t xml:space="preserve">Structure/Super structure </t>
    </r>
    <r>
      <rPr>
        <sz val="11"/>
        <rFont val="Times New Roman"/>
        <family val="1"/>
      </rPr>
      <t>works including cost of all materials, machinery, labour, formwork, cleaning, batching, mixing, placing in position, levelling, vibrating, finishing, curing etc., complete with initial lead upto 50 m and all lifts. (IRR-CCDW-2-10)</t>
    </r>
  </si>
  <si>
    <t>Add contractor profit @13.615</t>
  </si>
  <si>
    <t>Rate per  1 RMT</t>
  </si>
  <si>
    <t>(F) Provision towards for GST @18% on (E)</t>
  </si>
  <si>
    <t xml:space="preserve">(  G ) Provision towards Land acquisition </t>
  </si>
  <si>
    <t>( H) Provision towards shifting of Electrical poles</t>
  </si>
  <si>
    <t>(I) Provision towards Shuttering arrangement for tail dam</t>
  </si>
  <si>
    <t>(J) Provision towards for Photo &amp; vedio graphic charges.</t>
  </si>
  <si>
    <t xml:space="preserve"> (E) Total of (C +D)</t>
  </si>
  <si>
    <t>Total Estimate Cost  ( A+B+D+F+G +H+I +J) in Rs.</t>
  </si>
  <si>
    <t>STATEMENT SHOWING THE SEIGNIORAGE CHARGES</t>
  </si>
  <si>
    <t>3)Certified that the rates are adopted as per common SSR for the year 2023-24 of Govt. of Andhra Pradesh.</t>
  </si>
  <si>
    <t>SSR 2023-24</t>
  </si>
  <si>
    <t>Deduct first 1 km lead (37.3*13.615%)</t>
  </si>
  <si>
    <t>Total cost per 960 Sqm = ( 450165.14+110189.22)/960</t>
  </si>
  <si>
    <t>Amount required for land acquisition=48.00 x 2000000/-</t>
  </si>
  <si>
    <t>Gormation of New channel with CC linig in Godavari Delta system.</t>
  </si>
  <si>
    <t>Name of the Work : Formation of New Channel with CC lining in Godavari Delta System</t>
  </si>
  <si>
    <t>a) channel from km 3.300 to km 6.100</t>
  </si>
  <si>
    <t>b)  branch channel-1 from km 0.000 to km 3.410</t>
  </si>
  <si>
    <t>b)branch channel-2 from km 0.000 to km 3.600</t>
  </si>
  <si>
    <t>d)  branch channel-3 from km 0.000 to km 2.300</t>
  </si>
  <si>
    <t>e) branch channel-4 from km 0.000 to km 3.000</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</si>
</sst>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mm/dd/yy"/>
    <numFmt numFmtId="165" formatCode="0.0"/>
    <numFmt numFmtId="166" formatCode="0.000"/>
    <numFmt numFmtId="167" formatCode="0.000%"/>
    <numFmt numFmtId="168" formatCode="0.0%"/>
    <numFmt numFmtId="169" formatCode="0.00000"/>
    <numFmt numFmtId="170" formatCode="0.0000"/>
  </numFmts>
  <fonts count="79">
    <font>
      <sz val="11"/>
      <color theme="1"/>
      <name val="Calibri"/>
      <charset val="134"/>
      <scheme val="minor"/>
    </font>
    <font>
      <sz val="11"/>
      <color theme="1"/>
      <name val="Calibri"/>
      <family val="2"/>
      <scheme val="minor"/>
    </font>
    <font>
      <b/>
      <sz val="11"/>
      <color theme="1"/>
      <name val="Calibri"/>
      <family val="2"/>
      <scheme val="minor"/>
    </font>
    <font>
      <b/>
      <u/>
      <sz val="12"/>
      <color theme="1"/>
      <name val="Calibri"/>
      <family val="2"/>
      <scheme val="minor"/>
    </font>
    <font>
      <sz val="10"/>
      <color theme="1"/>
      <name val="Calibri"/>
      <family val="2"/>
      <scheme val="minor"/>
    </font>
    <font>
      <sz val="9"/>
      <color theme="1"/>
      <name val="Calibri"/>
      <family val="2"/>
      <scheme val="minor"/>
    </font>
    <font>
      <sz val="12"/>
      <color theme="1"/>
      <name val="Times New Roman"/>
      <family val="1"/>
    </font>
    <font>
      <b/>
      <u/>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0"/>
      <name val="Times New Roman"/>
      <family val="1"/>
    </font>
    <font>
      <u/>
      <sz val="10"/>
      <name val="Times New Roman"/>
      <family val="1"/>
    </font>
    <font>
      <b/>
      <sz val="10"/>
      <name val="Calibri"/>
      <family val="2"/>
      <scheme val="minor"/>
    </font>
    <font>
      <sz val="10"/>
      <name val="Calibri"/>
      <family val="2"/>
      <scheme val="minor"/>
    </font>
    <font>
      <sz val="10"/>
      <color rgb="FFFF0000"/>
      <name val="Calibri"/>
      <family val="2"/>
      <scheme val="minor"/>
    </font>
    <font>
      <sz val="11"/>
      <color theme="1"/>
      <name val="Times New Roman"/>
      <family val="1"/>
    </font>
    <font>
      <sz val="11"/>
      <name val="Times New Roman"/>
      <family val="1"/>
    </font>
    <font>
      <b/>
      <sz val="11"/>
      <name val="Times New Roman"/>
      <family val="1"/>
    </font>
    <font>
      <sz val="8"/>
      <color theme="1"/>
      <name val="Times New Roman"/>
      <family val="1"/>
    </font>
    <font>
      <b/>
      <sz val="11"/>
      <color theme="1"/>
      <name val="Times New Roman"/>
      <family val="1"/>
    </font>
    <font>
      <sz val="8"/>
      <name val="Arial"/>
      <family val="2"/>
    </font>
    <font>
      <b/>
      <sz val="8"/>
      <name val="Arial"/>
      <family val="2"/>
    </font>
    <font>
      <sz val="9"/>
      <name val="Times New Roman"/>
      <family val="1"/>
    </font>
    <font>
      <u/>
      <sz val="11"/>
      <color theme="1"/>
      <name val="Calibri"/>
      <family val="2"/>
      <scheme val="minor"/>
    </font>
    <font>
      <sz val="13"/>
      <color theme="1"/>
      <name val="Times New Roman"/>
      <family val="1"/>
    </font>
    <font>
      <sz val="12"/>
      <color theme="1"/>
      <name val="Calibri"/>
      <family val="2"/>
      <scheme val="minor"/>
    </font>
    <font>
      <sz val="9"/>
      <color theme="1"/>
      <name val="Times New Roman"/>
      <family val="1"/>
    </font>
    <font>
      <b/>
      <sz val="12"/>
      <color theme="1"/>
      <name val="Calibri"/>
      <family val="2"/>
      <scheme val="minor"/>
    </font>
    <font>
      <u/>
      <sz val="12"/>
      <color indexed="8"/>
      <name val="Times New Roman"/>
      <family val="1"/>
    </font>
    <font>
      <sz val="11"/>
      <color indexed="8"/>
      <name val="Times New Roman"/>
      <family val="1"/>
    </font>
    <font>
      <sz val="10"/>
      <name val="Arial"/>
      <family val="2"/>
    </font>
    <font>
      <sz val="10"/>
      <name val="MS Serif"/>
      <family val="1"/>
    </font>
    <font>
      <sz val="8"/>
      <name val="Arial"/>
      <family val="2"/>
    </font>
    <font>
      <sz val="10"/>
      <color indexed="8"/>
      <name val="Arial"/>
      <family val="2"/>
    </font>
    <font>
      <sz val="10"/>
      <color indexed="16"/>
      <name val="MS Serif"/>
      <family val="1"/>
    </font>
    <font>
      <sz val="11"/>
      <color indexed="8"/>
      <name val="Calibri"/>
      <family val="2"/>
    </font>
    <font>
      <b/>
      <sz val="12"/>
      <name val="Arial"/>
      <family val="2"/>
    </font>
    <font>
      <sz val="8"/>
      <name val="Helv"/>
      <charset val="134"/>
    </font>
    <font>
      <sz val="14"/>
      <color theme="1"/>
      <name val="Calibri"/>
      <family val="2"/>
      <scheme val="minor"/>
    </font>
    <font>
      <b/>
      <sz val="8"/>
      <color indexed="8"/>
      <name val="Helv"/>
      <charset val="134"/>
    </font>
    <font>
      <vertAlign val="superscript"/>
      <sz val="10"/>
      <name val="Times New Roman"/>
      <family val="1"/>
    </font>
    <font>
      <b/>
      <sz val="10"/>
      <name val="Calibri"/>
      <family val="2"/>
    </font>
    <font>
      <sz val="10"/>
      <name val="Calibri"/>
      <family val="2"/>
    </font>
    <font>
      <b/>
      <sz val="9"/>
      <name val="Times New Roman"/>
      <family val="1"/>
    </font>
    <font>
      <sz val="11"/>
      <color theme="1"/>
      <name val="Calibri"/>
      <family val="2"/>
      <scheme val="minor"/>
    </font>
    <font>
      <sz val="10"/>
      <name val="Arial"/>
      <family val="2"/>
    </font>
    <font>
      <sz val="12"/>
      <name val="Times New Roman"/>
      <family val="1"/>
    </font>
    <font>
      <b/>
      <sz val="12"/>
      <name val="Times New Roman"/>
      <family val="1"/>
    </font>
    <font>
      <sz val="11"/>
      <color theme="1"/>
      <name val="Times New Roman"/>
      <family val="1"/>
    </font>
    <font>
      <sz val="13"/>
      <color theme="1"/>
      <name val="Times New Roman"/>
      <family val="1"/>
    </font>
    <font>
      <b/>
      <sz val="13"/>
      <color theme="1"/>
      <name val="Times New Roman"/>
      <family val="1"/>
    </font>
    <font>
      <b/>
      <u/>
      <sz val="13"/>
      <color theme="1"/>
      <name val="Times New Roman"/>
      <family val="1"/>
    </font>
    <font>
      <sz val="11"/>
      <name val="Times New Roman"/>
      <family val="1"/>
    </font>
    <font>
      <sz val="14"/>
      <name val="Arial"/>
      <family val="2"/>
    </font>
    <font>
      <b/>
      <sz val="14"/>
      <name val="Arial"/>
      <family val="2"/>
    </font>
    <font>
      <sz val="9"/>
      <name val="Arial"/>
      <family val="2"/>
    </font>
    <font>
      <sz val="8"/>
      <name val="Times New Roman"/>
      <family val="1"/>
    </font>
    <font>
      <b/>
      <u/>
      <sz val="14"/>
      <color theme="1"/>
      <name val="Times New Roman"/>
      <family val="1"/>
    </font>
    <font>
      <b/>
      <sz val="9"/>
      <color indexed="8"/>
      <name val="Times New Roman"/>
      <family val="1"/>
    </font>
    <font>
      <sz val="9"/>
      <color indexed="8"/>
      <name val="Times New Roman"/>
      <family val="1"/>
    </font>
    <font>
      <sz val="11"/>
      <name val="Calibri"/>
      <family val="2"/>
    </font>
    <font>
      <sz val="10.5"/>
      <color theme="1"/>
      <name val="Times New Roman"/>
      <family val="1"/>
    </font>
    <font>
      <sz val="8"/>
      <color theme="1"/>
      <name val="Calibri"/>
      <family val="2"/>
      <scheme val="minor"/>
    </font>
    <font>
      <sz val="9"/>
      <color theme="1"/>
      <name val="Calibri"/>
      <family val="2"/>
      <scheme val="minor"/>
    </font>
    <font>
      <sz val="10"/>
      <color theme="1"/>
      <name val="Calibri"/>
      <family val="2"/>
      <scheme val="minor"/>
    </font>
    <font>
      <sz val="9"/>
      <name val="Calibri"/>
      <family val="2"/>
      <scheme val="minor"/>
    </font>
    <font>
      <sz val="12"/>
      <color theme="1"/>
      <name val="Times New Roman"/>
      <charset val="134"/>
    </font>
    <font>
      <b/>
      <sz val="12"/>
      <color theme="1"/>
      <name val="Times New Roman"/>
      <charset val="134"/>
    </font>
    <font>
      <sz val="11"/>
      <color theme="1"/>
      <name val="Times New Roman"/>
      <charset val="134"/>
    </font>
    <font>
      <b/>
      <u/>
      <sz val="11"/>
      <color theme="1"/>
      <name val="Times New Roman"/>
      <family val="1"/>
    </font>
    <font>
      <u/>
      <sz val="14"/>
      <color theme="1"/>
      <name val="Times New Roman"/>
      <family val="1"/>
    </font>
    <font>
      <sz val="10"/>
      <name val="Arial"/>
    </font>
    <font>
      <sz val="10"/>
      <name val="Trebuchet MS"/>
      <family val="2"/>
    </font>
    <font>
      <b/>
      <u/>
      <sz val="16"/>
      <color theme="1"/>
      <name val="Times New Roman"/>
      <family val="1"/>
    </font>
    <font>
      <b/>
      <sz val="11"/>
      <name val="Calibri"/>
      <family val="2"/>
      <scheme val="minor"/>
    </font>
    <font>
      <sz val="11"/>
      <name val="Calibri"/>
      <charset val="134"/>
      <scheme val="minor"/>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FFFF"/>
        <bgColor indexed="64"/>
      </patternFill>
    </fill>
    <fill>
      <patternFill patternType="solid">
        <fgColor indexed="22"/>
        <bgColor indexed="64"/>
      </patternFill>
    </fill>
    <fill>
      <patternFill patternType="solid">
        <fgColor indexed="26"/>
        <bgColor indexed="64"/>
      </patternFill>
    </fill>
  </fills>
  <borders count="43">
    <border>
      <left/>
      <right/>
      <top/>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medium">
        <color auto="1"/>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bottom/>
      <diagonal/>
    </border>
    <border>
      <left style="thin">
        <color indexed="64"/>
      </left>
      <right style="thin">
        <color auto="1"/>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2"/>
      </left>
      <right style="thin">
        <color indexed="62"/>
      </right>
      <top/>
      <bottom style="thin">
        <color indexed="8"/>
      </bottom>
      <diagonal/>
    </border>
    <border>
      <left style="thin">
        <color indexed="64"/>
      </left>
      <right style="thin">
        <color indexed="64"/>
      </right>
      <top/>
      <bottom style="thin">
        <color indexed="64"/>
      </bottom>
      <diagonal/>
    </border>
  </borders>
  <cellStyleXfs count="64">
    <xf numFmtId="0" fontId="0" fillId="0" borderId="0"/>
    <xf numFmtId="44" fontId="46" fillId="0" borderId="0" applyFont="0" applyFill="0" applyBorder="0" applyAlignment="0" applyProtection="0"/>
    <xf numFmtId="0" fontId="32" fillId="0" borderId="0"/>
    <xf numFmtId="0" fontId="32" fillId="0" borderId="0"/>
    <xf numFmtId="44" fontId="46" fillId="0" borderId="0" applyFont="0" applyFill="0" applyBorder="0" applyAlignment="0" applyProtection="0"/>
    <xf numFmtId="0" fontId="33" fillId="0" borderId="0" applyNumberFormat="0" applyAlignment="0">
      <alignment horizontal="left"/>
    </xf>
    <xf numFmtId="38" fontId="34" fillId="4" borderId="0" applyNumberFormat="0" applyBorder="0" applyAlignment="0" applyProtection="0"/>
    <xf numFmtId="44" fontId="32" fillId="0" borderId="0" applyFont="0" applyFill="0" applyBorder="0" applyAlignment="0" applyProtection="0"/>
    <xf numFmtId="0" fontId="32" fillId="0" borderId="0"/>
    <xf numFmtId="44" fontId="32" fillId="0" borderId="0" applyFont="0" applyFill="0" applyBorder="0" applyAlignment="0" applyProtection="0"/>
    <xf numFmtId="0" fontId="32" fillId="0" borderId="0"/>
    <xf numFmtId="44" fontId="32" fillId="0" borderId="0" applyFont="0" applyFill="0" applyBorder="0" applyAlignment="0" applyProtection="0"/>
    <xf numFmtId="43" fontId="32" fillId="0" borderId="0" applyFont="0" applyFill="0" applyBorder="0" applyAlignment="0" applyProtection="0"/>
    <xf numFmtId="0" fontId="27" fillId="0" borderId="0"/>
    <xf numFmtId="0" fontId="35" fillId="0" borderId="0" applyFill="0" applyBorder="0" applyAlignment="0"/>
    <xf numFmtId="44" fontId="32" fillId="0" borderId="0" applyFont="0" applyFill="0" applyBorder="0" applyAlignment="0" applyProtection="0"/>
    <xf numFmtId="10" fontId="34" fillId="5" borderId="9" applyNumberFormat="0" applyBorder="0" applyAlignment="0" applyProtection="0"/>
    <xf numFmtId="44" fontId="46" fillId="0" borderId="0" applyFont="0" applyFill="0" applyBorder="0" applyAlignment="0" applyProtection="0"/>
    <xf numFmtId="0" fontId="36" fillId="0" borderId="0" applyNumberFormat="0" applyAlignment="0">
      <alignment horizontal="left"/>
    </xf>
    <xf numFmtId="43" fontId="32" fillId="0" borderId="0" applyFont="0" applyFill="0" applyBorder="0" applyAlignment="0" applyProtection="0"/>
    <xf numFmtId="43" fontId="37" fillId="0" borderId="0" applyFont="0" applyFill="0" applyBorder="0" applyAlignment="0" applyProtection="0"/>
    <xf numFmtId="0" fontId="38" fillId="0" borderId="24" applyNumberFormat="0" applyAlignment="0" applyProtection="0">
      <alignment horizontal="left" vertical="center"/>
    </xf>
    <xf numFmtId="0" fontId="38" fillId="0" borderId="6">
      <alignment horizontal="lef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10"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46" fillId="0" borderId="0"/>
    <xf numFmtId="0" fontId="32" fillId="0" borderId="0"/>
    <xf numFmtId="0" fontId="46" fillId="0" borderId="0"/>
    <xf numFmtId="0" fontId="32" fillId="0" borderId="0"/>
    <xf numFmtId="0" fontId="46" fillId="0" borderId="0"/>
    <xf numFmtId="0" fontId="46" fillId="0" borderId="0"/>
    <xf numFmtId="0" fontId="32" fillId="0" borderId="0"/>
    <xf numFmtId="164" fontId="39" fillId="0" borderId="0" applyNumberFormat="0" applyFill="0" applyBorder="0" applyAlignment="0" applyProtection="0">
      <alignment horizontal="left"/>
    </xf>
    <xf numFmtId="0" fontId="32" fillId="0" borderId="0"/>
    <xf numFmtId="0" fontId="32" fillId="0" borderId="0"/>
    <xf numFmtId="0" fontId="40" fillId="0" borderId="0"/>
    <xf numFmtId="0" fontId="40" fillId="0" borderId="0"/>
    <xf numFmtId="0" fontId="32" fillId="0" borderId="0"/>
    <xf numFmtId="0" fontId="27" fillId="0" borderId="0"/>
    <xf numFmtId="0" fontId="27" fillId="0" borderId="0"/>
    <xf numFmtId="0" fontId="32" fillId="0" borderId="0"/>
    <xf numFmtId="0" fontId="32" fillId="0" borderId="0"/>
    <xf numFmtId="9" fontId="32" fillId="0" borderId="0" applyFont="0" applyFill="0" applyBorder="0" applyAlignment="0" applyProtection="0"/>
    <xf numFmtId="40" fontId="41" fillId="0" borderId="0" applyBorder="0">
      <alignment horizontal="right"/>
    </xf>
    <xf numFmtId="0" fontId="47" fillId="0" borderId="0"/>
    <xf numFmtId="0" fontId="73" fillId="0" borderId="0"/>
    <xf numFmtId="0" fontId="73" fillId="0" borderId="0"/>
  </cellStyleXfs>
  <cellXfs count="699">
    <xf numFmtId="0" fontId="0" fillId="0" borderId="0" xfId="0"/>
    <xf numFmtId="0" fontId="2" fillId="0" borderId="0" xfId="0" applyFont="1"/>
    <xf numFmtId="0" fontId="0" fillId="0" borderId="0" xfId="0" applyAlignment="1">
      <alignment horizontal="right"/>
    </xf>
    <xf numFmtId="0" fontId="0" fillId="0" borderId="0" xfId="0" applyFill="1"/>
    <xf numFmtId="0" fontId="6" fillId="0" borderId="0" xfId="0" applyFont="1"/>
    <xf numFmtId="0" fontId="8" fillId="0" borderId="0" xfId="0" applyFont="1"/>
    <xf numFmtId="0" fontId="0" fillId="0" borderId="0" xfId="0" applyAlignment="1">
      <alignment horizontal="center"/>
    </xf>
    <xf numFmtId="0" fontId="0" fillId="0" borderId="0" xfId="0" applyAlignment="1">
      <alignment horizontal="left"/>
    </xf>
    <xf numFmtId="0" fontId="0" fillId="0" borderId="0" xfId="0" applyAlignment="1">
      <alignment horizontal="center" vertical="center"/>
    </xf>
    <xf numFmtId="0" fontId="9" fillId="0" borderId="0" xfId="0" applyFont="1" applyFill="1" applyAlignment="1">
      <alignment vertical="center"/>
    </xf>
    <xf numFmtId="0" fontId="10" fillId="0" borderId="0" xfId="0" applyFont="1" applyFill="1" applyAlignment="1">
      <alignment wrapText="1"/>
    </xf>
    <xf numFmtId="0" fontId="10" fillId="0" borderId="0" xfId="0" applyFont="1" applyFill="1" applyAlignment="1">
      <alignment horizontal="center" vertical="center"/>
    </xf>
    <xf numFmtId="0" fontId="10" fillId="0" borderId="0" xfId="0" applyFont="1" applyFill="1" applyAlignment="1">
      <alignment horizontal="center"/>
    </xf>
    <xf numFmtId="0" fontId="10" fillId="0" borderId="0" xfId="0" applyFont="1" applyFill="1"/>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textRotation="90" wrapText="1"/>
    </xf>
    <xf numFmtId="0" fontId="10" fillId="0" borderId="0" xfId="0" applyFont="1" applyFill="1" applyAlignment="1">
      <alignment vertical="center"/>
    </xf>
    <xf numFmtId="2" fontId="10" fillId="0" borderId="0" xfId="0" applyNumberFormat="1" applyFont="1" applyFill="1" applyAlignment="1">
      <alignment horizontal="center" vertical="center"/>
    </xf>
    <xf numFmtId="0" fontId="10" fillId="0" borderId="0" xfId="0" applyFont="1" applyFill="1" applyAlignment="1">
      <alignment vertical="center" wrapText="1"/>
    </xf>
    <xf numFmtId="2" fontId="10" fillId="0" borderId="0" xfId="0" applyNumberFormat="1" applyFont="1" applyFill="1" applyAlignment="1">
      <alignment horizontal="center" vertical="center" wrapText="1"/>
    </xf>
    <xf numFmtId="0" fontId="10" fillId="0" borderId="0" xfId="0" applyFont="1" applyFill="1" applyBorder="1"/>
    <xf numFmtId="0" fontId="11" fillId="0" borderId="0" xfId="0" applyFont="1" applyFill="1"/>
    <xf numFmtId="0" fontId="11" fillId="0" borderId="0" xfId="0" applyFont="1" applyFill="1" applyAlignment="1">
      <alignment horizontal="center" vertical="top"/>
    </xf>
    <xf numFmtId="2" fontId="11" fillId="0" borderId="0" xfId="0" applyNumberFormat="1" applyFont="1" applyFill="1" applyBorder="1" applyAlignment="1">
      <alignment horizontal="left" vertical="top"/>
    </xf>
    <xf numFmtId="0" fontId="11" fillId="0" borderId="0" xfId="0" applyFont="1" applyFill="1" applyBorder="1" applyAlignment="1">
      <alignment horizontal="left" vertical="top"/>
    </xf>
    <xf numFmtId="0" fontId="11" fillId="0" borderId="0" xfId="0" applyFont="1" applyFill="1" applyAlignment="1">
      <alignment horizontal="left" vertical="top"/>
    </xf>
    <xf numFmtId="0" fontId="11" fillId="0" borderId="0" xfId="0" applyFont="1" applyFill="1" applyBorder="1" applyAlignment="1">
      <alignment horizontal="right" vertical="top"/>
    </xf>
    <xf numFmtId="0" fontId="11" fillId="0" borderId="0" xfId="0" applyFont="1" applyFill="1" applyBorder="1" applyAlignment="1">
      <alignment horizontal="center" vertical="top"/>
    </xf>
    <xf numFmtId="2" fontId="11" fillId="0" borderId="0" xfId="0" applyNumberFormat="1" applyFont="1" applyFill="1" applyAlignment="1">
      <alignment horizontal="right" vertical="top"/>
    </xf>
    <xf numFmtId="2" fontId="11" fillId="0" borderId="0" xfId="0" applyNumberFormat="1" applyFont="1" applyFill="1" applyAlignment="1">
      <alignment horizontal="left" vertical="top"/>
    </xf>
    <xf numFmtId="2" fontId="11" fillId="0" borderId="0" xfId="0" applyNumberFormat="1" applyFont="1" applyFill="1" applyAlignment="1">
      <alignment horizontal="right"/>
    </xf>
    <xf numFmtId="2" fontId="11" fillId="0" borderId="0" xfId="0" applyNumberFormat="1" applyFont="1" applyFill="1" applyAlignment="1">
      <alignment horizontal="left"/>
    </xf>
    <xf numFmtId="0" fontId="11" fillId="0" borderId="0" xfId="0" applyFont="1" applyFill="1" applyAlignment="1">
      <alignment horizontal="left" vertical="top" wrapText="1"/>
    </xf>
    <xf numFmtId="2" fontId="11" fillId="0" borderId="0" xfId="0" applyNumberFormat="1" applyFont="1" applyFill="1" applyAlignment="1">
      <alignment horizontal="right" vertical="center"/>
    </xf>
    <xf numFmtId="2" fontId="11" fillId="0" borderId="0" xfId="0" applyNumberFormat="1" applyFont="1" applyFill="1" applyAlignment="1">
      <alignment horizontal="left" vertical="center"/>
    </xf>
    <xf numFmtId="0" fontId="11" fillId="0" borderId="0" xfId="0" applyFont="1" applyFill="1" applyAlignment="1">
      <alignment horizontal="right" vertical="top"/>
    </xf>
    <xf numFmtId="0" fontId="10" fillId="0" borderId="0" xfId="0" applyFont="1" applyFill="1" applyAlignment="1">
      <alignment horizontal="right"/>
    </xf>
    <xf numFmtId="0" fontId="11" fillId="0" borderId="0" xfId="0" applyFont="1" applyFill="1" applyBorder="1"/>
    <xf numFmtId="0" fontId="11" fillId="0" borderId="0" xfId="0" applyFont="1" applyFill="1" applyAlignment="1">
      <alignment vertical="center" wrapText="1"/>
    </xf>
    <xf numFmtId="2" fontId="10" fillId="0" borderId="0" xfId="0" applyNumberFormat="1" applyFont="1" applyFill="1"/>
    <xf numFmtId="0" fontId="11" fillId="0" borderId="0" xfId="0" applyFont="1" applyFill="1" applyAlignment="1">
      <alignment vertical="center"/>
    </xf>
    <xf numFmtId="2" fontId="10" fillId="0" borderId="0" xfId="0" applyNumberFormat="1" applyFont="1" applyFill="1" applyAlignment="1">
      <alignment horizontal="center"/>
    </xf>
    <xf numFmtId="0" fontId="13" fillId="0" borderId="0" xfId="0" applyFont="1" applyFill="1" applyAlignment="1">
      <alignment horizontal="right" vertical="top"/>
    </xf>
    <xf numFmtId="0" fontId="13" fillId="0" borderId="0" xfId="0" applyFont="1" applyFill="1" applyAlignment="1">
      <alignment horizontal="left" vertical="top"/>
    </xf>
    <xf numFmtId="2" fontId="11" fillId="0" borderId="0" xfId="0" applyNumberFormat="1" applyFont="1" applyFill="1" applyAlignment="1">
      <alignment horizontal="center" vertical="top"/>
    </xf>
    <xf numFmtId="0" fontId="11" fillId="0" borderId="0" xfId="0" applyFont="1" applyFill="1" applyBorder="1" applyAlignment="1">
      <alignment horizontal="center" vertical="top" wrapText="1"/>
    </xf>
    <xf numFmtId="2" fontId="11" fillId="0" borderId="0" xfId="0" applyNumberFormat="1" applyFont="1" applyFill="1" applyAlignment="1">
      <alignment horizontal="center"/>
    </xf>
    <xf numFmtId="2" fontId="11" fillId="0" borderId="6" xfId="0" applyNumberFormat="1" applyFont="1" applyFill="1" applyBorder="1" applyAlignment="1">
      <alignment horizontal="center"/>
    </xf>
    <xf numFmtId="2" fontId="11" fillId="0" borderId="0" xfId="0" applyNumberFormat="1" applyFont="1" applyFill="1"/>
    <xf numFmtId="2" fontId="11" fillId="0" borderId="0" xfId="0" applyNumberFormat="1" applyFont="1" applyFill="1" applyBorder="1" applyAlignment="1">
      <alignment horizontal="center" vertical="top"/>
    </xf>
    <xf numFmtId="2" fontId="11" fillId="0" borderId="0" xfId="0" applyNumberFormat="1" applyFont="1" applyFill="1" applyBorder="1" applyAlignment="1">
      <alignment horizontal="center"/>
    </xf>
    <xf numFmtId="0" fontId="11" fillId="0" borderId="0" xfId="0" applyFont="1" applyFill="1" applyAlignment="1">
      <alignment horizontal="center"/>
    </xf>
    <xf numFmtId="0" fontId="13" fillId="0" borderId="0" xfId="0" applyFont="1" applyFill="1" applyAlignment="1">
      <alignment horizontal="right"/>
    </xf>
    <xf numFmtId="0" fontId="13" fillId="0" borderId="0" xfId="0" applyFont="1" applyFill="1"/>
    <xf numFmtId="0" fontId="11" fillId="0" borderId="0" xfId="0" applyFont="1" applyFill="1" applyAlignment="1"/>
    <xf numFmtId="0" fontId="11" fillId="0" borderId="0" xfId="0" applyFont="1" applyFill="1" applyAlignment="1">
      <alignment vertical="top"/>
    </xf>
    <xf numFmtId="0" fontId="11" fillId="0" borderId="0" xfId="0" applyFont="1" applyFill="1" applyAlignment="1">
      <alignment vertical="top" wrapText="1"/>
    </xf>
    <xf numFmtId="0" fontId="11" fillId="0" borderId="0" xfId="0" applyFont="1" applyFill="1" applyBorder="1" applyAlignment="1">
      <alignment vertical="top"/>
    </xf>
    <xf numFmtId="2" fontId="11" fillId="0" borderId="0" xfId="0" applyNumberFormat="1" applyFont="1" applyFill="1" applyBorder="1" applyAlignment="1">
      <alignment vertical="top"/>
    </xf>
    <xf numFmtId="2" fontId="11" fillId="0" borderId="0" xfId="0" applyNumberFormat="1" applyFont="1" applyFill="1" applyAlignment="1"/>
    <xf numFmtId="2" fontId="11" fillId="0" borderId="6" xfId="0" applyNumberFormat="1" applyFont="1" applyFill="1" applyBorder="1" applyAlignment="1">
      <alignment horizontal="center" vertical="top"/>
    </xf>
    <xf numFmtId="2" fontId="11" fillId="0" borderId="3" xfId="0" applyNumberFormat="1" applyFont="1" applyFill="1" applyBorder="1" applyAlignment="1">
      <alignment horizontal="center"/>
    </xf>
    <xf numFmtId="2" fontId="11" fillId="0" borderId="0" xfId="0" applyNumberFormat="1" applyFont="1" applyFill="1" applyBorder="1" applyAlignment="1">
      <alignment horizontal="right" vertical="top"/>
    </xf>
    <xf numFmtId="0" fontId="11" fillId="0" borderId="0" xfId="0" applyFont="1" applyFill="1" applyAlignment="1">
      <alignment shrinkToFit="1"/>
    </xf>
    <xf numFmtId="2" fontId="11" fillId="0" borderId="0" xfId="0" applyNumberFormat="1" applyFont="1" applyFill="1" applyAlignment="1">
      <alignment shrinkToFit="1"/>
    </xf>
    <xf numFmtId="0" fontId="13" fillId="0" borderId="0" xfId="0" applyFont="1" applyFill="1" applyAlignment="1">
      <alignment horizontal="center" vertical="top"/>
    </xf>
    <xf numFmtId="0" fontId="11" fillId="0" borderId="0" xfId="0" applyFont="1" applyFill="1" applyAlignment="1">
      <alignment horizontal="center" vertical="top" wrapText="1"/>
    </xf>
    <xf numFmtId="1" fontId="11" fillId="0" borderId="0" xfId="0" applyNumberFormat="1" applyFont="1" applyFill="1" applyBorder="1" applyAlignment="1">
      <alignment horizontal="center"/>
    </xf>
    <xf numFmtId="2" fontId="11" fillId="0" borderId="0" xfId="0" applyNumberFormat="1" applyFont="1" applyFill="1" applyAlignment="1">
      <alignment horizontal="center" vertical="top" wrapText="1"/>
    </xf>
    <xf numFmtId="0" fontId="11" fillId="0" borderId="0" xfId="0" applyFont="1" applyFill="1" applyAlignment="1">
      <alignment horizontal="left"/>
    </xf>
    <xf numFmtId="2" fontId="13" fillId="0" borderId="0" xfId="0" applyNumberFormat="1" applyFont="1" applyFill="1" applyBorder="1" applyAlignment="1">
      <alignment horizontal="center"/>
    </xf>
    <xf numFmtId="0" fontId="0" fillId="0" borderId="0" xfId="0" applyFill="1" applyAlignment="1">
      <alignment wrapText="1"/>
    </xf>
    <xf numFmtId="2" fontId="0" fillId="0" borderId="0" xfId="0" applyNumberFormat="1" applyFill="1" applyAlignment="1">
      <alignment horizontal="center"/>
    </xf>
    <xf numFmtId="0" fontId="0" fillId="0" borderId="0" xfId="0" applyFill="1" applyAlignment="1">
      <alignment horizontal="center"/>
    </xf>
    <xf numFmtId="2" fontId="2" fillId="0" borderId="0" xfId="0" applyNumberFormat="1" applyFont="1" applyFill="1" applyAlignment="1">
      <alignment horizontal="center"/>
    </xf>
    <xf numFmtId="0" fontId="0" fillId="0" borderId="0" xfId="0" applyAlignment="1">
      <alignment horizontal="center" vertical="center" textRotation="90"/>
    </xf>
    <xf numFmtId="2" fontId="0" fillId="0" borderId="0" xfId="0" applyNumberFormat="1"/>
    <xf numFmtId="166" fontId="0" fillId="0" borderId="0" xfId="0" applyNumberFormat="1"/>
    <xf numFmtId="2" fontId="2" fillId="0" borderId="0" xfId="0" applyNumberFormat="1" applyFont="1" applyAlignment="1">
      <alignment horizontal="center" vertical="center"/>
    </xf>
    <xf numFmtId="0" fontId="14" fillId="0" borderId="0" xfId="0" applyFont="1" applyFill="1" applyAlignment="1" applyProtection="1">
      <alignment horizontal="left"/>
      <protection hidden="1"/>
    </xf>
    <xf numFmtId="0" fontId="15" fillId="0" borderId="0" xfId="0" applyFont="1" applyFill="1" applyProtection="1">
      <protection hidden="1"/>
    </xf>
    <xf numFmtId="0" fontId="15" fillId="0" borderId="12"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14" xfId="0" applyFont="1" applyFill="1" applyBorder="1" applyAlignment="1" applyProtection="1">
      <alignment horizontal="center"/>
      <protection hidden="1"/>
    </xf>
    <xf numFmtId="0" fontId="15" fillId="0" borderId="10" xfId="0" applyFont="1" applyFill="1" applyBorder="1" applyProtection="1">
      <protection hidden="1"/>
    </xf>
    <xf numFmtId="0" fontId="15" fillId="0" borderId="13" xfId="0" applyFont="1" applyFill="1" applyBorder="1" applyAlignment="1" applyProtection="1">
      <alignment horizontal="center"/>
      <protection hidden="1"/>
    </xf>
    <xf numFmtId="2" fontId="15" fillId="0" borderId="13" xfId="0" applyNumberFormat="1" applyFont="1" applyFill="1" applyBorder="1" applyAlignment="1" applyProtection="1">
      <alignment horizontal="right"/>
      <protection hidden="1"/>
    </xf>
    <xf numFmtId="2" fontId="15" fillId="0" borderId="13" xfId="0" applyNumberFormat="1" applyFont="1" applyFill="1" applyBorder="1" applyProtection="1">
      <protection hidden="1"/>
    </xf>
    <xf numFmtId="0" fontId="15" fillId="0" borderId="7" xfId="0" applyFont="1" applyFill="1" applyBorder="1" applyAlignment="1" applyProtection="1">
      <alignment horizontal="center"/>
      <protection hidden="1"/>
    </xf>
    <xf numFmtId="0" fontId="15" fillId="0" borderId="6" xfId="0" applyFont="1" applyFill="1" applyBorder="1" applyAlignment="1" applyProtection="1">
      <alignment horizontal="right"/>
      <protection hidden="1"/>
    </xf>
    <xf numFmtId="0" fontId="15" fillId="0" borderId="6" xfId="0" applyFont="1" applyFill="1" applyBorder="1" applyProtection="1">
      <protection hidden="1"/>
    </xf>
    <xf numFmtId="0" fontId="15" fillId="0" borderId="8" xfId="0" applyFont="1" applyFill="1" applyBorder="1" applyProtection="1">
      <protection hidden="1"/>
    </xf>
    <xf numFmtId="0" fontId="15" fillId="0" borderId="9" xfId="0" applyFont="1" applyFill="1" applyBorder="1" applyAlignment="1" applyProtection="1">
      <alignment horizontal="right"/>
      <protection hidden="1"/>
    </xf>
    <xf numFmtId="2" fontId="14" fillId="0" borderId="9" xfId="0" applyNumberFormat="1" applyFont="1" applyFill="1" applyBorder="1" applyProtection="1">
      <protection hidden="1"/>
    </xf>
    <xf numFmtId="0" fontId="15" fillId="0" borderId="0" xfId="0" applyFont="1" applyFill="1" applyAlignment="1" applyProtection="1">
      <alignment horizontal="center"/>
      <protection hidden="1"/>
    </xf>
    <xf numFmtId="0" fontId="15" fillId="0" borderId="0" xfId="0" applyFont="1" applyFill="1" applyAlignment="1" applyProtection="1">
      <alignment horizontal="right"/>
      <protection hidden="1"/>
    </xf>
    <xf numFmtId="2" fontId="15" fillId="0" borderId="0" xfId="0" applyNumberFormat="1" applyFont="1" applyFill="1" applyBorder="1" applyProtection="1">
      <protection hidden="1"/>
    </xf>
    <xf numFmtId="2" fontId="15" fillId="0" borderId="0" xfId="0" applyNumberFormat="1" applyFont="1" applyFill="1" applyProtection="1">
      <protection hidden="1"/>
    </xf>
    <xf numFmtId="2" fontId="14" fillId="0" borderId="0" xfId="0" applyNumberFormat="1" applyFont="1" applyFill="1" applyProtection="1">
      <protection hidden="1"/>
    </xf>
    <xf numFmtId="2" fontId="2" fillId="0" borderId="0" xfId="0" applyNumberFormat="1" applyFont="1" applyAlignment="1">
      <alignment horizontal="center"/>
    </xf>
    <xf numFmtId="0" fontId="14" fillId="3" borderId="0" xfId="0" applyFont="1" applyFill="1" applyAlignment="1" applyProtection="1">
      <alignment horizontal="center" vertical="center" wrapText="1"/>
      <protection hidden="1"/>
    </xf>
    <xf numFmtId="0" fontId="14" fillId="0" borderId="0" xfId="0" applyFont="1" applyProtection="1">
      <protection hidden="1"/>
    </xf>
    <xf numFmtId="0" fontId="15" fillId="0" borderId="0" xfId="0" applyFont="1" applyAlignment="1" applyProtection="1">
      <alignment horizontal="center"/>
      <protection hidden="1"/>
    </xf>
    <xf numFmtId="0" fontId="14" fillId="0" borderId="0" xfId="0" applyFont="1" applyAlignment="1" applyProtection="1">
      <alignment horizontal="right"/>
      <protection hidden="1"/>
    </xf>
    <xf numFmtId="0" fontId="15" fillId="0" borderId="0" xfId="0" applyFont="1" applyProtection="1">
      <protection hidden="1"/>
    </xf>
    <xf numFmtId="0" fontId="15" fillId="0" borderId="0" xfId="0" applyFont="1" applyAlignment="1" applyProtection="1">
      <alignment horizontal="right"/>
      <protection hidden="1"/>
    </xf>
    <xf numFmtId="2" fontId="14" fillId="0" borderId="0" xfId="0" applyNumberFormat="1" applyFont="1" applyAlignment="1" applyProtection="1">
      <alignment horizontal="right"/>
      <protection hidden="1"/>
    </xf>
    <xf numFmtId="0" fontId="14" fillId="0" borderId="0" xfId="0" applyFont="1" applyAlignment="1" applyProtection="1">
      <alignment horizontal="left"/>
      <protection hidden="1"/>
    </xf>
    <xf numFmtId="0" fontId="15" fillId="0" borderId="12"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14" xfId="0" applyFont="1" applyBorder="1" applyAlignment="1" applyProtection="1">
      <alignment horizontal="center"/>
      <protection hidden="1"/>
    </xf>
    <xf numFmtId="0" fontId="15" fillId="0" borderId="10" xfId="0" applyFont="1" applyBorder="1" applyProtection="1">
      <protection hidden="1"/>
    </xf>
    <xf numFmtId="0" fontId="15" fillId="0" borderId="1" xfId="0" applyFont="1" applyBorder="1" applyAlignment="1" applyProtection="1">
      <alignment horizontal="left"/>
      <protection hidden="1"/>
    </xf>
    <xf numFmtId="2" fontId="15" fillId="0" borderId="13" xfId="0" applyNumberFormat="1" applyFont="1" applyBorder="1" applyProtection="1">
      <protection hidden="1"/>
    </xf>
    <xf numFmtId="2" fontId="16" fillId="0" borderId="13" xfId="0" applyNumberFormat="1" applyFont="1" applyBorder="1" applyAlignment="1" applyProtection="1">
      <alignment horizontal="right"/>
      <protection hidden="1"/>
    </xf>
    <xf numFmtId="0" fontId="15" fillId="0" borderId="13" xfId="0" applyFont="1" applyBorder="1" applyAlignment="1" applyProtection="1">
      <alignment horizontal="center"/>
      <protection hidden="1"/>
    </xf>
    <xf numFmtId="2" fontId="15" fillId="0" borderId="13" xfId="0" applyNumberFormat="1" applyFont="1" applyBorder="1" applyAlignment="1" applyProtection="1">
      <alignment horizontal="right"/>
      <protection hidden="1"/>
    </xf>
    <xf numFmtId="0" fontId="15" fillId="0" borderId="13" xfId="0" applyFont="1" applyBorder="1" applyAlignment="1" applyProtection="1">
      <alignment horizontal="left" indent="3"/>
      <protection hidden="1"/>
    </xf>
    <xf numFmtId="0" fontId="15" fillId="0" borderId="7" xfId="0" applyFont="1" applyBorder="1" applyAlignment="1" applyProtection="1">
      <alignment horizontal="center"/>
      <protection hidden="1"/>
    </xf>
    <xf numFmtId="0" fontId="15" fillId="0" borderId="6" xfId="0" applyFont="1" applyBorder="1" applyAlignment="1" applyProtection="1">
      <alignment horizontal="right"/>
      <protection hidden="1"/>
    </xf>
    <xf numFmtId="0" fontId="15" fillId="0" borderId="6" xfId="0" applyFont="1" applyBorder="1" applyProtection="1">
      <protection hidden="1"/>
    </xf>
    <xf numFmtId="0" fontId="15" fillId="0" borderId="8" xfId="0" applyFont="1" applyBorder="1" applyProtection="1">
      <protection hidden="1"/>
    </xf>
    <xf numFmtId="0" fontId="15" fillId="0" borderId="9" xfId="0" applyFont="1" applyBorder="1" applyAlignment="1" applyProtection="1">
      <alignment horizontal="right"/>
      <protection hidden="1"/>
    </xf>
    <xf numFmtId="2" fontId="14" fillId="0" borderId="9" xfId="0" applyNumberFormat="1" applyFont="1" applyBorder="1" applyProtection="1">
      <protection hidden="1"/>
    </xf>
    <xf numFmtId="2" fontId="15" fillId="2" borderId="13" xfId="0" applyNumberFormat="1" applyFont="1" applyFill="1" applyBorder="1" applyProtection="1">
      <protection hidden="1"/>
    </xf>
    <xf numFmtId="0" fontId="15" fillId="0" borderId="10" xfId="0" applyFont="1" applyBorder="1" applyAlignment="1" applyProtection="1">
      <alignment horizontal="left"/>
      <protection hidden="1"/>
    </xf>
    <xf numFmtId="2" fontId="15" fillId="0" borderId="14" xfId="0" applyNumberFormat="1" applyFont="1" applyBorder="1" applyProtection="1">
      <protection hidden="1"/>
    </xf>
    <xf numFmtId="2" fontId="15" fillId="2" borderId="14" xfId="0" applyNumberFormat="1" applyFont="1" applyFill="1" applyBorder="1" applyProtection="1">
      <protection hidden="1"/>
    </xf>
    <xf numFmtId="0" fontId="15" fillId="0" borderId="10" xfId="0" applyFont="1" applyBorder="1" applyAlignment="1" applyProtection="1">
      <alignment horizontal="center"/>
      <protection hidden="1"/>
    </xf>
    <xf numFmtId="0" fontId="15" fillId="0" borderId="3" xfId="0" applyFont="1" applyBorder="1" applyAlignment="1" applyProtection="1">
      <alignment horizontal="right"/>
      <protection hidden="1"/>
    </xf>
    <xf numFmtId="0" fontId="15" fillId="0" borderId="3" xfId="0" applyFont="1" applyBorder="1" applyProtection="1">
      <protection hidden="1"/>
    </xf>
    <xf numFmtId="0" fontId="15" fillId="0" borderId="11" xfId="0" applyFont="1" applyBorder="1" applyProtection="1">
      <protection hidden="1"/>
    </xf>
    <xf numFmtId="0" fontId="15" fillId="0" borderId="14" xfId="0" applyFont="1" applyBorder="1" applyAlignment="1" applyProtection="1">
      <alignment horizontal="right"/>
      <protection hidden="1"/>
    </xf>
    <xf numFmtId="0" fontId="15" fillId="0" borderId="0" xfId="0" applyFont="1" applyBorder="1" applyAlignment="1" applyProtection="1">
      <alignment horizontal="left"/>
      <protection hidden="1"/>
    </xf>
    <xf numFmtId="2" fontId="15" fillId="0" borderId="4" xfId="0" applyNumberFormat="1" applyFont="1" applyBorder="1" applyProtection="1">
      <protection hidden="1"/>
    </xf>
    <xf numFmtId="2" fontId="15" fillId="0" borderId="0" xfId="0" applyNumberFormat="1" applyFont="1" applyProtection="1">
      <protection hidden="1"/>
    </xf>
    <xf numFmtId="2" fontId="15" fillId="0" borderId="0" xfId="0" applyNumberFormat="1" applyFont="1" applyBorder="1" applyProtection="1">
      <protection hidden="1"/>
    </xf>
    <xf numFmtId="2" fontId="15" fillId="0" borderId="6" xfId="0" applyNumberFormat="1" applyFont="1" applyBorder="1" applyProtection="1">
      <protection hidden="1"/>
    </xf>
    <xf numFmtId="0" fontId="15" fillId="0" borderId="0" xfId="0" applyFont="1" applyAlignment="1" applyProtection="1">
      <alignment horizontal="left"/>
      <protection hidden="1"/>
    </xf>
    <xf numFmtId="167" fontId="15" fillId="0" borderId="0" xfId="0" applyNumberFormat="1" applyFont="1" applyProtection="1">
      <protection hidden="1"/>
    </xf>
    <xf numFmtId="10" fontId="15" fillId="0" borderId="0" xfId="0" applyNumberFormat="1" applyFont="1" applyProtection="1">
      <protection hidden="1"/>
    </xf>
    <xf numFmtId="2" fontId="14" fillId="0" borderId="0" xfId="0" applyNumberFormat="1" applyFont="1" applyProtection="1">
      <protection hidden="1"/>
    </xf>
    <xf numFmtId="0" fontId="4" fillId="0" borderId="0" xfId="0" applyFont="1"/>
    <xf numFmtId="2" fontId="14" fillId="0" borderId="15" xfId="40" applyNumberFormat="1" applyFont="1" applyBorder="1"/>
    <xf numFmtId="0" fontId="6" fillId="0" borderId="0" xfId="0" applyFont="1" applyAlignment="1">
      <alignment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9" xfId="0" applyFont="1" applyBorder="1" applyAlignment="1">
      <alignment vertical="center"/>
    </xf>
    <xf numFmtId="2" fontId="6" fillId="0" borderId="9" xfId="0" applyNumberFormat="1" applyFont="1" applyBorder="1" applyAlignment="1">
      <alignment horizontal="center" vertical="center"/>
    </xf>
    <xf numFmtId="165" fontId="6" fillId="0" borderId="9" xfId="0" applyNumberFormat="1" applyFont="1" applyBorder="1" applyAlignment="1">
      <alignment horizontal="center" vertical="center"/>
    </xf>
    <xf numFmtId="0" fontId="17" fillId="0" borderId="9" xfId="0" applyFont="1" applyBorder="1" applyAlignment="1">
      <alignment vertical="center"/>
    </xf>
    <xf numFmtId="165" fontId="8" fillId="0" borderId="9" xfId="0" applyNumberFormat="1" applyFont="1" applyBorder="1" applyAlignment="1">
      <alignment horizontal="center" vertical="center"/>
    </xf>
    <xf numFmtId="2" fontId="8" fillId="0" borderId="9" xfId="0" applyNumberFormat="1" applyFont="1" applyBorder="1" applyAlignment="1">
      <alignment horizontal="center" vertical="center"/>
    </xf>
    <xf numFmtId="0" fontId="17" fillId="0" borderId="0" xfId="0" applyFont="1"/>
    <xf numFmtId="0" fontId="19" fillId="0" borderId="0" xfId="0" applyFont="1" applyProtection="1">
      <protection hidden="1"/>
    </xf>
    <xf numFmtId="0" fontId="18" fillId="0" borderId="0" xfId="0" applyFont="1" applyBorder="1" applyProtection="1">
      <protection hidden="1"/>
    </xf>
    <xf numFmtId="0" fontId="18" fillId="0" borderId="0" xfId="0" applyFont="1" applyProtection="1">
      <protection hidden="1"/>
    </xf>
    <xf numFmtId="2" fontId="18" fillId="0" borderId="0" xfId="0" applyNumberFormat="1" applyFont="1" applyProtection="1">
      <protection hidden="1"/>
    </xf>
    <xf numFmtId="0" fontId="18" fillId="0" borderId="0" xfId="0" applyFont="1" applyBorder="1" applyAlignment="1" applyProtection="1">
      <alignment horizontal="center"/>
      <protection hidden="1"/>
    </xf>
    <xf numFmtId="0" fontId="18" fillId="0" borderId="0" xfId="0" applyFont="1" applyAlignment="1" applyProtection="1">
      <alignment horizontal="center"/>
      <protection hidden="1"/>
    </xf>
    <xf numFmtId="0" fontId="17" fillId="0" borderId="0" xfId="0" applyFont="1" applyFill="1"/>
    <xf numFmtId="0" fontId="17" fillId="0" borderId="0" xfId="0" applyFont="1" applyFill="1" applyAlignment="1">
      <alignment horizontal="center" vertical="center" wrapText="1"/>
    </xf>
    <xf numFmtId="2" fontId="17" fillId="0" borderId="0" xfId="0" applyNumberFormat="1" applyFont="1" applyFill="1"/>
    <xf numFmtId="2" fontId="22" fillId="0" borderId="0" xfId="0" applyNumberFormat="1" applyFont="1" applyFill="1" applyBorder="1" applyAlignment="1" applyProtection="1">
      <alignment horizontal="left"/>
      <protection hidden="1"/>
    </xf>
    <xf numFmtId="2" fontId="23" fillId="0" borderId="16" xfId="0" applyNumberFormat="1" applyFont="1" applyFill="1" applyBorder="1" applyAlignment="1" applyProtection="1">
      <alignment horizontal="left"/>
      <protection hidden="1"/>
    </xf>
    <xf numFmtId="2" fontId="21" fillId="0" borderId="0" xfId="0" applyNumberFormat="1" applyFont="1" applyFill="1"/>
    <xf numFmtId="0" fontId="11" fillId="0" borderId="0" xfId="0" applyFont="1" applyFill="1" applyAlignment="1" applyProtection="1">
      <protection hidden="1"/>
    </xf>
    <xf numFmtId="0" fontId="18" fillId="0" borderId="0" xfId="0" applyFont="1" applyFill="1" applyProtection="1">
      <protection hidden="1"/>
    </xf>
    <xf numFmtId="0" fontId="18" fillId="0" borderId="0" xfId="0" applyFont="1" applyFill="1" applyAlignment="1" applyProtection="1">
      <alignment wrapText="1"/>
    </xf>
    <xf numFmtId="0" fontId="18" fillId="0" borderId="0" xfId="0" applyFont="1" applyFill="1" applyAlignment="1" applyProtection="1">
      <alignment horizontal="center"/>
      <protection hidden="1"/>
    </xf>
    <xf numFmtId="0" fontId="19" fillId="0" borderId="0" xfId="0" applyFont="1" applyFill="1" applyAlignment="1" applyProtection="1">
      <alignment horizontal="right" wrapText="1"/>
      <protection hidden="1"/>
    </xf>
    <xf numFmtId="0" fontId="18" fillId="0" borderId="0" xfId="0" applyFont="1" applyFill="1" applyAlignment="1" applyProtection="1">
      <alignment horizontal="right"/>
      <protection hidden="1"/>
    </xf>
    <xf numFmtId="2" fontId="19" fillId="0" borderId="0" xfId="0" applyNumberFormat="1" applyFont="1" applyFill="1" applyAlignment="1" applyProtection="1">
      <alignment horizontal="right"/>
      <protection hidden="1"/>
    </xf>
    <xf numFmtId="0" fontId="19" fillId="0" borderId="0" xfId="0" applyFont="1" applyFill="1" applyAlignment="1" applyProtection="1">
      <alignment horizontal="left"/>
      <protection hidden="1"/>
    </xf>
    <xf numFmtId="0" fontId="18" fillId="0" borderId="0" xfId="0" applyFont="1" applyFill="1" applyAlignment="1" applyProtection="1">
      <alignment wrapText="1"/>
      <protection hidden="1"/>
    </xf>
    <xf numFmtId="0" fontId="18" fillId="0" borderId="0" xfId="0" applyFont="1" applyFill="1" applyBorder="1" applyAlignment="1" applyProtection="1">
      <alignment wrapText="1"/>
      <protection hidden="1"/>
    </xf>
    <xf numFmtId="0" fontId="18" fillId="0" borderId="0" xfId="0" applyFont="1" applyFill="1" applyBorder="1" applyAlignment="1" applyProtection="1">
      <protection hidden="1"/>
    </xf>
    <xf numFmtId="0" fontId="18" fillId="0" borderId="0" xfId="0" applyFont="1" applyFill="1" applyBorder="1" applyProtection="1">
      <protection hidden="1"/>
    </xf>
    <xf numFmtId="167" fontId="18" fillId="0" borderId="0" xfId="0" applyNumberFormat="1" applyFont="1" applyFill="1" applyBorder="1" applyProtection="1">
      <protection hidden="1"/>
    </xf>
    <xf numFmtId="0" fontId="18" fillId="0" borderId="0" xfId="0" applyFont="1" applyFill="1" applyAlignment="1" applyProtection="1">
      <protection hidden="1"/>
    </xf>
    <xf numFmtId="0" fontId="19" fillId="0" borderId="0" xfId="0" applyFont="1" applyFill="1" applyAlignment="1" applyProtection="1">
      <protection hidden="1"/>
    </xf>
    <xf numFmtId="2" fontId="18" fillId="0" borderId="0" xfId="0" applyNumberFormat="1" applyFont="1" applyFill="1" applyProtection="1">
      <protection hidden="1"/>
    </xf>
    <xf numFmtId="2" fontId="18" fillId="0" borderId="0" xfId="0" applyNumberFormat="1" applyFont="1" applyFill="1" applyBorder="1" applyProtection="1">
      <protection hidden="1"/>
    </xf>
    <xf numFmtId="10" fontId="18" fillId="0" borderId="0" xfId="0" applyNumberFormat="1" applyFont="1" applyFill="1" applyAlignment="1" applyProtection="1">
      <alignment horizontal="right"/>
      <protection hidden="1"/>
    </xf>
    <xf numFmtId="2" fontId="19" fillId="0" borderId="0" xfId="0" applyNumberFormat="1" applyFont="1" applyFill="1" applyProtection="1">
      <protection hidden="1"/>
    </xf>
    <xf numFmtId="0" fontId="17" fillId="0" borderId="0" xfId="0" applyFont="1" applyFill="1" applyAlignment="1"/>
    <xf numFmtId="0" fontId="24" fillId="0" borderId="0" xfId="0" applyFont="1" applyFill="1" applyAlignment="1" applyProtection="1">
      <protection hidden="1"/>
    </xf>
    <xf numFmtId="2" fontId="18" fillId="0" borderId="0" xfId="0" applyNumberFormat="1" applyFont="1" applyFill="1" applyAlignment="1" applyProtection="1">
      <protection hidden="1"/>
    </xf>
    <xf numFmtId="2" fontId="19" fillId="0" borderId="0" xfId="0" applyNumberFormat="1" applyFont="1" applyFill="1" applyAlignment="1" applyProtection="1">
      <protection hidden="1"/>
    </xf>
    <xf numFmtId="0" fontId="21" fillId="0" borderId="0" xfId="0" applyFont="1" applyFill="1"/>
    <xf numFmtId="165" fontId="17" fillId="0" borderId="0" xfId="0" applyNumberFormat="1" applyFont="1" applyFill="1"/>
    <xf numFmtId="0" fontId="17" fillId="0" borderId="0" xfId="0" applyFont="1" applyFill="1" applyAlignment="1">
      <alignment horizontal="right"/>
    </xf>
    <xf numFmtId="0" fontId="19" fillId="0" borderId="0" xfId="0" applyFont="1" applyFill="1" applyAlignment="1" applyProtection="1">
      <alignment horizontal="center" wrapText="1"/>
      <protection hidden="1"/>
    </xf>
    <xf numFmtId="0" fontId="19" fillId="0" borderId="0" xfId="0" applyFont="1" applyFill="1" applyProtection="1">
      <protection hidden="1"/>
    </xf>
    <xf numFmtId="0" fontId="18" fillId="0" borderId="0" xfId="0" applyFont="1" applyFill="1" applyAlignment="1" applyProtection="1">
      <alignment horizontal="left"/>
      <protection hidden="1"/>
    </xf>
    <xf numFmtId="0" fontId="19" fillId="0" borderId="0" xfId="0" applyFont="1" applyFill="1" applyAlignment="1" applyProtection="1">
      <alignment wrapText="1"/>
    </xf>
    <xf numFmtId="0" fontId="18" fillId="0" borderId="17" xfId="0" applyFont="1" applyFill="1" applyBorder="1" applyAlignment="1" applyProtection="1">
      <alignment horizontal="center"/>
      <protection hidden="1"/>
    </xf>
    <xf numFmtId="0" fontId="18" fillId="0" borderId="17" xfId="0" applyFont="1" applyFill="1" applyBorder="1" applyAlignment="1" applyProtection="1">
      <alignment horizontal="center" wrapText="1"/>
      <protection hidden="1"/>
    </xf>
    <xf numFmtId="0" fontId="18" fillId="0" borderId="18" xfId="0" applyFont="1" applyFill="1" applyBorder="1" applyAlignment="1" applyProtection="1">
      <alignment horizontal="center" wrapText="1"/>
      <protection hidden="1"/>
    </xf>
    <xf numFmtId="0" fontId="18" fillId="0" borderId="18" xfId="0" applyFont="1" applyFill="1" applyBorder="1" applyAlignment="1" applyProtection="1">
      <alignment horizontal="center"/>
      <protection hidden="1"/>
    </xf>
    <xf numFmtId="0" fontId="18" fillId="0" borderId="19" xfId="0" applyFont="1" applyFill="1" applyBorder="1" applyAlignment="1" applyProtection="1">
      <alignment wrapText="1"/>
      <protection hidden="1"/>
    </xf>
    <xf numFmtId="166" fontId="18" fillId="0" borderId="20" xfId="0" applyNumberFormat="1" applyFont="1" applyFill="1" applyBorder="1" applyProtection="1">
      <protection hidden="1"/>
    </xf>
    <xf numFmtId="2" fontId="18" fillId="0" borderId="21" xfId="0" applyNumberFormat="1" applyFont="1" applyFill="1" applyBorder="1" applyProtection="1">
      <protection hidden="1"/>
    </xf>
    <xf numFmtId="0" fontId="18" fillId="0" borderId="17" xfId="0" applyFont="1" applyFill="1" applyBorder="1" applyAlignment="1" applyProtection="1">
      <alignment wrapText="1"/>
      <protection hidden="1"/>
    </xf>
    <xf numFmtId="166" fontId="18" fillId="0" borderId="17" xfId="0" applyNumberFormat="1" applyFont="1" applyFill="1" applyBorder="1" applyProtection="1">
      <protection hidden="1"/>
    </xf>
    <xf numFmtId="0" fontId="18" fillId="0" borderId="17" xfId="0" applyFont="1" applyFill="1" applyBorder="1" applyProtection="1">
      <protection hidden="1"/>
    </xf>
    <xf numFmtId="0" fontId="18" fillId="0" borderId="22" xfId="0" applyFont="1" applyFill="1" applyBorder="1" applyAlignment="1" applyProtection="1">
      <protection hidden="1"/>
    </xf>
    <xf numFmtId="0" fontId="18" fillId="0" borderId="16" xfId="0" applyFont="1" applyFill="1" applyBorder="1" applyProtection="1">
      <protection hidden="1"/>
    </xf>
    <xf numFmtId="2" fontId="19" fillId="0" borderId="23" xfId="0" applyNumberFormat="1" applyFont="1" applyFill="1" applyBorder="1" applyProtection="1">
      <protection hidden="1"/>
    </xf>
    <xf numFmtId="0" fontId="18" fillId="0" borderId="0" xfId="0" applyFont="1" applyFill="1" applyBorder="1" applyAlignment="1" applyProtection="1">
      <alignment horizontal="center" wrapText="1"/>
      <protection hidden="1"/>
    </xf>
    <xf numFmtId="0" fontId="18" fillId="0" borderId="17" xfId="0" applyFont="1" applyFill="1" applyBorder="1" applyAlignment="1" applyProtection="1">
      <alignment horizontal="center" vertical="center"/>
      <protection hidden="1"/>
    </xf>
    <xf numFmtId="0" fontId="18" fillId="0" borderId="17" xfId="0" applyFont="1" applyFill="1" applyBorder="1" applyAlignment="1" applyProtection="1">
      <alignment horizontal="center" vertical="center" wrapText="1"/>
      <protection hidden="1"/>
    </xf>
    <xf numFmtId="2" fontId="18" fillId="0" borderId="17" xfId="0" applyNumberFormat="1" applyFont="1" applyFill="1" applyBorder="1" applyProtection="1">
      <protection hidden="1"/>
    </xf>
    <xf numFmtId="0" fontId="18" fillId="0" borderId="17" xfId="0" applyFont="1" applyFill="1" applyBorder="1" applyAlignment="1" applyProtection="1">
      <protection hidden="1"/>
    </xf>
    <xf numFmtId="0" fontId="18" fillId="0" borderId="18" xfId="0" applyFont="1" applyFill="1" applyBorder="1" applyProtection="1">
      <protection hidden="1"/>
    </xf>
    <xf numFmtId="2" fontId="18" fillId="0" borderId="20" xfId="0" applyNumberFormat="1" applyFont="1" applyFill="1" applyBorder="1" applyProtection="1">
      <protection hidden="1"/>
    </xf>
    <xf numFmtId="2" fontId="18" fillId="0" borderId="18" xfId="0" applyNumberFormat="1" applyFont="1" applyFill="1" applyBorder="1" applyProtection="1">
      <protection hidden="1"/>
    </xf>
    <xf numFmtId="0" fontId="18" fillId="0" borderId="16" xfId="0" applyFont="1" applyFill="1" applyBorder="1" applyAlignment="1" applyProtection="1">
      <alignment horizontal="center" wrapText="1"/>
      <protection hidden="1"/>
    </xf>
    <xf numFmtId="2" fontId="19" fillId="0" borderId="17" xfId="0" applyNumberFormat="1" applyFont="1" applyFill="1" applyBorder="1" applyProtection="1">
      <protection hidden="1"/>
    </xf>
    <xf numFmtId="2" fontId="18" fillId="0" borderId="16" xfId="0" applyNumberFormat="1" applyFont="1" applyFill="1" applyBorder="1" applyProtection="1">
      <protection hidden="1"/>
    </xf>
    <xf numFmtId="0" fontId="19" fillId="0" borderId="0" xfId="0" applyFont="1" applyFill="1" applyAlignment="1" applyProtection="1">
      <alignment horizontal="left" wrapText="1"/>
      <protection hidden="1"/>
    </xf>
    <xf numFmtId="0" fontId="24" fillId="0" borderId="0" xfId="0" applyFont="1" applyFill="1" applyBorder="1" applyAlignment="1" applyProtection="1">
      <alignment horizontal="justify" vertical="center" wrapText="1"/>
      <protection hidden="1"/>
    </xf>
    <xf numFmtId="2" fontId="21" fillId="0" borderId="0" xfId="0" applyNumberFormat="1" applyFont="1" applyFill="1" applyAlignment="1">
      <alignment horizontal="center" vertical="center"/>
    </xf>
    <xf numFmtId="0" fontId="0" fillId="0" borderId="0" xfId="0" applyAlignment="1">
      <alignment horizontal="center" vertical="center" wrapText="1"/>
    </xf>
    <xf numFmtId="0" fontId="7" fillId="0" borderId="0" xfId="0" applyFont="1"/>
    <xf numFmtId="0" fontId="5" fillId="0" borderId="0" xfId="0" applyFont="1"/>
    <xf numFmtId="0" fontId="0" fillId="0" borderId="2" xfId="0" applyBorder="1"/>
    <xf numFmtId="0" fontId="25" fillId="0" borderId="3" xfId="0" applyFont="1" applyBorder="1"/>
    <xf numFmtId="2" fontId="2" fillId="0" borderId="0" xfId="0" applyNumberFormat="1" applyFont="1"/>
    <xf numFmtId="0" fontId="6" fillId="0" borderId="0" xfId="0" applyFont="1" applyAlignment="1">
      <alignment horizontal="center" vertical="center"/>
    </xf>
    <xf numFmtId="0" fontId="8" fillId="0" borderId="0" xfId="0" applyFont="1" applyAlignment="1">
      <alignment vertical="center"/>
    </xf>
    <xf numFmtId="2" fontId="0" fillId="0" borderId="0" xfId="0" applyNumberFormat="1" applyAlignment="1">
      <alignment horizontal="center" vertical="center"/>
    </xf>
    <xf numFmtId="166" fontId="0" fillId="0" borderId="0" xfId="0" applyNumberFormat="1" applyAlignment="1">
      <alignment horizontal="center" vertical="center"/>
    </xf>
    <xf numFmtId="0" fontId="0" fillId="0" borderId="0" xfId="0" applyFill="1" applyBorder="1"/>
    <xf numFmtId="0" fontId="0" fillId="0" borderId="0" xfId="0" applyFill="1" applyBorder="1" applyAlignment="1">
      <alignment horizontal="right"/>
    </xf>
    <xf numFmtId="0" fontId="0" fillId="0" borderId="0" xfId="0" applyFill="1" applyBorder="1" applyAlignment="1">
      <alignment horizontal="left" vertical="center"/>
    </xf>
    <xf numFmtId="2" fontId="0" fillId="0" borderId="0" xfId="0" applyNumberFormat="1" applyFill="1" applyBorder="1"/>
    <xf numFmtId="0" fontId="0" fillId="0" borderId="0" xfId="0" applyFill="1" applyBorder="1" applyAlignment="1">
      <alignment horizontal="center" vertical="center"/>
    </xf>
    <xf numFmtId="0" fontId="0" fillId="0" borderId="0" xfId="0" applyAlignment="1">
      <alignment horizontal="right" vertical="center" wrapText="1"/>
    </xf>
    <xf numFmtId="166" fontId="0" fillId="0" borderId="0" xfId="0" applyNumberFormat="1" applyAlignment="1">
      <alignment horizontal="center"/>
    </xf>
    <xf numFmtId="0" fontId="0" fillId="0" borderId="0" xfId="0" applyAlignment="1">
      <alignment horizontal="right" wrapText="1"/>
    </xf>
    <xf numFmtId="0" fontId="0" fillId="0" borderId="0" xfId="0" applyFill="1" applyAlignment="1">
      <alignment horizontal="right" wrapText="1"/>
    </xf>
    <xf numFmtId="165" fontId="2" fillId="0" borderId="0" xfId="0" applyNumberFormat="1" applyFont="1" applyAlignment="1">
      <alignment horizontal="center" vertical="center"/>
    </xf>
    <xf numFmtId="0" fontId="18" fillId="0" borderId="0" xfId="1" applyNumberFormat="1" applyFont="1" applyFill="1" applyBorder="1" applyAlignment="1">
      <alignment horizontal="right" vertical="center" wrapText="1"/>
    </xf>
    <xf numFmtId="0" fontId="18" fillId="0" borderId="0" xfId="1" applyNumberFormat="1" applyFont="1" applyFill="1" applyBorder="1" applyAlignment="1">
      <alignment horizontal="center" vertical="center" wrapText="1"/>
    </xf>
    <xf numFmtId="2" fontId="18" fillId="0" borderId="0" xfId="1" applyNumberFormat="1" applyFont="1" applyFill="1" applyBorder="1" applyAlignment="1">
      <alignment horizontal="center" vertical="center" wrapText="1"/>
    </xf>
    <xf numFmtId="0" fontId="18" fillId="0" borderId="0" xfId="0" applyFont="1" applyFill="1" applyBorder="1" applyAlignment="1" applyProtection="1">
      <alignment horizontal="center" vertical="center" wrapText="1"/>
      <protection hidden="1"/>
    </xf>
    <xf numFmtId="0" fontId="18" fillId="0" borderId="0" xfId="1" applyNumberFormat="1" applyFont="1" applyFill="1" applyBorder="1" applyAlignment="1">
      <alignment horizontal="right" wrapText="1"/>
    </xf>
    <xf numFmtId="0" fontId="18" fillId="0" borderId="0" xfId="1" applyNumberFormat="1" applyFont="1" applyFill="1" applyBorder="1" applyAlignment="1">
      <alignment horizontal="center" wrapText="1"/>
    </xf>
    <xf numFmtId="0" fontId="17" fillId="0" borderId="0" xfId="0" applyFont="1" applyAlignment="1">
      <alignment vertical="center"/>
    </xf>
    <xf numFmtId="0" fontId="18" fillId="0" borderId="0" xfId="43" applyFont="1" applyFill="1" applyBorder="1" applyAlignment="1" applyProtection="1">
      <alignment horizontal="center" vertical="center" wrapText="1"/>
      <protection hidden="1"/>
    </xf>
    <xf numFmtId="165" fontId="18" fillId="0" borderId="0" xfId="43" applyNumberFormat="1" applyFont="1" applyFill="1" applyBorder="1" applyAlignment="1" applyProtection="1">
      <alignment horizontal="center" vertical="center" wrapText="1"/>
      <protection hidden="1"/>
    </xf>
    <xf numFmtId="0" fontId="18" fillId="0" borderId="0" xfId="43" applyFont="1" applyFill="1" applyBorder="1" applyAlignment="1" applyProtection="1">
      <alignment vertical="center"/>
      <protection hidden="1"/>
    </xf>
    <xf numFmtId="0" fontId="11" fillId="0" borderId="0" xfId="43" applyFont="1" applyFill="1" applyBorder="1" applyAlignment="1" applyProtection="1">
      <alignment horizontal="justify" vertical="center" wrapText="1"/>
      <protection hidden="1"/>
    </xf>
    <xf numFmtId="0" fontId="10" fillId="0" borderId="0" xfId="0" applyFont="1" applyFill="1" applyBorder="1" applyAlignment="1">
      <alignment horizontal="justify" vertical="center" wrapText="1"/>
    </xf>
    <xf numFmtId="0" fontId="24" fillId="0" borderId="0" xfId="43" applyFont="1" applyFill="1" applyBorder="1" applyAlignment="1" applyProtection="1">
      <alignment horizontal="justify" vertical="center" wrapText="1"/>
      <protection hidden="1"/>
    </xf>
    <xf numFmtId="0" fontId="11" fillId="0" borderId="0" xfId="43" applyFont="1" applyFill="1" applyBorder="1" applyAlignment="1" applyProtection="1">
      <alignment horizontal="right" vertical="center" wrapText="1"/>
      <protection hidden="1"/>
    </xf>
    <xf numFmtId="0" fontId="29" fillId="0" borderId="0" xfId="0" applyFont="1" applyFill="1" applyBorder="1" applyAlignment="1">
      <alignment horizontal="center" vertical="top" wrapText="1"/>
    </xf>
    <xf numFmtId="0" fontId="2" fillId="0" borderId="0" xfId="0" applyFont="1" applyFill="1" applyBorder="1" applyAlignment="1">
      <alignment vertical="top" wrapText="1"/>
    </xf>
    <xf numFmtId="0" fontId="27" fillId="0" borderId="0" xfId="0" applyFont="1" applyFill="1" applyBorder="1" applyAlignment="1">
      <alignment horizontal="center" vertical="top" wrapText="1"/>
    </xf>
    <xf numFmtId="0" fontId="27" fillId="0" borderId="0" xfId="0" applyFont="1" applyFill="1" applyBorder="1" applyAlignment="1">
      <alignment vertical="top" wrapText="1"/>
    </xf>
    <xf numFmtId="0" fontId="6" fillId="0" borderId="0" xfId="0" applyFont="1" applyBorder="1" applyAlignment="1">
      <alignment horizontal="justify" vertical="top" wrapText="1"/>
    </xf>
    <xf numFmtId="0" fontId="6" fillId="0" borderId="0" xfId="0" applyFont="1" applyBorder="1" applyAlignment="1">
      <alignment horizontal="justify" vertical="center" wrapText="1"/>
    </xf>
    <xf numFmtId="0" fontId="6" fillId="0" borderId="0" xfId="0" applyFont="1" applyBorder="1" applyAlignment="1">
      <alignment horizontal="left" vertical="center" wrapText="1"/>
    </xf>
    <xf numFmtId="0" fontId="10" fillId="0" borderId="0" xfId="0" applyFont="1" applyFill="1" applyAlignment="1">
      <alignment horizontal="justify" vertical="center"/>
    </xf>
    <xf numFmtId="0" fontId="0" fillId="0" borderId="0" xfId="0" applyFill="1" applyBorder="1" applyAlignment="1">
      <alignment horizontal="left" vertical="top" wrapText="1"/>
    </xf>
    <xf numFmtId="0" fontId="6" fillId="0" borderId="0" xfId="0" applyFont="1" applyFill="1" applyAlignment="1">
      <alignment horizontal="justify"/>
    </xf>
    <xf numFmtId="0" fontId="0" fillId="0" borderId="0" xfId="0" applyFont="1" applyFill="1" applyBorder="1" applyAlignment="1">
      <alignment horizontal="center" vertical="top" wrapText="1"/>
    </xf>
    <xf numFmtId="0" fontId="0" fillId="0" borderId="0" xfId="0" applyFill="1" applyBorder="1" applyAlignment="1">
      <alignment vertical="top" wrapText="1"/>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6" fillId="0" borderId="0" xfId="0" applyFont="1" applyFill="1" applyAlignment="1">
      <alignment horizontal="justify" vertical="center" wrapText="1"/>
    </xf>
    <xf numFmtId="0" fontId="6" fillId="0" borderId="0" xfId="0" applyFont="1" applyFill="1" applyAlignment="1">
      <alignment horizontal="left" vertical="center"/>
    </xf>
    <xf numFmtId="0" fontId="6" fillId="0" borderId="0" xfId="0" applyFont="1" applyFill="1" applyAlignment="1">
      <alignment horizontal="justify" vertical="center"/>
    </xf>
    <xf numFmtId="0" fontId="6" fillId="0" borderId="0" xfId="0" applyFont="1" applyFill="1"/>
    <xf numFmtId="0" fontId="6" fillId="0" borderId="0" xfId="0" applyFont="1" applyFill="1" applyAlignment="1">
      <alignment vertical="top"/>
    </xf>
    <xf numFmtId="0" fontId="17" fillId="0" borderId="0" xfId="0" applyFont="1" applyFill="1" applyAlignment="1">
      <alignment vertical="top"/>
    </xf>
    <xf numFmtId="0" fontId="8" fillId="0" borderId="0" xfId="0" applyFont="1" applyBorder="1" applyAlignment="1">
      <alignment vertical="center" wrapText="1"/>
    </xf>
    <xf numFmtId="0" fontId="31" fillId="0" borderId="0" xfId="0" applyFont="1" applyFill="1" applyAlignment="1"/>
    <xf numFmtId="0" fontId="6" fillId="0" borderId="0" xfId="0" applyFont="1" applyFill="1" applyAlignment="1">
      <alignment horizontal="left"/>
    </xf>
    <xf numFmtId="0" fontId="17" fillId="0" borderId="0" xfId="0" applyFont="1" applyFill="1" applyAlignment="1">
      <alignment vertical="center"/>
    </xf>
    <xf numFmtId="0" fontId="6" fillId="0" borderId="0" xfId="0" applyFont="1" applyFill="1" applyAlignment="1">
      <alignment vertical="top" wrapText="1"/>
    </xf>
    <xf numFmtId="0" fontId="31" fillId="0" borderId="0" xfId="0" applyFont="1" applyFill="1" applyAlignment="1">
      <alignment wrapText="1"/>
    </xf>
    <xf numFmtId="0" fontId="17" fillId="0" borderId="0" xfId="0" applyFont="1" applyFill="1" applyAlignment="1">
      <alignment wrapText="1"/>
    </xf>
    <xf numFmtId="0" fontId="31" fillId="0" borderId="0" xfId="0" applyFont="1" applyFill="1" applyAlignment="1">
      <alignment horizontal="left" wrapText="1"/>
    </xf>
    <xf numFmtId="0" fontId="31" fillId="0" borderId="0" xfId="0" applyFont="1" applyFill="1" applyAlignment="1">
      <alignment vertical="top" wrapText="1"/>
    </xf>
    <xf numFmtId="0" fontId="31" fillId="0" borderId="0" xfId="0" applyFont="1" applyFill="1" applyAlignment="1">
      <alignment horizontal="justify" wrapText="1"/>
    </xf>
    <xf numFmtId="0" fontId="31" fillId="0" borderId="0" xfId="0" applyFont="1" applyFill="1" applyAlignment="1">
      <alignment horizontal="justify" vertical="top" wrapText="1"/>
    </xf>
    <xf numFmtId="0" fontId="0" fillId="0" borderId="0" xfId="0" quotePrefix="1" applyFont="1" applyFill="1" applyBorder="1" applyAlignment="1">
      <alignment horizontal="center" vertical="top" wrapText="1"/>
    </xf>
    <xf numFmtId="0" fontId="0" fillId="0" borderId="0" xfId="0" quotePrefix="1" applyAlignment="1">
      <alignment horizontal="center" vertical="center"/>
    </xf>
    <xf numFmtId="0" fontId="0" fillId="0" borderId="0" xfId="0" quotePrefix="1" applyAlignment="1">
      <alignment horizontal="center"/>
    </xf>
    <xf numFmtId="0" fontId="0" fillId="0" borderId="0" xfId="0" quotePrefix="1" applyAlignment="1">
      <alignment horizontal="right"/>
    </xf>
    <xf numFmtId="0" fontId="11" fillId="0" borderId="0" xfId="0" quotePrefix="1" applyFont="1" applyFill="1" applyBorder="1" applyAlignment="1">
      <alignment vertical="top"/>
    </xf>
    <xf numFmtId="0" fontId="11" fillId="0" borderId="0" xfId="0" quotePrefix="1" applyFont="1" applyFill="1"/>
    <xf numFmtId="0" fontId="10" fillId="0" borderId="0" xfId="0" quotePrefix="1" applyFont="1" applyFill="1" applyAlignment="1">
      <alignment horizontal="center" vertical="center"/>
    </xf>
    <xf numFmtId="2" fontId="10" fillId="0" borderId="0" xfId="0" quotePrefix="1" applyNumberFormat="1" applyFont="1" applyFill="1" applyAlignment="1">
      <alignment horizontal="center" vertical="center"/>
    </xf>
    <xf numFmtId="0" fontId="0" fillId="0" borderId="0" xfId="0" applyAlignment="1">
      <alignment horizontal="right"/>
    </xf>
    <xf numFmtId="0" fontId="51" fillId="0" borderId="0" xfId="0" applyFont="1"/>
    <xf numFmtId="0" fontId="51" fillId="0" borderId="0" xfId="0" applyFont="1" applyAlignment="1">
      <alignment horizontal="center" vertical="center" wrapText="1"/>
    </xf>
    <xf numFmtId="2" fontId="52" fillId="0" borderId="0" xfId="0" applyNumberFormat="1" applyFont="1" applyAlignment="1">
      <alignment horizontal="center"/>
    </xf>
    <xf numFmtId="166" fontId="51" fillId="0" borderId="0" xfId="0" applyNumberFormat="1" applyFont="1" applyAlignment="1">
      <alignment horizontal="center"/>
    </xf>
    <xf numFmtId="0" fontId="55" fillId="0" borderId="0" xfId="0" applyFont="1" applyFill="1" applyAlignment="1" applyProtection="1">
      <protection hidden="1"/>
    </xf>
    <xf numFmtId="0" fontId="56" fillId="0" borderId="0" xfId="0" applyFont="1" applyFill="1" applyAlignment="1" applyProtection="1">
      <protection hidden="1"/>
    </xf>
    <xf numFmtId="0" fontId="54" fillId="0" borderId="0" xfId="1" applyNumberFormat="1" applyFont="1" applyFill="1" applyBorder="1" applyAlignment="1">
      <alignment vertical="center" wrapText="1"/>
    </xf>
    <xf numFmtId="0" fontId="18" fillId="0" borderId="0" xfId="1" applyNumberFormat="1" applyFont="1" applyFill="1" applyBorder="1" applyAlignment="1">
      <alignment vertical="center" wrapText="1"/>
    </xf>
    <xf numFmtId="0" fontId="54" fillId="0" borderId="0" xfId="0" applyNumberFormat="1" applyFont="1" applyFill="1" applyBorder="1" applyAlignment="1">
      <alignment vertical="center" wrapText="1"/>
    </xf>
    <xf numFmtId="0" fontId="18" fillId="0" borderId="0" xfId="0" applyNumberFormat="1" applyFont="1" applyFill="1" applyBorder="1" applyAlignment="1">
      <alignment vertical="center" wrapText="1"/>
    </xf>
    <xf numFmtId="0" fontId="18" fillId="0" borderId="0" xfId="43" applyFont="1" applyFill="1" applyBorder="1" applyAlignment="1" applyProtection="1">
      <alignment vertical="center" wrapText="1"/>
      <protection hidden="1"/>
    </xf>
    <xf numFmtId="0" fontId="18" fillId="0" borderId="0" xfId="0" applyFont="1" applyFill="1" applyBorder="1" applyAlignment="1" applyProtection="1">
      <alignment horizontal="left" wrapText="1"/>
      <protection hidden="1"/>
    </xf>
    <xf numFmtId="0" fontId="55" fillId="0" borderId="0" xfId="0" applyFont="1" applyFill="1" applyAlignment="1" applyProtection="1">
      <alignment wrapText="1"/>
      <protection hidden="1"/>
    </xf>
    <xf numFmtId="0" fontId="0" fillId="0" borderId="0" xfId="0" applyFont="1" applyFill="1"/>
    <xf numFmtId="0" fontId="55" fillId="0" borderId="0" xfId="0" applyFont="1" applyFill="1" applyAlignment="1" applyProtection="1">
      <alignment horizontal="right" wrapText="1"/>
    </xf>
    <xf numFmtId="0" fontId="55" fillId="0" borderId="0" xfId="0" applyFont="1" applyFill="1" applyAlignment="1" applyProtection="1">
      <alignment horizontal="center"/>
      <protection hidden="1"/>
    </xf>
    <xf numFmtId="0" fontId="55" fillId="0" borderId="0" xfId="0" applyFont="1" applyFill="1" applyAlignment="1" applyProtection="1">
      <alignment horizontal="left"/>
      <protection hidden="1"/>
    </xf>
    <xf numFmtId="0" fontId="18" fillId="0" borderId="0" xfId="0" applyFont="1" applyFill="1" applyAlignment="1" applyProtection="1">
      <alignment horizontal="center" wrapText="1"/>
    </xf>
    <xf numFmtId="0" fontId="18" fillId="0" borderId="19" xfId="0" applyFont="1" applyFill="1" applyBorder="1" applyAlignment="1" applyProtection="1">
      <alignment horizontal="center" wrapText="1"/>
      <protection hidden="1"/>
    </xf>
    <xf numFmtId="0" fontId="18" fillId="0" borderId="29" xfId="0" applyFont="1" applyFill="1" applyBorder="1" applyAlignment="1" applyProtection="1">
      <alignment horizontal="center"/>
      <protection hidden="1"/>
    </xf>
    <xf numFmtId="0" fontId="18" fillId="0" borderId="30" xfId="0" applyFont="1" applyFill="1" applyBorder="1" applyAlignment="1" applyProtection="1">
      <alignment wrapText="1"/>
      <protection hidden="1"/>
    </xf>
    <xf numFmtId="2" fontId="18" fillId="0" borderId="31" xfId="0" applyNumberFormat="1" applyFont="1" applyFill="1" applyBorder="1" applyAlignment="1" applyProtection="1">
      <alignment horizontal="right"/>
      <protection hidden="1"/>
    </xf>
    <xf numFmtId="2" fontId="18" fillId="0" borderId="21" xfId="0" applyNumberFormat="1" applyFont="1" applyFill="1" applyBorder="1" applyAlignment="1" applyProtection="1">
      <alignment horizontal="right"/>
      <protection hidden="1"/>
    </xf>
    <xf numFmtId="0" fontId="18" fillId="0" borderId="21" xfId="0" applyFont="1" applyFill="1" applyBorder="1" applyAlignment="1" applyProtection="1">
      <alignment horizontal="left"/>
      <protection hidden="1"/>
    </xf>
    <xf numFmtId="0" fontId="18" fillId="0" borderId="21" xfId="0" applyFont="1" applyFill="1" applyBorder="1" applyAlignment="1" applyProtection="1">
      <alignment horizontal="center"/>
      <protection hidden="1"/>
    </xf>
    <xf numFmtId="0" fontId="18" fillId="0" borderId="22" xfId="0" applyFont="1" applyFill="1" applyBorder="1" applyAlignment="1" applyProtection="1">
      <alignment horizontal="center"/>
      <protection hidden="1"/>
    </xf>
    <xf numFmtId="0" fontId="18" fillId="0" borderId="16" xfId="0" applyFont="1" applyFill="1" applyBorder="1" applyAlignment="1" applyProtection="1">
      <alignment horizontal="right" wrapText="1"/>
      <protection hidden="1"/>
    </xf>
    <xf numFmtId="0" fontId="18" fillId="0" borderId="23" xfId="0" applyFont="1" applyFill="1" applyBorder="1" applyProtection="1">
      <protection hidden="1"/>
    </xf>
    <xf numFmtId="0" fontId="18" fillId="0" borderId="17" xfId="0" applyFont="1" applyFill="1" applyBorder="1" applyAlignment="1" applyProtection="1">
      <alignment horizontal="right"/>
      <protection hidden="1"/>
    </xf>
    <xf numFmtId="0" fontId="18" fillId="0" borderId="32" xfId="0" applyFont="1" applyFill="1" applyBorder="1" applyAlignment="1" applyProtection="1">
      <alignment wrapText="1"/>
      <protection hidden="1"/>
    </xf>
    <xf numFmtId="0" fontId="18" fillId="0" borderId="25" xfId="0" applyFont="1" applyFill="1" applyBorder="1" applyAlignment="1" applyProtection="1">
      <alignment horizontal="center"/>
      <protection hidden="1"/>
    </xf>
    <xf numFmtId="0" fontId="18" fillId="0" borderId="25" xfId="0" applyFont="1" applyFill="1" applyBorder="1" applyAlignment="1" applyProtection="1">
      <alignment horizontal="left" wrapText="1"/>
      <protection hidden="1"/>
    </xf>
    <xf numFmtId="2" fontId="18" fillId="0" borderId="25" xfId="0" applyNumberFormat="1" applyFont="1" applyFill="1" applyBorder="1" applyAlignment="1" applyProtection="1">
      <alignment horizontal="right"/>
      <protection hidden="1"/>
    </xf>
    <xf numFmtId="2" fontId="18" fillId="0" borderId="25" xfId="0" applyNumberFormat="1" applyFont="1" applyFill="1" applyBorder="1" applyProtection="1">
      <protection hidden="1"/>
    </xf>
    <xf numFmtId="0" fontId="18" fillId="0" borderId="25" xfId="0" applyFont="1" applyFill="1" applyBorder="1" applyAlignment="1" applyProtection="1">
      <alignment horizontal="left"/>
      <protection hidden="1"/>
    </xf>
    <xf numFmtId="0" fontId="18" fillId="0" borderId="25" xfId="0" applyFont="1" applyFill="1" applyBorder="1" applyAlignment="1" applyProtection="1">
      <alignment horizontal="right"/>
      <protection hidden="1"/>
    </xf>
    <xf numFmtId="2" fontId="19" fillId="0" borderId="23" xfId="0" applyNumberFormat="1" applyFont="1" applyFill="1" applyBorder="1" applyAlignment="1" applyProtection="1">
      <alignment horizontal="right"/>
      <protection hidden="1"/>
    </xf>
    <xf numFmtId="2" fontId="18" fillId="0" borderId="0" xfId="0" applyNumberFormat="1" applyFont="1" applyFill="1" applyBorder="1" applyAlignment="1" applyProtection="1">
      <alignment horizontal="left"/>
      <protection hidden="1"/>
    </xf>
    <xf numFmtId="2" fontId="19" fillId="0" borderId="35" xfId="0" applyNumberFormat="1" applyFont="1" applyFill="1" applyBorder="1" applyAlignment="1" applyProtection="1">
      <alignment horizontal="left"/>
      <protection hidden="1"/>
    </xf>
    <xf numFmtId="2" fontId="18" fillId="0" borderId="35" xfId="0" applyNumberFormat="1" applyFont="1" applyFill="1" applyBorder="1" applyAlignment="1" applyProtection="1">
      <alignment horizontal="left"/>
      <protection hidden="1"/>
    </xf>
    <xf numFmtId="2" fontId="19" fillId="0" borderId="0" xfId="0" applyNumberFormat="1" applyFont="1" applyFill="1" applyAlignment="1" applyProtection="1">
      <alignment horizontal="left" wrapText="1"/>
      <protection hidden="1"/>
    </xf>
    <xf numFmtId="0" fontId="18" fillId="0" borderId="0" xfId="0" applyFont="1" applyFill="1" applyBorder="1" applyAlignment="1" applyProtection="1">
      <alignment horizontal="center"/>
      <protection hidden="1"/>
    </xf>
    <xf numFmtId="0" fontId="17" fillId="0" borderId="0" xfId="0" applyFont="1" applyFill="1" applyBorder="1"/>
    <xf numFmtId="0" fontId="18" fillId="0" borderId="0" xfId="0" applyFont="1" applyFill="1" applyBorder="1" applyAlignment="1" applyProtection="1">
      <alignment horizontal="right"/>
      <protection hidden="1"/>
    </xf>
    <xf numFmtId="2" fontId="18" fillId="0" borderId="0" xfId="0" applyNumberFormat="1" applyFont="1" applyFill="1" applyBorder="1" applyAlignment="1" applyProtection="1">
      <alignment horizontal="right"/>
      <protection hidden="1"/>
    </xf>
    <xf numFmtId="0" fontId="18" fillId="0" borderId="0" xfId="0" applyFont="1" applyFill="1" applyBorder="1" applyAlignment="1" applyProtection="1">
      <alignment horizontal="left"/>
      <protection hidden="1"/>
    </xf>
    <xf numFmtId="2" fontId="19" fillId="0" borderId="0" xfId="0" applyNumberFormat="1" applyFont="1" applyFill="1" applyBorder="1" applyProtection="1">
      <protection hidden="1"/>
    </xf>
    <xf numFmtId="0" fontId="19" fillId="0" borderId="0" xfId="0" applyFont="1" applyFill="1" applyBorder="1" applyAlignment="1" applyProtection="1">
      <protection hidden="1"/>
    </xf>
    <xf numFmtId="10" fontId="18" fillId="0" borderId="0" xfId="0" applyNumberFormat="1" applyFont="1" applyFill="1" applyBorder="1" applyAlignment="1" applyProtection="1">
      <alignment horizontal="right"/>
      <protection hidden="1"/>
    </xf>
    <xf numFmtId="0" fontId="18" fillId="0" borderId="0" xfId="0" applyFont="1" applyFill="1" applyBorder="1" applyAlignment="1" applyProtection="1">
      <alignment wrapText="1"/>
    </xf>
    <xf numFmtId="2" fontId="18" fillId="0" borderId="31" xfId="0" applyNumberFormat="1" applyFont="1" applyFill="1" applyBorder="1" applyAlignment="1" applyProtection="1">
      <alignment horizontal="right" vertical="top" wrapText="1"/>
      <protection hidden="1"/>
    </xf>
    <xf numFmtId="0" fontId="18" fillId="0" borderId="29" xfId="0" applyFont="1" applyFill="1" applyBorder="1" applyAlignment="1" applyProtection="1">
      <alignment horizontal="left"/>
      <protection hidden="1"/>
    </xf>
    <xf numFmtId="0" fontId="18" fillId="0" borderId="36" xfId="0" applyFont="1" applyFill="1" applyBorder="1" applyAlignment="1" applyProtection="1">
      <alignment horizontal="center"/>
      <protection hidden="1"/>
    </xf>
    <xf numFmtId="0" fontId="18" fillId="0" borderId="37" xfId="0" applyFont="1" applyFill="1" applyBorder="1" applyAlignment="1" applyProtection="1">
      <alignment horizontal="right" wrapText="1"/>
      <protection hidden="1"/>
    </xf>
    <xf numFmtId="0" fontId="18" fillId="0" borderId="37" xfId="0" applyFont="1" applyFill="1" applyBorder="1" applyProtection="1">
      <protection hidden="1"/>
    </xf>
    <xf numFmtId="0" fontId="18" fillId="0" borderId="38" xfId="0" applyFont="1" applyFill="1" applyBorder="1" applyProtection="1">
      <protection hidden="1"/>
    </xf>
    <xf numFmtId="2" fontId="18" fillId="0" borderId="31" xfId="0" applyNumberFormat="1" applyFont="1" applyFill="1" applyBorder="1" applyProtection="1">
      <protection hidden="1"/>
    </xf>
    <xf numFmtId="2" fontId="19" fillId="0" borderId="16" xfId="0" applyNumberFormat="1" applyFont="1" applyFill="1" applyBorder="1" applyAlignment="1" applyProtection="1">
      <alignment horizontal="left"/>
      <protection hidden="1"/>
    </xf>
    <xf numFmtId="0" fontId="10" fillId="0" borderId="0" xfId="0" applyFont="1" applyFill="1" applyAlignment="1">
      <alignment horizontal="center" vertical="center" textRotation="90"/>
    </xf>
    <xf numFmtId="0" fontId="26" fillId="0" borderId="0" xfId="0" applyFont="1"/>
    <xf numFmtId="0" fontId="26"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left" vertical="center"/>
    </xf>
    <xf numFmtId="0" fontId="0" fillId="0" borderId="0" xfId="0" applyAlignment="1">
      <alignment horizontal="right"/>
    </xf>
    <xf numFmtId="0" fontId="18" fillId="0" borderId="16" xfId="0" applyFont="1" applyFill="1" applyBorder="1" applyAlignment="1" applyProtection="1">
      <alignment horizontal="left" wrapText="1"/>
      <protection hidden="1"/>
    </xf>
    <xf numFmtId="0" fontId="18" fillId="0" borderId="0" xfId="0" applyFont="1" applyFill="1" applyBorder="1" applyAlignment="1" applyProtection="1">
      <alignment horizontal="left" wrapText="1"/>
      <protection hidden="1"/>
    </xf>
    <xf numFmtId="2" fontId="18" fillId="0" borderId="39" xfId="0" applyNumberFormat="1" applyFont="1" applyFill="1" applyBorder="1" applyProtection="1">
      <protection hidden="1"/>
    </xf>
    <xf numFmtId="0" fontId="19" fillId="0" borderId="18" xfId="0" applyFont="1" applyFill="1" applyBorder="1" applyAlignment="1" applyProtection="1">
      <alignment horizontal="center"/>
      <protection hidden="1"/>
    </xf>
    <xf numFmtId="0" fontId="18" fillId="0" borderId="25" xfId="0" applyFont="1" applyFill="1" applyBorder="1" applyAlignment="1" applyProtection="1">
      <alignment wrapText="1"/>
      <protection hidden="1"/>
    </xf>
    <xf numFmtId="0" fontId="18" fillId="0" borderId="39" xfId="0" applyFont="1" applyFill="1" applyBorder="1" applyAlignment="1" applyProtection="1">
      <alignment horizontal="left"/>
      <protection hidden="1"/>
    </xf>
    <xf numFmtId="0" fontId="18" fillId="0" borderId="39" xfId="0" applyFont="1" applyFill="1" applyBorder="1" applyAlignment="1" applyProtection="1">
      <alignment horizontal="left" wrapText="1"/>
      <protection hidden="1"/>
    </xf>
    <xf numFmtId="0" fontId="18" fillId="0" borderId="39" xfId="0" applyFont="1" applyFill="1" applyBorder="1" applyAlignment="1" applyProtection="1">
      <alignment horizontal="center"/>
      <protection hidden="1"/>
    </xf>
    <xf numFmtId="2" fontId="18" fillId="0" borderId="39" xfId="0" applyNumberFormat="1" applyFont="1" applyFill="1" applyBorder="1" applyAlignment="1" applyProtection="1">
      <alignment horizontal="right"/>
      <protection hidden="1"/>
    </xf>
    <xf numFmtId="0" fontId="19" fillId="0" borderId="17" xfId="0" applyFont="1" applyFill="1" applyBorder="1" applyAlignment="1" applyProtection="1">
      <alignment horizontal="left"/>
      <protection hidden="1"/>
    </xf>
    <xf numFmtId="2" fontId="18" fillId="0" borderId="23" xfId="0" applyNumberFormat="1" applyFont="1" applyFill="1" applyBorder="1" applyAlignment="1" applyProtection="1">
      <alignment horizontal="right"/>
      <protection hidden="1"/>
    </xf>
    <xf numFmtId="2" fontId="18" fillId="0" borderId="17" xfId="0" applyNumberFormat="1" applyFont="1" applyFill="1" applyBorder="1" applyAlignment="1" applyProtection="1">
      <alignment horizontal="right"/>
      <protection hidden="1"/>
    </xf>
    <xf numFmtId="0" fontId="18" fillId="0" borderId="18" xfId="0" applyFont="1" applyFill="1" applyBorder="1" applyAlignment="1" applyProtection="1">
      <alignment horizontal="left"/>
      <protection hidden="1"/>
    </xf>
    <xf numFmtId="0" fontId="18" fillId="0" borderId="18" xfId="0" applyFont="1" applyFill="1" applyBorder="1" applyAlignment="1" applyProtection="1">
      <alignment horizontal="left" wrapText="1"/>
      <protection hidden="1"/>
    </xf>
    <xf numFmtId="2" fontId="18" fillId="0" borderId="18" xfId="0" applyNumberFormat="1" applyFont="1" applyFill="1" applyBorder="1" applyAlignment="1" applyProtection="1">
      <alignment horizontal="right"/>
      <protection hidden="1"/>
    </xf>
    <xf numFmtId="0" fontId="18" fillId="0" borderId="21" xfId="0" applyFont="1" applyFill="1" applyBorder="1" applyAlignment="1" applyProtection="1">
      <alignment horizontal="left" wrapText="1"/>
      <protection hidden="1"/>
    </xf>
    <xf numFmtId="2" fontId="18" fillId="0" borderId="25" xfId="0" applyNumberFormat="1" applyFont="1" applyFill="1" applyBorder="1" applyAlignment="1" applyProtection="1">
      <protection hidden="1"/>
    </xf>
    <xf numFmtId="2" fontId="18" fillId="0" borderId="29" xfId="0" applyNumberFormat="1" applyFont="1" applyFill="1" applyBorder="1" applyAlignment="1" applyProtection="1">
      <alignment horizontal="right"/>
      <protection hidden="1"/>
    </xf>
    <xf numFmtId="2" fontId="19" fillId="0" borderId="29" xfId="0" applyNumberFormat="1" applyFont="1" applyFill="1" applyBorder="1" applyProtection="1">
      <protection hidden="1"/>
    </xf>
    <xf numFmtId="2" fontId="18" fillId="0" borderId="23" xfId="0" applyNumberFormat="1" applyFont="1" applyFill="1" applyBorder="1" applyProtection="1">
      <protection hidden="1"/>
    </xf>
    <xf numFmtId="0" fontId="18" fillId="0" borderId="17" xfId="0" applyFont="1" applyFill="1" applyBorder="1" applyAlignment="1" applyProtection="1">
      <alignment horizontal="left"/>
      <protection hidden="1"/>
    </xf>
    <xf numFmtId="0" fontId="18" fillId="0" borderId="17" xfId="0" applyFont="1" applyFill="1" applyBorder="1" applyAlignment="1" applyProtection="1">
      <alignment horizontal="left" wrapText="1"/>
      <protection hidden="1"/>
    </xf>
    <xf numFmtId="0" fontId="18" fillId="0" borderId="18" xfId="0" applyFont="1" applyFill="1" applyBorder="1" applyAlignment="1" applyProtection="1">
      <alignment horizontal="right"/>
      <protection hidden="1"/>
    </xf>
    <xf numFmtId="0" fontId="18" fillId="0" borderId="25" xfId="0" applyFont="1" applyFill="1" applyBorder="1" applyProtection="1">
      <protection hidden="1"/>
    </xf>
    <xf numFmtId="2" fontId="19" fillId="0" borderId="25" xfId="0" applyNumberFormat="1" applyFont="1" applyFill="1" applyBorder="1" applyProtection="1">
      <protection hidden="1"/>
    </xf>
    <xf numFmtId="9" fontId="18" fillId="0" borderId="0" xfId="0" applyNumberFormat="1" applyFont="1" applyFill="1" applyProtection="1">
      <protection hidden="1"/>
    </xf>
    <xf numFmtId="168" fontId="18" fillId="0" borderId="0" xfId="0" applyNumberFormat="1" applyFont="1" applyFill="1" applyProtection="1">
      <protection hidden="1"/>
    </xf>
    <xf numFmtId="0" fontId="18" fillId="0" borderId="0" xfId="0" applyFont="1" applyFill="1" applyAlignment="1" applyProtection="1">
      <alignment horizontal="left" wrapText="1"/>
      <protection hidden="1"/>
    </xf>
    <xf numFmtId="2" fontId="18" fillId="0" borderId="0" xfId="0" applyNumberFormat="1" applyFont="1" applyFill="1" applyAlignment="1" applyProtection="1">
      <alignment horizontal="left" wrapText="1"/>
      <protection hidden="1"/>
    </xf>
    <xf numFmtId="0" fontId="18" fillId="0" borderId="0" xfId="0" applyFont="1" applyAlignment="1" applyProtection="1">
      <alignment horizontal="center"/>
    </xf>
    <xf numFmtId="0" fontId="19" fillId="0" borderId="0" xfId="0" applyFont="1" applyAlignment="1" applyProtection="1">
      <alignment horizontal="right"/>
      <protection hidden="1"/>
    </xf>
    <xf numFmtId="0" fontId="18" fillId="0" borderId="0" xfId="0" applyFont="1" applyAlignment="1" applyProtection="1">
      <alignment horizontal="right"/>
      <protection hidden="1"/>
    </xf>
    <xf numFmtId="2" fontId="19" fillId="0" borderId="0" xfId="0" applyNumberFormat="1" applyFont="1" applyAlignment="1" applyProtection="1">
      <alignment horizontal="right"/>
      <protection hidden="1"/>
    </xf>
    <xf numFmtId="0" fontId="19" fillId="0" borderId="0" xfId="0" applyFont="1" applyAlignment="1" applyProtection="1">
      <alignment horizontal="left"/>
      <protection hidden="1"/>
    </xf>
    <xf numFmtId="0" fontId="18" fillId="0" borderId="18" xfId="0" applyFont="1" applyBorder="1" applyAlignment="1" applyProtection="1">
      <alignment horizontal="center"/>
      <protection hidden="1"/>
    </xf>
    <xf numFmtId="0" fontId="18" fillId="0" borderId="19" xfId="0" applyFont="1" applyBorder="1" applyAlignment="1" applyProtection="1">
      <alignment horizontal="center"/>
      <protection hidden="1"/>
    </xf>
    <xf numFmtId="0" fontId="18" fillId="0" borderId="29" xfId="0" applyFont="1" applyBorder="1" applyAlignment="1" applyProtection="1">
      <alignment horizontal="center"/>
      <protection hidden="1"/>
    </xf>
    <xf numFmtId="0" fontId="18" fillId="0" borderId="30" xfId="0" applyFont="1" applyBorder="1" applyProtection="1">
      <protection hidden="1"/>
    </xf>
    <xf numFmtId="0" fontId="18" fillId="0" borderId="32" xfId="0" applyFont="1" applyBorder="1" applyAlignment="1" applyProtection="1">
      <alignment horizontal="left"/>
      <protection hidden="1"/>
    </xf>
    <xf numFmtId="2" fontId="18" fillId="0" borderId="21" xfId="0" applyNumberFormat="1" applyFont="1" applyBorder="1" applyProtection="1">
      <protection hidden="1"/>
    </xf>
    <xf numFmtId="2" fontId="18" fillId="0" borderId="21" xfId="0" applyNumberFormat="1" applyFont="1" applyBorder="1" applyAlignment="1" applyProtection="1">
      <alignment horizontal="right"/>
      <protection hidden="1"/>
    </xf>
    <xf numFmtId="0" fontId="18" fillId="0" borderId="21" xfId="0" applyFont="1" applyBorder="1" applyAlignment="1" applyProtection="1">
      <alignment horizontal="left" indent="6"/>
      <protection hidden="1"/>
    </xf>
    <xf numFmtId="0" fontId="18" fillId="0" borderId="21" xfId="0" applyFont="1" applyBorder="1" applyAlignment="1" applyProtection="1">
      <alignment horizontal="center"/>
      <protection hidden="1"/>
    </xf>
    <xf numFmtId="0" fontId="18" fillId="0" borderId="0" xfId="0" applyFont="1" applyProtection="1"/>
    <xf numFmtId="9" fontId="18" fillId="0" borderId="21" xfId="0" applyNumberFormat="1" applyFont="1" applyBorder="1" applyAlignment="1" applyProtection="1">
      <alignment horizontal="center"/>
      <protection hidden="1"/>
    </xf>
    <xf numFmtId="0" fontId="18" fillId="0" borderId="30" xfId="0" applyFont="1" applyBorder="1" applyAlignment="1" applyProtection="1">
      <alignment horizontal="left"/>
      <protection hidden="1"/>
    </xf>
    <xf numFmtId="2" fontId="18" fillId="0" borderId="29" xfId="0" applyNumberFormat="1" applyFont="1" applyBorder="1" applyProtection="1">
      <protection hidden="1"/>
    </xf>
    <xf numFmtId="2" fontId="18" fillId="0" borderId="29" xfId="0" applyNumberFormat="1" applyFont="1" applyBorder="1" applyAlignment="1" applyProtection="1">
      <alignment horizontal="right"/>
      <protection hidden="1"/>
    </xf>
    <xf numFmtId="0" fontId="18" fillId="0" borderId="22" xfId="0" applyFont="1" applyBorder="1" applyAlignment="1" applyProtection="1">
      <alignment horizontal="center"/>
      <protection hidden="1"/>
    </xf>
    <xf numFmtId="0" fontId="18" fillId="0" borderId="16" xfId="0" applyFont="1" applyBorder="1" applyAlignment="1" applyProtection="1">
      <alignment horizontal="right"/>
      <protection hidden="1"/>
    </xf>
    <xf numFmtId="0" fontId="18" fillId="0" borderId="16" xfId="0" applyFont="1" applyBorder="1" applyProtection="1">
      <protection hidden="1"/>
    </xf>
    <xf numFmtId="0" fontId="18" fillId="0" borderId="23" xfId="0" applyFont="1" applyBorder="1" applyProtection="1">
      <protection hidden="1"/>
    </xf>
    <xf numFmtId="0" fontId="18" fillId="0" borderId="17" xfId="0" applyFont="1" applyBorder="1" applyAlignment="1" applyProtection="1">
      <alignment horizontal="right"/>
      <protection hidden="1"/>
    </xf>
    <xf numFmtId="2" fontId="19" fillId="0" borderId="17" xfId="0" applyNumberFormat="1" applyFont="1" applyBorder="1" applyProtection="1">
      <protection hidden="1"/>
    </xf>
    <xf numFmtId="0" fontId="18" fillId="0" borderId="29" xfId="0" applyFont="1" applyBorder="1" applyAlignment="1" applyProtection="1">
      <alignment horizontal="right"/>
      <protection hidden="1"/>
    </xf>
    <xf numFmtId="0" fontId="18" fillId="0" borderId="30" xfId="0" applyFont="1" applyBorder="1" applyAlignment="1" applyProtection="1">
      <alignment horizontal="center"/>
      <protection hidden="1"/>
    </xf>
    <xf numFmtId="0" fontId="18" fillId="0" borderId="39" xfId="0" applyFont="1" applyBorder="1" applyAlignment="1" applyProtection="1">
      <alignment horizontal="right"/>
      <protection hidden="1"/>
    </xf>
    <xf numFmtId="0" fontId="18" fillId="0" borderId="39" xfId="0" applyFont="1" applyBorder="1" applyProtection="1">
      <protection hidden="1"/>
    </xf>
    <xf numFmtId="0" fontId="18" fillId="0" borderId="40" xfId="0" applyFont="1" applyBorder="1" applyProtection="1">
      <protection hidden="1"/>
    </xf>
    <xf numFmtId="0" fontId="18" fillId="0" borderId="0" xfId="0" applyFont="1" applyBorder="1" applyAlignment="1" applyProtection="1">
      <alignment horizontal="left"/>
      <protection hidden="1"/>
    </xf>
    <xf numFmtId="2" fontId="18" fillId="0" borderId="31" xfId="0" applyNumberFormat="1" applyFont="1" applyBorder="1" applyProtection="1">
      <protection hidden="1"/>
    </xf>
    <xf numFmtId="0" fontId="18" fillId="0" borderId="41" xfId="0" applyFont="1" applyBorder="1" applyAlignment="1" applyProtection="1">
      <alignment horizontal="center"/>
      <protection hidden="1"/>
    </xf>
    <xf numFmtId="9" fontId="18" fillId="0" borderId="41" xfId="0" applyNumberFormat="1" applyFont="1" applyBorder="1" applyAlignment="1" applyProtection="1">
      <alignment horizontal="center"/>
      <protection hidden="1"/>
    </xf>
    <xf numFmtId="2" fontId="18" fillId="0" borderId="0" xfId="0" applyNumberFormat="1" applyFont="1" applyBorder="1" applyAlignment="1" applyProtection="1">
      <alignment horizontal="left"/>
      <protection hidden="1"/>
    </xf>
    <xf numFmtId="167" fontId="18" fillId="0" borderId="0" xfId="0" applyNumberFormat="1" applyFont="1" applyBorder="1" applyProtection="1">
      <protection hidden="1"/>
    </xf>
    <xf numFmtId="2" fontId="19" fillId="0" borderId="16" xfId="0" applyNumberFormat="1" applyFont="1" applyBorder="1" applyAlignment="1" applyProtection="1">
      <alignment horizontal="left"/>
      <protection hidden="1"/>
    </xf>
    <xf numFmtId="0" fontId="18" fillId="0" borderId="0" xfId="0" applyFont="1" applyAlignment="1" applyProtection="1">
      <alignment vertical="top"/>
      <protection hidden="1"/>
    </xf>
    <xf numFmtId="2" fontId="18" fillId="0" borderId="0" xfId="0" applyNumberFormat="1" applyFont="1" applyBorder="1" applyProtection="1">
      <protection hidden="1"/>
    </xf>
    <xf numFmtId="2" fontId="18" fillId="0" borderId="16" xfId="0" applyNumberFormat="1" applyFont="1" applyBorder="1" applyProtection="1">
      <protection hidden="1"/>
    </xf>
    <xf numFmtId="2" fontId="19" fillId="0" borderId="0" xfId="0" applyNumberFormat="1" applyFont="1" applyProtection="1">
      <protection hidden="1"/>
    </xf>
    <xf numFmtId="165" fontId="17" fillId="0" borderId="0" xfId="0" applyNumberFormat="1" applyFont="1" applyFill="1" applyBorder="1"/>
    <xf numFmtId="165" fontId="18" fillId="0" borderId="0" xfId="0" quotePrefix="1" applyNumberFormat="1" applyFont="1" applyBorder="1" applyAlignment="1" applyProtection="1">
      <alignment horizontal="center"/>
      <protection hidden="1"/>
    </xf>
    <xf numFmtId="2" fontId="17" fillId="0" borderId="0" xfId="0" applyNumberFormat="1" applyFont="1" applyFill="1" applyBorder="1"/>
    <xf numFmtId="2" fontId="48" fillId="0" borderId="0" xfId="43" applyNumberFormat="1" applyFont="1" applyFill="1" applyBorder="1" applyAlignment="1" applyProtection="1">
      <alignment horizontal="right" vertical="center" wrapText="1"/>
      <protection hidden="1"/>
    </xf>
    <xf numFmtId="0" fontId="48" fillId="0" borderId="0" xfId="0" applyNumberFormat="1" applyFont="1" applyFill="1" applyBorder="1" applyAlignment="1">
      <alignment vertical="center" wrapText="1"/>
    </xf>
    <xf numFmtId="0" fontId="49" fillId="0" borderId="0" xfId="43" applyFont="1" applyFill="1" applyBorder="1" applyAlignment="1" applyProtection="1">
      <alignment horizontal="right" vertical="center" wrapText="1"/>
      <protection hidden="1"/>
    </xf>
    <xf numFmtId="0" fontId="24" fillId="0" borderId="0" xfId="0" applyNumberFormat="1" applyFont="1" applyFill="1" applyBorder="1" applyAlignment="1">
      <alignment horizontal="justify" vertical="center" wrapText="1"/>
    </xf>
    <xf numFmtId="0" fontId="28" fillId="0" borderId="0" xfId="0" applyFont="1" applyFill="1" applyBorder="1" applyAlignment="1">
      <alignment horizontal="justify" vertical="center" wrapText="1"/>
    </xf>
    <xf numFmtId="0" fontId="24" fillId="0" borderId="0" xfId="0" applyFont="1" applyFill="1" applyBorder="1" applyAlignment="1" applyProtection="1">
      <alignment horizontal="center" vertical="center" wrapText="1"/>
      <protection hidden="1"/>
    </xf>
    <xf numFmtId="0" fontId="18" fillId="0" borderId="0" xfId="1" applyNumberFormat="1" applyFont="1" applyFill="1" applyBorder="1" applyAlignment="1">
      <alignment horizontal="left" vertical="center" wrapText="1"/>
    </xf>
    <xf numFmtId="166" fontId="18" fillId="0" borderId="0" xfId="1" applyNumberFormat="1" applyFont="1" applyFill="1" applyBorder="1" applyAlignment="1">
      <alignment horizontal="center" vertical="center" wrapText="1"/>
    </xf>
    <xf numFmtId="0" fontId="17" fillId="0" borderId="0" xfId="0" applyFont="1" applyFill="1" applyBorder="1" applyAlignment="1">
      <alignment horizontal="center" vertical="center"/>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NumberFormat="1" applyFont="1" applyFill="1" applyBorder="1" applyAlignment="1">
      <alignment horizontal="justify" vertical="center" wrapText="1"/>
    </xf>
    <xf numFmtId="2" fontId="6"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wrapText="1"/>
    </xf>
    <xf numFmtId="0" fontId="28" fillId="0" borderId="0" xfId="0" applyFont="1" applyFill="1" applyAlignment="1">
      <alignment horizontal="justify" vertical="center" wrapText="1"/>
    </xf>
    <xf numFmtId="0" fontId="17" fillId="0" borderId="0" xfId="0" applyFont="1" applyFill="1" applyAlignment="1">
      <alignment vertical="center" wrapText="1"/>
    </xf>
    <xf numFmtId="165" fontId="6" fillId="0" borderId="0" xfId="0" applyNumberFormat="1" applyFont="1" applyFill="1" applyBorder="1" applyAlignment="1">
      <alignment horizontal="center" vertical="center"/>
    </xf>
    <xf numFmtId="166" fontId="0" fillId="0" borderId="0" xfId="0" applyNumberFormat="1" applyFill="1" applyBorder="1" applyAlignment="1">
      <alignment horizontal="center" vertical="center"/>
    </xf>
    <xf numFmtId="0" fontId="10" fillId="0" borderId="0" xfId="0" applyFont="1" applyFill="1" applyAlignment="1">
      <alignment horizontal="justify" vertical="center" wrapText="1"/>
    </xf>
    <xf numFmtId="2" fontId="0" fillId="0" borderId="0" xfId="0" applyNumberFormat="1" applyFill="1" applyBorder="1" applyAlignment="1">
      <alignment horizontal="center" vertical="center"/>
    </xf>
    <xf numFmtId="2" fontId="0" fillId="0" borderId="0" xfId="0" applyNumberFormat="1" applyFill="1" applyBorder="1" applyAlignment="1">
      <alignment horizontal="right" vertical="center"/>
    </xf>
    <xf numFmtId="0" fontId="0" fillId="0" borderId="0" xfId="0" applyFill="1" applyBorder="1" applyAlignment="1">
      <alignment vertical="center"/>
    </xf>
    <xf numFmtId="0" fontId="17" fillId="0" borderId="0" xfId="0" applyFont="1" applyFill="1" applyBorder="1" applyAlignment="1">
      <alignment horizontal="right" vertical="center"/>
    </xf>
    <xf numFmtId="0" fontId="6" fillId="0" borderId="9" xfId="0" applyFont="1" applyBorder="1" applyAlignment="1">
      <alignment horizontal="center" vertical="center"/>
    </xf>
    <xf numFmtId="0" fontId="17" fillId="0" borderId="0" xfId="0" applyFont="1" applyAlignment="1">
      <alignment horizontal="center" vertical="center" wrapText="1"/>
    </xf>
    <xf numFmtId="166" fontId="26" fillId="0" borderId="0" xfId="0" applyNumberFormat="1" applyFont="1" applyAlignment="1">
      <alignment horizontal="center" vertical="center"/>
    </xf>
    <xf numFmtId="0" fontId="26" fillId="0" borderId="0" xfId="0" quotePrefix="1" applyFont="1" applyAlignment="1">
      <alignment horizontal="center" vertical="center"/>
    </xf>
    <xf numFmtId="0" fontId="10" fillId="0" borderId="0" xfId="0" applyFont="1" applyAlignment="1">
      <alignment horizontal="center" vertical="center"/>
    </xf>
    <xf numFmtId="0" fontId="63" fillId="0" borderId="0" xfId="0" applyFont="1" applyAlignment="1">
      <alignment vertical="center"/>
    </xf>
    <xf numFmtId="0" fontId="63" fillId="0" borderId="0" xfId="0" applyFont="1" applyAlignment="1">
      <alignment vertical="center" wrapText="1"/>
    </xf>
    <xf numFmtId="0" fontId="31" fillId="0" borderId="0" xfId="0" applyFont="1" applyFill="1" applyAlignment="1">
      <alignment horizontal="left" vertical="center" wrapText="1"/>
    </xf>
    <xf numFmtId="0" fontId="51" fillId="0" borderId="0" xfId="0" applyFont="1" applyAlignment="1">
      <alignment horizontal="center" vertical="center" wrapText="1"/>
    </xf>
    <xf numFmtId="0" fontId="26" fillId="0" borderId="0" xfId="0" applyFont="1" applyAlignment="1">
      <alignment horizontal="center" vertical="center" wrapText="1"/>
    </xf>
    <xf numFmtId="0" fontId="51" fillId="0" borderId="0" xfId="0" applyFont="1" applyAlignment="1">
      <alignment horizontal="center" vertical="center" wrapText="1"/>
    </xf>
    <xf numFmtId="0" fontId="26"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0" fillId="0" borderId="25" xfId="0" applyFill="1" applyBorder="1" applyAlignment="1">
      <alignment horizontal="center"/>
    </xf>
    <xf numFmtId="0" fontId="6" fillId="0" borderId="0" xfId="0" applyFont="1" applyAlignment="1">
      <alignment horizontal="center"/>
    </xf>
    <xf numFmtId="0" fontId="0" fillId="0" borderId="0" xfId="0" applyAlignment="1">
      <alignment horizontal="center" vertical="center"/>
    </xf>
    <xf numFmtId="0" fontId="0" fillId="0" borderId="0" xfId="0" applyAlignment="1">
      <alignment horizontal="center"/>
    </xf>
    <xf numFmtId="166" fontId="51" fillId="0" borderId="0" xfId="0" applyNumberFormat="1" applyFont="1" applyAlignment="1">
      <alignment horizontal="center" vertical="center" wrapText="1"/>
    </xf>
    <xf numFmtId="0" fontId="52" fillId="0" borderId="0" xfId="0" applyFont="1" applyAlignment="1">
      <alignment vertical="center"/>
    </xf>
    <xf numFmtId="165" fontId="51" fillId="0" borderId="0" xfId="0" applyNumberFormat="1" applyFont="1" applyAlignment="1">
      <alignment horizontal="center" vertical="center" wrapText="1"/>
    </xf>
    <xf numFmtId="0" fontId="17" fillId="0" borderId="0" xfId="0" applyFont="1" applyAlignment="1">
      <alignment horizontal="center" vertical="center" wrapText="1"/>
    </xf>
    <xf numFmtId="0" fontId="26" fillId="0" borderId="0" xfId="0" quotePrefix="1" applyFont="1" applyAlignment="1">
      <alignment horizontal="center" vertical="center" wrapText="1"/>
    </xf>
    <xf numFmtId="2" fontId="51" fillId="0" borderId="0" xfId="0" applyNumberFormat="1" applyFont="1" applyAlignment="1">
      <alignment horizontal="center" vertical="center" wrapText="1"/>
    </xf>
    <xf numFmtId="2" fontId="52" fillId="0" borderId="0" xfId="0" applyNumberFormat="1" applyFont="1" applyAlignment="1">
      <alignment horizontal="center" vertical="center" wrapText="1"/>
    </xf>
    <xf numFmtId="0" fontId="8" fillId="0" borderId="0" xfId="0" applyFont="1" applyAlignment="1">
      <alignment horizontal="center" wrapText="1"/>
    </xf>
    <xf numFmtId="0" fontId="8" fillId="0" borderId="0" xfId="0" applyFont="1" applyAlignment="1"/>
    <xf numFmtId="0" fontId="0" fillId="0" borderId="25" xfId="0" applyFill="1" applyBorder="1" applyAlignment="1"/>
    <xf numFmtId="0" fontId="64" fillId="0" borderId="0" xfId="0" applyFont="1" applyFill="1" applyAlignment="1">
      <alignment vertical="center"/>
    </xf>
    <xf numFmtId="0" fontId="0" fillId="0" borderId="0" xfId="0" applyFill="1" applyAlignment="1"/>
    <xf numFmtId="0" fontId="66" fillId="0" borderId="0" xfId="0" applyFont="1" applyFill="1"/>
    <xf numFmtId="0" fontId="0" fillId="0" borderId="25" xfId="0" applyFill="1" applyBorder="1"/>
    <xf numFmtId="0" fontId="0" fillId="0" borderId="25" xfId="0" applyFill="1" applyBorder="1" applyAlignment="1">
      <alignment vertical="center"/>
    </xf>
    <xf numFmtId="0" fontId="67" fillId="0" borderId="25" xfId="0" applyFont="1" applyFill="1" applyBorder="1"/>
    <xf numFmtId="0" fontId="0" fillId="0" borderId="0" xfId="0" applyFill="1" applyAlignment="1">
      <alignment vertical="top"/>
    </xf>
    <xf numFmtId="0" fontId="0" fillId="0" borderId="0" xfId="0" applyFill="1" applyAlignment="1">
      <alignment vertical="center"/>
    </xf>
    <xf numFmtId="0" fontId="0" fillId="0" borderId="25" xfId="0" applyFill="1" applyBorder="1" applyAlignment="1">
      <alignment vertical="center" textRotation="90"/>
    </xf>
    <xf numFmtId="0" fontId="18" fillId="0" borderId="0" xfId="0" applyFont="1" applyBorder="1" applyAlignment="1" applyProtection="1">
      <alignment horizontal="left"/>
      <protection hidden="1"/>
    </xf>
    <xf numFmtId="0" fontId="6" fillId="0" borderId="9" xfId="0" applyFont="1" applyBorder="1" applyAlignment="1">
      <alignment horizontal="center" vertical="center"/>
    </xf>
    <xf numFmtId="0" fontId="18" fillId="0" borderId="0" xfId="1" applyNumberFormat="1" applyFont="1" applyFill="1" applyBorder="1" applyAlignment="1">
      <alignment horizontal="left" wrapText="1"/>
    </xf>
    <xf numFmtId="0" fontId="6" fillId="0" borderId="25" xfId="0" applyFont="1" applyBorder="1" applyAlignment="1">
      <alignment horizontal="center" vertical="center"/>
    </xf>
    <xf numFmtId="0" fontId="17" fillId="0" borderId="25" xfId="0" applyFont="1" applyBorder="1" applyAlignment="1">
      <alignment vertical="center"/>
    </xf>
    <xf numFmtId="2" fontId="6" fillId="0" borderId="25" xfId="0" applyNumberFormat="1" applyFont="1" applyBorder="1" applyAlignment="1">
      <alignment horizontal="center" vertical="center"/>
    </xf>
    <xf numFmtId="0" fontId="18" fillId="0" borderId="18" xfId="0" applyFont="1" applyBorder="1" applyAlignment="1" applyProtection="1">
      <alignment horizontal="left"/>
      <protection hidden="1"/>
    </xf>
    <xf numFmtId="0" fontId="18" fillId="0" borderId="35" xfId="0" applyFont="1" applyBorder="1" applyAlignment="1" applyProtection="1">
      <alignment horizontal="center"/>
      <protection hidden="1"/>
    </xf>
    <xf numFmtId="2" fontId="18" fillId="0" borderId="18" xfId="0" applyNumberFormat="1" applyFont="1" applyBorder="1" applyProtection="1">
      <protection hidden="1"/>
    </xf>
    <xf numFmtId="0" fontId="18" fillId="0" borderId="21" xfId="0" applyFont="1" applyBorder="1" applyAlignment="1" applyProtection="1">
      <alignment horizontal="left"/>
      <protection hidden="1"/>
    </xf>
    <xf numFmtId="0" fontId="18" fillId="0" borderId="29" xfId="0" applyFont="1" applyBorder="1" applyAlignment="1" applyProtection="1">
      <alignment horizontal="left" indent="6"/>
      <protection hidden="1"/>
    </xf>
    <xf numFmtId="0" fontId="18" fillId="0" borderId="29" xfId="0" applyFont="1" applyBorder="1" applyAlignment="1" applyProtection="1">
      <alignment horizontal="left"/>
      <protection hidden="1"/>
    </xf>
    <xf numFmtId="0" fontId="18" fillId="0" borderId="37" xfId="0" applyFont="1" applyBorder="1" applyProtection="1">
      <protection hidden="1"/>
    </xf>
    <xf numFmtId="0" fontId="17" fillId="0" borderId="0" xfId="0" applyFont="1" applyFill="1" applyAlignment="1">
      <alignment horizontal="center" vertical="center" textRotation="90"/>
    </xf>
    <xf numFmtId="0" fontId="17" fillId="0" borderId="0" xfId="0" applyFont="1" applyFill="1" applyAlignment="1">
      <alignment horizontal="center" vertical="center" wrapText="1"/>
    </xf>
    <xf numFmtId="0" fontId="68" fillId="0" borderId="0" xfId="0" applyFont="1"/>
    <xf numFmtId="0" fontId="68" fillId="0" borderId="0" xfId="0" applyFont="1" applyAlignment="1">
      <alignment horizontal="center" vertical="center"/>
    </xf>
    <xf numFmtId="0" fontId="69" fillId="0" borderId="0" xfId="0" applyFont="1"/>
    <xf numFmtId="0" fontId="68" fillId="0" borderId="0" xfId="0" applyFont="1" applyAlignment="1">
      <alignment vertical="center"/>
    </xf>
    <xf numFmtId="0" fontId="68" fillId="0" borderId="0" xfId="0" applyFont="1" applyAlignment="1">
      <alignment vertical="center" wrapText="1"/>
    </xf>
    <xf numFmtId="166" fontId="68" fillId="0" borderId="0" xfId="0" applyNumberFormat="1" applyFont="1" applyAlignment="1">
      <alignment horizontal="center" vertical="center"/>
    </xf>
    <xf numFmtId="0" fontId="69" fillId="0" borderId="0" xfId="0" applyFont="1" applyAlignment="1">
      <alignment vertical="center"/>
    </xf>
    <xf numFmtId="0" fontId="70" fillId="0" borderId="0" xfId="0" applyNumberFormat="1" applyFont="1" applyFill="1" applyBorder="1" applyAlignment="1">
      <alignment horizontal="justify" vertical="center" wrapText="1"/>
    </xf>
    <xf numFmtId="0" fontId="70" fillId="0" borderId="0" xfId="0" applyNumberFormat="1" applyFont="1" applyFill="1" applyBorder="1" applyAlignment="1">
      <alignment horizontal="center" vertical="center" wrapText="1"/>
    </xf>
    <xf numFmtId="2" fontId="70" fillId="0" borderId="0" xfId="0" applyNumberFormat="1" applyFont="1" applyFill="1" applyBorder="1" applyAlignment="1">
      <alignment horizontal="center" vertical="center" wrapText="1"/>
    </xf>
    <xf numFmtId="0" fontId="65" fillId="0" borderId="0" xfId="0" applyFont="1" applyFill="1" applyBorder="1" applyAlignment="1">
      <alignment vertical="center"/>
    </xf>
    <xf numFmtId="0" fontId="65" fillId="0" borderId="4" xfId="0" applyFont="1" applyFill="1" applyBorder="1" applyAlignment="1">
      <alignment vertical="center"/>
    </xf>
    <xf numFmtId="169" fontId="18" fillId="0" borderId="0" xfId="1" applyNumberFormat="1" applyFont="1" applyFill="1" applyBorder="1" applyAlignment="1">
      <alignment horizontal="center" vertical="center" wrapText="1"/>
    </xf>
    <xf numFmtId="2" fontId="18" fillId="0" borderId="0" xfId="43" applyNumberFormat="1" applyFont="1" applyFill="1" applyBorder="1" applyAlignment="1" applyProtection="1">
      <alignment horizontal="center" vertical="center" wrapText="1"/>
      <protection hidden="1"/>
    </xf>
    <xf numFmtId="2" fontId="18" fillId="0" borderId="0" xfId="1" quotePrefix="1" applyNumberFormat="1" applyFont="1" applyFill="1" applyBorder="1" applyAlignment="1">
      <alignment horizontal="center" vertical="center" wrapText="1"/>
    </xf>
    <xf numFmtId="0" fontId="53" fillId="0" borderId="0" xfId="0" applyFont="1" applyAlignment="1">
      <alignment vertical="center"/>
    </xf>
    <xf numFmtId="0" fontId="0" fillId="0" borderId="28" xfId="0" applyFill="1" applyBorder="1" applyAlignment="1">
      <alignment vertical="center" textRotation="90"/>
    </xf>
    <xf numFmtId="0" fontId="0" fillId="0" borderId="27" xfId="0" applyFill="1" applyBorder="1" applyAlignment="1">
      <alignment vertical="center" textRotation="90"/>
    </xf>
    <xf numFmtId="0" fontId="0" fillId="0" borderId="42" xfId="0" applyFill="1" applyBorder="1" applyAlignment="1">
      <alignment vertical="center" textRotation="90"/>
    </xf>
    <xf numFmtId="166" fontId="74" fillId="0" borderId="0" xfId="62" applyNumberFormat="1" applyFont="1" applyAlignment="1">
      <alignment shrinkToFit="1"/>
    </xf>
    <xf numFmtId="166" fontId="74" fillId="0" borderId="0" xfId="63" applyNumberFormat="1" applyFont="1" applyAlignment="1">
      <alignment shrinkToFit="1"/>
    </xf>
    <xf numFmtId="0" fontId="0" fillId="0" borderId="0" xfId="0" applyFill="1" applyBorder="1" applyAlignment="1">
      <alignment horizontal="center" vertical="center"/>
    </xf>
    <xf numFmtId="0" fontId="18" fillId="0" borderId="0" xfId="1" applyNumberFormat="1" applyFont="1" applyFill="1" applyBorder="1" applyAlignment="1">
      <alignment horizontal="justify" vertical="center" wrapText="1"/>
    </xf>
    <xf numFmtId="0" fontId="18" fillId="0" borderId="0" xfId="0" applyNumberFormat="1" applyFont="1" applyFill="1" applyBorder="1" applyAlignment="1">
      <alignment horizontal="justify" vertical="center" wrapText="1"/>
    </xf>
    <xf numFmtId="0" fontId="18" fillId="0" borderId="0" xfId="43" applyFont="1" applyFill="1" applyBorder="1" applyAlignment="1" applyProtection="1">
      <alignment horizontal="justify" vertical="center" wrapText="1"/>
      <protection hidden="1"/>
    </xf>
    <xf numFmtId="0" fontId="17" fillId="0" borderId="0" xfId="0" applyFont="1" applyFill="1" applyAlignment="1">
      <alignment horizontal="center" vertical="center" textRotation="90"/>
    </xf>
    <xf numFmtId="0" fontId="17" fillId="0" borderId="0" xfId="0" applyFont="1" applyFill="1" applyAlignment="1">
      <alignment horizontal="center" vertical="center" wrapText="1"/>
    </xf>
    <xf numFmtId="166" fontId="74" fillId="0" borderId="0" xfId="0" applyNumberFormat="1" applyFont="1" applyAlignment="1">
      <alignment shrinkToFit="1"/>
    </xf>
    <xf numFmtId="0" fontId="18" fillId="0" borderId="0" xfId="0" applyNumberFormat="1" applyFont="1" applyFill="1" applyBorder="1" applyAlignment="1">
      <alignment horizontal="center" vertical="center" wrapText="1"/>
    </xf>
    <xf numFmtId="1" fontId="11" fillId="0" borderId="0" xfId="0" applyNumberFormat="1" applyFont="1" applyFill="1" applyBorder="1" applyAlignment="1">
      <alignment horizontal="center" vertical="center" wrapText="1"/>
    </xf>
    <xf numFmtId="0" fontId="18" fillId="0" borderId="0" xfId="0" quotePrefix="1" applyNumberFormat="1" applyFont="1" applyFill="1" applyBorder="1" applyAlignment="1">
      <alignment horizontal="center" vertical="center" wrapText="1"/>
    </xf>
    <xf numFmtId="0" fontId="18" fillId="0" borderId="0" xfId="0" applyNumberFormat="1" applyFont="1" applyFill="1" applyBorder="1" applyAlignment="1">
      <alignment horizontal="right" vertical="center" wrapText="1"/>
    </xf>
    <xf numFmtId="2" fontId="18" fillId="0" borderId="0" xfId="0" applyNumberFormat="1" applyFont="1" applyFill="1" applyBorder="1" applyAlignment="1">
      <alignment horizontal="center" vertical="center" wrapText="1"/>
    </xf>
    <xf numFmtId="0" fontId="55" fillId="0" borderId="0" xfId="0" applyFont="1" applyFill="1" applyProtection="1">
      <protection hidden="1"/>
    </xf>
    <xf numFmtId="166" fontId="18" fillId="0" borderId="0" xfId="0" applyNumberFormat="1" applyFont="1" applyFill="1" applyBorder="1" applyAlignment="1">
      <alignment horizontal="center" vertical="center" wrapText="1"/>
    </xf>
    <xf numFmtId="0" fontId="56" fillId="0" borderId="0" xfId="0" applyFont="1" applyFill="1" applyProtection="1">
      <protection hidden="1"/>
    </xf>
    <xf numFmtId="0" fontId="77" fillId="0" borderId="0" xfId="0" applyFont="1" applyFill="1" applyBorder="1"/>
    <xf numFmtId="0" fontId="77" fillId="0" borderId="0" xfId="0" applyFont="1" applyFill="1" applyBorder="1" applyAlignment="1">
      <alignment horizontal="center" vertical="center"/>
    </xf>
    <xf numFmtId="0" fontId="18" fillId="0" borderId="0" xfId="0" applyFont="1" applyFill="1" applyBorder="1" applyAlignment="1">
      <alignment horizontal="center" vertical="center"/>
    </xf>
    <xf numFmtId="2" fontId="18" fillId="0" borderId="0" xfId="0" applyNumberFormat="1" applyFont="1" applyFill="1" applyBorder="1" applyAlignment="1">
      <alignment horizontal="right" vertical="center"/>
    </xf>
    <xf numFmtId="2" fontId="19" fillId="0" borderId="0" xfId="0" applyNumberFormat="1" applyFont="1" applyFill="1" applyBorder="1" applyAlignment="1">
      <alignment horizontal="right" vertical="center"/>
    </xf>
    <xf numFmtId="166" fontId="18" fillId="0" borderId="0" xfId="0" applyNumberFormat="1" applyFont="1" applyFill="1" applyBorder="1" applyAlignment="1">
      <alignment horizontal="right" vertical="center"/>
    </xf>
    <xf numFmtId="166" fontId="18" fillId="0" borderId="0" xfId="0" quotePrefix="1" applyNumberFormat="1" applyFont="1" applyFill="1" applyBorder="1" applyAlignment="1">
      <alignment horizontal="center" vertical="center" wrapText="1"/>
    </xf>
    <xf numFmtId="0" fontId="19" fillId="0" borderId="0" xfId="0" applyNumberFormat="1" applyFont="1" applyFill="1" applyBorder="1" applyAlignment="1">
      <alignment horizontal="left" vertical="center" wrapText="1"/>
    </xf>
    <xf numFmtId="0" fontId="19" fillId="0" borderId="0" xfId="0" applyNumberFormat="1" applyFont="1" applyFill="1" applyBorder="1" applyAlignment="1">
      <alignment horizontal="justify" vertical="center" wrapText="1"/>
    </xf>
    <xf numFmtId="0" fontId="19" fillId="0" borderId="0" xfId="0" applyNumberFormat="1" applyFont="1" applyFill="1" applyBorder="1" applyAlignment="1">
      <alignment horizontal="center" vertical="center" wrapText="1"/>
    </xf>
    <xf numFmtId="166" fontId="18" fillId="0"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xf>
    <xf numFmtId="0" fontId="77" fillId="0" borderId="0" xfId="0" applyFont="1" applyFill="1"/>
    <xf numFmtId="2" fontId="18" fillId="0" borderId="0" xfId="0" applyNumberFormat="1" applyFont="1" applyFill="1" applyBorder="1" applyAlignment="1">
      <alignment vertical="center" wrapText="1"/>
    </xf>
    <xf numFmtId="2" fontId="19" fillId="0" borderId="0" xfId="0" applyNumberFormat="1" applyFont="1" applyFill="1" applyBorder="1" applyAlignment="1">
      <alignment horizontal="center" vertical="center"/>
    </xf>
    <xf numFmtId="0" fontId="78" fillId="0" borderId="0" xfId="0" quotePrefix="1" applyFont="1" applyFill="1" applyBorder="1"/>
    <xf numFmtId="2" fontId="18" fillId="0" borderId="0" xfId="0" applyNumberFormat="1" applyFont="1" applyFill="1" applyBorder="1" applyAlignment="1">
      <alignment horizontal="center"/>
    </xf>
    <xf numFmtId="0" fontId="18" fillId="0" borderId="0" xfId="0" applyNumberFormat="1" applyFont="1" applyFill="1" applyBorder="1" applyAlignment="1">
      <alignment vertical="center"/>
    </xf>
    <xf numFmtId="166" fontId="18" fillId="0" borderId="0" xfId="0" applyNumberFormat="1" applyFont="1" applyFill="1" applyBorder="1" applyAlignment="1">
      <alignment horizontal="center"/>
    </xf>
    <xf numFmtId="2" fontId="19" fillId="0" borderId="0" xfId="0" applyNumberFormat="1" applyFont="1" applyFill="1" applyBorder="1" applyAlignment="1">
      <alignment horizontal="center"/>
    </xf>
    <xf numFmtId="0" fontId="78" fillId="0" borderId="0" xfId="0" applyFont="1" applyFill="1" applyBorder="1"/>
    <xf numFmtId="166" fontId="19" fillId="0" borderId="0" xfId="0" applyNumberFormat="1" applyFont="1" applyFill="1" applyBorder="1" applyAlignment="1">
      <alignment horizontal="center" vertical="center"/>
    </xf>
    <xf numFmtId="0" fontId="18" fillId="0" borderId="0" xfId="0" applyFont="1" applyFill="1" applyAlignment="1">
      <alignment horizontal="justify" vertical="center" wrapText="1"/>
    </xf>
    <xf numFmtId="0" fontId="18" fillId="0" borderId="0" xfId="0" quotePrefix="1" applyFont="1" applyFill="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Alignment="1">
      <alignment vertical="center"/>
    </xf>
    <xf numFmtId="2" fontId="77" fillId="0" borderId="0" xfId="0" applyNumberFormat="1" applyFont="1" applyFill="1" applyBorder="1"/>
    <xf numFmtId="169" fontId="77" fillId="0" borderId="0" xfId="0" applyNumberFormat="1" applyFont="1" applyFill="1" applyBorder="1"/>
    <xf numFmtId="0" fontId="18" fillId="0" borderId="0" xfId="0" applyFont="1" applyFill="1" applyBorder="1" applyAlignment="1">
      <alignment horizontal="left" vertical="center"/>
    </xf>
    <xf numFmtId="0" fontId="18" fillId="0" borderId="0" xfId="0" applyFont="1" applyFill="1" applyBorder="1"/>
    <xf numFmtId="0" fontId="0" fillId="0" borderId="0" xfId="0" applyAlignment="1">
      <alignment vertical="center"/>
    </xf>
    <xf numFmtId="2" fontId="17" fillId="0" borderId="0" xfId="0" applyNumberFormat="1" applyFont="1" applyFill="1" applyAlignment="1">
      <alignment horizontal="center"/>
    </xf>
    <xf numFmtId="2" fontId="17" fillId="0" borderId="0" xfId="0" applyNumberFormat="1" applyFont="1" applyFill="1" applyAlignment="1">
      <alignment horizontal="center" vertical="center"/>
    </xf>
    <xf numFmtId="2" fontId="21" fillId="0" borderId="0" xfId="0" applyNumberFormat="1" applyFont="1" applyFill="1" applyAlignment="1">
      <alignment horizontal="center"/>
    </xf>
    <xf numFmtId="0" fontId="18" fillId="0" borderId="0" xfId="0" applyFont="1" applyFill="1" applyBorder="1" applyAlignment="1">
      <alignment horizontal="center" vertical="center"/>
    </xf>
    <xf numFmtId="0" fontId="18" fillId="0" borderId="0" xfId="0" applyNumberFormat="1" applyFont="1" applyFill="1" applyBorder="1" applyAlignment="1">
      <alignment horizontal="justify" vertical="center" wrapText="1"/>
    </xf>
    <xf numFmtId="170" fontId="18" fillId="0" borderId="16" xfId="0" applyNumberFormat="1" applyFont="1" applyFill="1" applyBorder="1" applyProtection="1">
      <protection hidden="1"/>
    </xf>
    <xf numFmtId="0" fontId="17" fillId="0" borderId="0" xfId="0" applyFont="1" applyBorder="1" applyAlignment="1">
      <alignment horizontal="justify" vertical="center" wrapText="1"/>
    </xf>
    <xf numFmtId="0" fontId="26" fillId="0" borderId="0" xfId="0" applyFont="1" applyAlignment="1">
      <alignment horizontal="justify" vertical="center" wrapText="1"/>
    </xf>
    <xf numFmtId="0" fontId="59" fillId="0" borderId="0" xfId="0" applyFont="1" applyAlignment="1">
      <alignment horizontal="center"/>
    </xf>
    <xf numFmtId="0" fontId="30" fillId="0" borderId="0" xfId="0" applyFont="1" applyFill="1" applyAlignment="1">
      <alignment horizontal="center" vertical="center"/>
    </xf>
    <xf numFmtId="0" fontId="0" fillId="0" borderId="0" xfId="0" applyFill="1" applyBorder="1" applyAlignment="1">
      <alignment horizontal="center" vertical="center"/>
    </xf>
    <xf numFmtId="0" fontId="7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7" fillId="0" borderId="0" xfId="0" applyFont="1" applyFill="1" applyBorder="1" applyAlignment="1">
      <alignment horizontal="right" vertical="center"/>
    </xf>
    <xf numFmtId="0" fontId="11" fillId="0" borderId="0" xfId="43" applyFont="1" applyFill="1" applyBorder="1" applyAlignment="1" applyProtection="1">
      <alignment horizontal="center" vertical="center" wrapText="1"/>
      <protection hidden="1"/>
    </xf>
    <xf numFmtId="0" fontId="18" fillId="0" borderId="0" xfId="0" applyNumberFormat="1" applyFont="1" applyFill="1" applyBorder="1" applyAlignment="1">
      <alignment horizontal="justify"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18" fillId="0" borderId="0" xfId="0" applyFont="1" applyFill="1" applyAlignment="1">
      <alignment horizontal="justify" vertical="center" wrapText="1"/>
    </xf>
    <xf numFmtId="0" fontId="18" fillId="0" borderId="0" xfId="43" applyFont="1" applyFill="1" applyBorder="1" applyAlignment="1" applyProtection="1">
      <alignment horizontal="justify" vertical="center" wrapText="1"/>
      <protection hidden="1"/>
    </xf>
    <xf numFmtId="2" fontId="18" fillId="0" borderId="0" xfId="0" applyNumberFormat="1" applyFont="1" applyFill="1" applyBorder="1" applyAlignment="1">
      <alignment horizontal="center" vertical="center"/>
    </xf>
    <xf numFmtId="0" fontId="76"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77" fillId="0" borderId="0" xfId="0" applyFont="1" applyFill="1" applyBorder="1" applyAlignment="1">
      <alignment horizontal="center"/>
    </xf>
    <xf numFmtId="0" fontId="77" fillId="0" borderId="0" xfId="0" applyFont="1" applyFill="1" applyBorder="1" applyAlignment="1">
      <alignment horizontal="center" vertical="center"/>
    </xf>
    <xf numFmtId="0" fontId="18" fillId="0" borderId="0" xfId="1" applyNumberFormat="1" applyFont="1" applyFill="1" applyBorder="1" applyAlignment="1">
      <alignment horizontal="justify" vertical="center" wrapText="1"/>
    </xf>
    <xf numFmtId="0" fontId="2" fillId="0" borderId="0" xfId="0" applyFont="1" applyAlignment="1">
      <alignment horizontal="center"/>
    </xf>
    <xf numFmtId="0" fontId="0" fillId="0" borderId="0" xfId="0" applyFont="1" applyAlignment="1">
      <alignment horizontal="center" vertical="center"/>
    </xf>
    <xf numFmtId="0" fontId="51" fillId="0" borderId="0" xfId="0" applyFont="1" applyAlignment="1">
      <alignment horizontal="center" vertical="center" wrapText="1"/>
    </xf>
    <xf numFmtId="0" fontId="53" fillId="0" borderId="0" xfId="0" applyFont="1" applyAlignment="1">
      <alignment horizontal="center" vertical="center"/>
    </xf>
    <xf numFmtId="0" fontId="26" fillId="0" borderId="0" xfId="0" applyFont="1" applyAlignment="1">
      <alignment horizontal="center"/>
    </xf>
    <xf numFmtId="0" fontId="51" fillId="0" borderId="0" xfId="0" applyFont="1" applyAlignment="1">
      <alignment horizontal="center"/>
    </xf>
    <xf numFmtId="0" fontId="50" fillId="0" borderId="0" xfId="0" applyFont="1" applyAlignment="1">
      <alignment horizontal="center" vertical="center" wrapText="1"/>
    </xf>
    <xf numFmtId="0" fontId="8" fillId="0" borderId="0" xfId="0" applyFont="1" applyAlignment="1">
      <alignment horizont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wrapText="1"/>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2" fontId="6" fillId="0" borderId="0" xfId="0" applyNumberFormat="1" applyFont="1" applyAlignment="1">
      <alignment horizontal="center"/>
    </xf>
    <xf numFmtId="0" fontId="18" fillId="0" borderId="0" xfId="0" applyFont="1" applyBorder="1" applyAlignment="1" applyProtection="1">
      <alignment horizontal="left"/>
      <protection hidden="1"/>
    </xf>
    <xf numFmtId="0" fontId="17" fillId="0" borderId="0" xfId="0" applyFont="1" applyFill="1" applyAlignment="1">
      <alignment horizontal="center" textRotation="90" wrapText="1"/>
    </xf>
    <xf numFmtId="0" fontId="17" fillId="0" borderId="0" xfId="0" applyFont="1" applyFill="1" applyAlignment="1">
      <alignment horizontal="center" vertical="center" textRotation="90"/>
    </xf>
    <xf numFmtId="0" fontId="20" fillId="0" borderId="0" xfId="0" applyFont="1" applyFill="1" applyAlignment="1">
      <alignment horizontal="center" vertical="center" textRotation="90"/>
    </xf>
    <xf numFmtId="0" fontId="18" fillId="0" borderId="0" xfId="0" applyFont="1" applyAlignment="1" applyProtection="1">
      <alignment horizontal="center" vertical="center" textRotation="90" wrapText="1"/>
    </xf>
    <xf numFmtId="0" fontId="24" fillId="0" borderId="0" xfId="0" applyFont="1" applyAlignment="1" applyProtection="1">
      <alignment horizontal="center" vertical="center" textRotation="90" wrapText="1"/>
    </xf>
    <xf numFmtId="0" fontId="18" fillId="0" borderId="0" xfId="0" applyFont="1" applyFill="1" applyBorder="1" applyAlignment="1" applyProtection="1">
      <alignment horizontal="left" wrapText="1"/>
      <protection hidden="1"/>
    </xf>
    <xf numFmtId="0" fontId="58" fillId="0" borderId="0" xfId="0" applyFont="1" applyFill="1" applyAlignment="1" applyProtection="1">
      <alignment horizontal="center" textRotation="90" wrapText="1"/>
    </xf>
    <xf numFmtId="0" fontId="10" fillId="0" borderId="0" xfId="0" applyNumberFormat="1" applyFont="1" applyBorder="1" applyAlignment="1">
      <alignment horizontal="justify" vertical="center" wrapText="1"/>
    </xf>
    <xf numFmtId="0" fontId="18" fillId="0" borderId="0" xfId="0" applyFont="1" applyFill="1" applyAlignment="1" applyProtection="1">
      <alignment horizontal="center" vertical="center" textRotation="90" wrapText="1"/>
    </xf>
    <xf numFmtId="0" fontId="17" fillId="0" borderId="0" xfId="0" applyFont="1" applyFill="1" applyAlignment="1">
      <alignment horizontal="center"/>
    </xf>
    <xf numFmtId="0" fontId="17" fillId="0" borderId="0" xfId="0" applyFont="1" applyFill="1" applyAlignment="1">
      <alignment horizontal="center" vertical="center" wrapText="1"/>
    </xf>
    <xf numFmtId="0" fontId="19" fillId="0" borderId="0" xfId="0" applyFont="1" applyFill="1" applyBorder="1" applyAlignment="1" applyProtection="1">
      <alignment horizontal="center" vertical="center" wrapText="1"/>
      <protection hidden="1"/>
    </xf>
    <xf numFmtId="0" fontId="18" fillId="0" borderId="16" xfId="0" applyFont="1" applyFill="1" applyBorder="1" applyAlignment="1" applyProtection="1">
      <alignment horizontal="left" wrapText="1"/>
      <protection hidden="1"/>
    </xf>
    <xf numFmtId="0" fontId="17" fillId="0" borderId="0" xfId="0" applyFont="1" applyFill="1" applyAlignment="1">
      <alignment horizontal="center" textRotation="90"/>
    </xf>
    <xf numFmtId="0" fontId="18" fillId="0" borderId="0" xfId="0" applyFont="1" applyFill="1" applyAlignment="1" applyProtection="1">
      <alignment horizontal="center" vertical="center" textRotation="90"/>
      <protection hidden="1"/>
    </xf>
    <xf numFmtId="0" fontId="18" fillId="0" borderId="33" xfId="0" applyFont="1" applyFill="1" applyBorder="1" applyAlignment="1" applyProtection="1">
      <alignment horizontal="right" wrapText="1"/>
      <protection hidden="1"/>
    </xf>
    <xf numFmtId="0" fontId="18" fillId="0" borderId="34" xfId="0" applyFont="1" applyFill="1" applyBorder="1" applyAlignment="1" applyProtection="1">
      <alignment horizontal="right" wrapText="1"/>
      <protection hidden="1"/>
    </xf>
    <xf numFmtId="0" fontId="18" fillId="0" borderId="26" xfId="0" applyFont="1" applyFill="1" applyBorder="1" applyAlignment="1" applyProtection="1">
      <alignment horizontal="right" wrapText="1"/>
      <protection hidden="1"/>
    </xf>
    <xf numFmtId="0" fontId="18" fillId="0" borderId="25" xfId="0" applyFont="1" applyFill="1" applyBorder="1" applyAlignment="1" applyProtection="1">
      <alignment horizontal="right" wrapText="1"/>
      <protection hidden="1"/>
    </xf>
    <xf numFmtId="0" fontId="57" fillId="0" borderId="0" xfId="0" applyFont="1" applyFill="1" applyAlignment="1" applyProtection="1">
      <alignment horizontal="center" vertical="center" textRotation="90"/>
    </xf>
    <xf numFmtId="0" fontId="18" fillId="0" borderId="36" xfId="0" applyFont="1" applyFill="1" applyBorder="1" applyAlignment="1" applyProtection="1">
      <alignment horizontal="right" wrapText="1"/>
      <protection hidden="1"/>
    </xf>
    <xf numFmtId="0" fontId="18" fillId="0" borderId="37" xfId="0" applyFont="1" applyFill="1" applyBorder="1" applyAlignment="1" applyProtection="1">
      <alignment horizontal="right" wrapText="1"/>
      <protection hidden="1"/>
    </xf>
    <xf numFmtId="0" fontId="18" fillId="0" borderId="38" xfId="0" applyFont="1" applyFill="1" applyBorder="1" applyAlignment="1" applyProtection="1">
      <alignment horizontal="right" wrapText="1"/>
      <protection hidden="1"/>
    </xf>
    <xf numFmtId="0" fontId="8"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Border="1" applyAlignment="1">
      <alignment horizontal="left" wrapText="1"/>
    </xf>
    <xf numFmtId="0" fontId="64" fillId="0" borderId="0" xfId="0" applyFont="1" applyFill="1" applyAlignment="1">
      <alignment horizontal="center" vertical="center"/>
    </xf>
    <xf numFmtId="0" fontId="0" fillId="0" borderId="25" xfId="0" applyFill="1" applyBorder="1" applyAlignment="1">
      <alignment horizontal="center"/>
    </xf>
    <xf numFmtId="0" fontId="0" fillId="0" borderId="0" xfId="0" applyFill="1" applyBorder="1" applyAlignment="1">
      <alignment horizontal="left"/>
    </xf>
    <xf numFmtId="0" fontId="0" fillId="0" borderId="0" xfId="0" applyFill="1" applyAlignment="1">
      <alignment horizontal="left"/>
    </xf>
    <xf numFmtId="0" fontId="0" fillId="0" borderId="28" xfId="0" applyFill="1" applyBorder="1" applyAlignment="1">
      <alignment horizontal="center" vertical="center" textRotation="90" wrapText="1"/>
    </xf>
    <xf numFmtId="0" fontId="0" fillId="0" borderId="27" xfId="0" applyFill="1" applyBorder="1" applyAlignment="1">
      <alignment horizontal="center" vertical="center" textRotation="90" wrapText="1"/>
    </xf>
    <xf numFmtId="0" fontId="0" fillId="0" borderId="42" xfId="0" applyFill="1" applyBorder="1" applyAlignment="1">
      <alignment horizontal="center" vertical="center" textRotation="90" wrapText="1"/>
    </xf>
    <xf numFmtId="0" fontId="0" fillId="0" borderId="28" xfId="0" applyFill="1" applyBorder="1" applyAlignment="1">
      <alignment horizontal="center"/>
    </xf>
    <xf numFmtId="0" fontId="0" fillId="0" borderId="27" xfId="0" applyFill="1" applyBorder="1" applyAlignment="1">
      <alignment horizontal="center"/>
    </xf>
    <xf numFmtId="0" fontId="0" fillId="0" borderId="42" xfId="0" applyFill="1" applyBorder="1" applyAlignment="1">
      <alignment horizontal="center"/>
    </xf>
    <xf numFmtId="0" fontId="64" fillId="0" borderId="4" xfId="0" applyFont="1" applyFill="1" applyBorder="1" applyAlignment="1">
      <alignment horizontal="center" vertical="center"/>
    </xf>
    <xf numFmtId="0" fontId="5" fillId="0" borderId="0" xfId="0" applyFont="1" applyFill="1" applyAlignment="1">
      <alignment horizontal="center" textRotation="90"/>
    </xf>
    <xf numFmtId="0" fontId="0" fillId="0" borderId="14" xfId="0" applyFill="1" applyBorder="1" applyAlignment="1">
      <alignment horizontal="center"/>
    </xf>
    <xf numFmtId="0" fontId="0" fillId="0" borderId="33" xfId="0" applyFill="1" applyBorder="1" applyAlignment="1">
      <alignment horizontal="center" vertical="center"/>
    </xf>
    <xf numFmtId="0" fontId="0" fillId="0" borderId="26" xfId="0" applyFill="1" applyBorder="1" applyAlignment="1">
      <alignment horizontal="center" vertical="center"/>
    </xf>
    <xf numFmtId="0" fontId="0" fillId="0" borderId="25" xfId="0" applyFill="1" applyBorder="1" applyAlignment="1">
      <alignment horizontal="center" vertical="center"/>
    </xf>
    <xf numFmtId="0" fontId="7" fillId="0" borderId="0" xfId="0" applyFont="1" applyFill="1" applyAlignment="1">
      <alignment horizontal="center" vertical="center"/>
    </xf>
    <xf numFmtId="0" fontId="0" fillId="0" borderId="25" xfId="0" applyFill="1" applyBorder="1" applyAlignment="1">
      <alignment horizontal="center" vertical="center" wrapText="1"/>
    </xf>
    <xf numFmtId="0" fontId="0" fillId="0" borderId="27" xfId="0" applyFill="1" applyBorder="1" applyAlignment="1">
      <alignment horizontal="center" vertical="center" textRotation="90"/>
    </xf>
    <xf numFmtId="0" fontId="0" fillId="0" borderId="14" xfId="0" applyFill="1" applyBorder="1" applyAlignment="1">
      <alignment horizontal="center" vertical="center" textRotation="90"/>
    </xf>
    <xf numFmtId="0" fontId="5" fillId="0" borderId="3" xfId="0" applyFont="1" applyFill="1" applyBorder="1" applyAlignment="1">
      <alignment horizontal="center" textRotation="90"/>
    </xf>
    <xf numFmtId="0" fontId="0" fillId="0" borderId="33" xfId="0" applyFill="1" applyBorder="1" applyAlignment="1">
      <alignment horizontal="center"/>
    </xf>
    <xf numFmtId="0" fontId="0" fillId="0" borderId="34" xfId="0" applyFill="1" applyBorder="1" applyAlignment="1">
      <alignment horizontal="center"/>
    </xf>
    <xf numFmtId="0" fontId="65" fillId="0" borderId="0" xfId="0" applyFont="1" applyFill="1" applyAlignment="1">
      <alignment horizontal="center"/>
    </xf>
    <xf numFmtId="0" fontId="52" fillId="0" borderId="0" xfId="0" applyFont="1" applyAlignment="1">
      <alignment horizontal="center" vertical="center"/>
    </xf>
    <xf numFmtId="0" fontId="0" fillId="0" borderId="0" xfId="0" applyAlignment="1">
      <alignment horizontal="right" vertical="center"/>
    </xf>
    <xf numFmtId="0" fontId="69" fillId="0" borderId="0" xfId="0" applyFont="1" applyAlignment="1">
      <alignment horizontal="center" vertical="center"/>
    </xf>
    <xf numFmtId="0" fontId="70" fillId="0" borderId="0" xfId="0" applyFont="1" applyAlignment="1">
      <alignment horizontal="center" vertical="center" wrapText="1"/>
    </xf>
    <xf numFmtId="0" fontId="70" fillId="0" borderId="0" xfId="0" applyNumberFormat="1" applyFont="1" applyFill="1" applyBorder="1" applyAlignment="1">
      <alignment horizontal="right" vertical="center" wrapText="1"/>
    </xf>
    <xf numFmtId="0" fontId="15" fillId="0" borderId="0" xfId="0" applyFont="1" applyAlignment="1" applyProtection="1">
      <alignment horizontal="left" vertical="center" wrapText="1"/>
      <protection hidden="1"/>
    </xf>
    <xf numFmtId="0" fontId="15" fillId="0" borderId="0" xfId="0" applyFont="1" applyAlignment="1" applyProtection="1">
      <alignment horizontal="left"/>
      <protection hidden="1"/>
    </xf>
    <xf numFmtId="0" fontId="11" fillId="0" borderId="0" xfId="0" applyNumberFormat="1" applyFont="1" applyFill="1" applyBorder="1" applyAlignment="1">
      <alignment horizontal="justify" vertical="center" wrapText="1"/>
    </xf>
    <xf numFmtId="0" fontId="0" fillId="0" borderId="0" xfId="0" applyAlignment="1">
      <alignment horizontal="center" vertical="center" textRotation="90"/>
    </xf>
    <xf numFmtId="0" fontId="0" fillId="0" borderId="0" xfId="0"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justify" vertical="center" wrapText="1"/>
    </xf>
    <xf numFmtId="0" fontId="11" fillId="0" borderId="0" xfId="0" applyFont="1" applyFill="1" applyAlignment="1">
      <alignment horizontal="justify" vertical="center" wrapText="1"/>
    </xf>
    <xf numFmtId="0" fontId="11" fillId="0" borderId="0" xfId="0" applyFont="1" applyFill="1" applyAlignment="1">
      <alignment horizontal="left" vertical="top" wrapText="1" shrinkToFit="1"/>
    </xf>
    <xf numFmtId="0" fontId="11" fillId="0" borderId="0" xfId="0" applyFont="1" applyFill="1" applyAlignment="1">
      <alignment horizontal="left" shrinkToFit="1"/>
    </xf>
    <xf numFmtId="0" fontId="11" fillId="0" borderId="0" xfId="0" applyFont="1" applyFill="1" applyAlignment="1">
      <alignment horizontal="justify" vertical="top" wrapText="1"/>
    </xf>
    <xf numFmtId="0" fontId="11"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top" shrinkToFit="1"/>
    </xf>
    <xf numFmtId="2" fontId="12" fillId="0" borderId="0" xfId="0" applyNumberFormat="1" applyFont="1" applyFill="1" applyAlignment="1">
      <alignment horizontal="center" vertical="top" wrapText="1"/>
    </xf>
    <xf numFmtId="0" fontId="12" fillId="0" borderId="0" xfId="0" applyFont="1" applyFill="1" applyAlignment="1">
      <alignment horizontal="center" vertical="top" wrapText="1"/>
    </xf>
    <xf numFmtId="0" fontId="6" fillId="0" borderId="0" xfId="0" applyFont="1" applyAlignment="1">
      <alignment horizontal="center" vertical="center" wrapText="1"/>
    </xf>
    <xf numFmtId="0" fontId="72" fillId="0" borderId="0" xfId="0" applyFont="1" applyAlignment="1">
      <alignment horizontal="center" vertical="center" wrapText="1"/>
    </xf>
    <xf numFmtId="0" fontId="71" fillId="0" borderId="0" xfId="0" applyFont="1" applyAlignment="1">
      <alignment horizontal="center" vertical="center" wrapText="1"/>
    </xf>
    <xf numFmtId="0" fontId="8" fillId="0" borderId="0" xfId="0" applyFont="1" applyAlignment="1">
      <alignment horizontal="center" vertical="center"/>
    </xf>
    <xf numFmtId="0" fontId="3" fillId="0" borderId="0" xfId="0" applyFont="1" applyFill="1" applyBorder="1" applyAlignment="1">
      <alignment horizontal="center" vertical="center"/>
    </xf>
  </cellXfs>
  <cellStyles count="64">
    <cellStyle name="Calc Currency (0)" xfId="14"/>
    <cellStyle name="Comma 2" xfId="19"/>
    <cellStyle name="Comma 2 2" xfId="12"/>
    <cellStyle name="Comma 2 3" xfId="17"/>
    <cellStyle name="Comma 2 4" xfId="4"/>
    <cellStyle name="Comma 3" xfId="20"/>
    <cellStyle name="Copied" xfId="5"/>
    <cellStyle name="Currency" xfId="1" builtinId="4"/>
    <cellStyle name="Currency 2" xfId="7"/>
    <cellStyle name="Currency 3" xfId="9"/>
    <cellStyle name="Currency 3 2" xfId="15"/>
    <cellStyle name="Currency 4" xfId="11"/>
    <cellStyle name="Entered" xfId="18"/>
    <cellStyle name="Grey" xfId="6"/>
    <cellStyle name="Header1" xfId="21"/>
    <cellStyle name="Header2" xfId="22"/>
    <cellStyle name="Input [yellow]" xfId="16"/>
    <cellStyle name="Normal" xfId="0" builtinId="0"/>
    <cellStyle name="Normal - Style1" xfId="10"/>
    <cellStyle name="Normal 10" xfId="24"/>
    <cellStyle name="Normal 10 2" xfId="25"/>
    <cellStyle name="Normal 11" xfId="26"/>
    <cellStyle name="Normal 11 2" xfId="27"/>
    <cellStyle name="Normal 11 3" xfId="28"/>
    <cellStyle name="Normal 11 4" xfId="29"/>
    <cellStyle name="Normal 12" xfId="31"/>
    <cellStyle name="Normal 12 2" xfId="32"/>
    <cellStyle name="Normal 13" xfId="33"/>
    <cellStyle name="Normal 13 2" xfId="34"/>
    <cellStyle name="Normal 13 3" xfId="36"/>
    <cellStyle name="Normal 13 4" xfId="37"/>
    <cellStyle name="Normal 14" xfId="61"/>
    <cellStyle name="Normal 15" xfId="62"/>
    <cellStyle name="Normal 16" xfId="63"/>
    <cellStyle name="Normal 19" xfId="38"/>
    <cellStyle name="Normal 2" xfId="39"/>
    <cellStyle name="Normal 2 2" xfId="40"/>
    <cellStyle name="Normal 2 2 2" xfId="30"/>
    <cellStyle name="Normal 2 2 2 2" xfId="8"/>
    <cellStyle name="Normal 2 3" xfId="41"/>
    <cellStyle name="Normal 2 4" xfId="42"/>
    <cellStyle name="Normal 2 6" xfId="43"/>
    <cellStyle name="Normal 3" xfId="44"/>
    <cellStyle name="Normal 3 2" xfId="45"/>
    <cellStyle name="Normal 3 2 2" xfId="46"/>
    <cellStyle name="Normal 3 3" xfId="47"/>
    <cellStyle name="Normal 4" xfId="48"/>
    <cellStyle name="Normal 4 2" xfId="50"/>
    <cellStyle name="Normal 4 3" xfId="51"/>
    <cellStyle name="Normal 5" xfId="52"/>
    <cellStyle name="Normal 5 2" xfId="53"/>
    <cellStyle name="Normal 5 3" xfId="3"/>
    <cellStyle name="Normal 6" xfId="13"/>
    <cellStyle name="Normal 6 2" xfId="54"/>
    <cellStyle name="Normal 7" xfId="55"/>
    <cellStyle name="Normal 7 2" xfId="2"/>
    <cellStyle name="Normal 8" xfId="56"/>
    <cellStyle name="Normal 8 2" xfId="23"/>
    <cellStyle name="Normal 9" xfId="57"/>
    <cellStyle name="Normal 9 2" xfId="58"/>
    <cellStyle name="Percent [2]" xfId="35"/>
    <cellStyle name="Percent 2" xfId="59"/>
    <cellStyle name="RevList" xfId="49"/>
    <cellStyle name="Subtotal" xfId="6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600075</xdr:colOff>
      <xdr:row>23</xdr:row>
      <xdr:rowOff>0</xdr:rowOff>
    </xdr:from>
    <xdr:to>
      <xdr:col>3</xdr:col>
      <xdr:colOff>600075</xdr:colOff>
      <xdr:row>28</xdr:row>
      <xdr:rowOff>9525</xdr:rowOff>
    </xdr:to>
    <xdr:cxnSp macro="">
      <xdr:nvCxnSpPr>
        <xdr:cNvPr id="2" name="Straight Connector 1"/>
        <xdr:cNvCxnSpPr/>
      </xdr:nvCxnSpPr>
      <xdr:spPr>
        <a:xfrm>
          <a:off x="733425" y="6324600"/>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23</xdr:row>
      <xdr:rowOff>9525</xdr:rowOff>
    </xdr:from>
    <xdr:to>
      <xdr:col>9</xdr:col>
      <xdr:colOff>0</xdr:colOff>
      <xdr:row>28</xdr:row>
      <xdr:rowOff>0</xdr:rowOff>
    </xdr:to>
    <xdr:cxnSp macro="">
      <xdr:nvCxnSpPr>
        <xdr:cNvPr id="3" name="Straight Connector 2"/>
        <xdr:cNvCxnSpPr/>
      </xdr:nvCxnSpPr>
      <xdr:spPr>
        <a:xfrm flipV="1">
          <a:off x="3781425" y="6334125"/>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23</xdr:row>
      <xdr:rowOff>0</xdr:rowOff>
    </xdr:from>
    <xdr:to>
      <xdr:col>5</xdr:col>
      <xdr:colOff>133350</xdr:colOff>
      <xdr:row>23</xdr:row>
      <xdr:rowOff>1588</xdr:rowOff>
    </xdr:to>
    <xdr:cxnSp macro="">
      <xdr:nvCxnSpPr>
        <xdr:cNvPr id="4" name="Straight Connector 3"/>
        <xdr:cNvCxnSpPr/>
      </xdr:nvCxnSpPr>
      <xdr:spPr>
        <a:xfrm>
          <a:off x="2390775" y="6324600"/>
          <a:ext cx="276225"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23</xdr:row>
      <xdr:rowOff>9524</xdr:rowOff>
    </xdr:from>
    <xdr:to>
      <xdr:col>5</xdr:col>
      <xdr:colOff>19050</xdr:colOff>
      <xdr:row>28</xdr:row>
      <xdr:rowOff>19049</xdr:rowOff>
    </xdr:to>
    <xdr:cxnSp macro="">
      <xdr:nvCxnSpPr>
        <xdr:cNvPr id="5" name="Straight Arrow Connector 4"/>
        <xdr:cNvCxnSpPr/>
      </xdr:nvCxnSpPr>
      <xdr:spPr>
        <a:xfrm rot="16200000" flipH="1">
          <a:off x="2066925" y="6809740"/>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28</xdr:row>
      <xdr:rowOff>19050</xdr:rowOff>
    </xdr:from>
    <xdr:to>
      <xdr:col>4</xdr:col>
      <xdr:colOff>19050</xdr:colOff>
      <xdr:row>30</xdr:row>
      <xdr:rowOff>95250</xdr:rowOff>
    </xdr:to>
    <xdr:cxnSp macro="">
      <xdr:nvCxnSpPr>
        <xdr:cNvPr id="6" name="Straight Connector 5"/>
        <xdr:cNvCxnSpPr/>
      </xdr:nvCxnSpPr>
      <xdr:spPr>
        <a:xfrm rot="16200000" flipH="1">
          <a:off x="1714500" y="7515225"/>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28</xdr:row>
      <xdr:rowOff>10319</xdr:rowOff>
    </xdr:from>
    <xdr:to>
      <xdr:col>7</xdr:col>
      <xdr:colOff>10319</xdr:colOff>
      <xdr:row>30</xdr:row>
      <xdr:rowOff>143669</xdr:rowOff>
    </xdr:to>
    <xdr:cxnSp macro="">
      <xdr:nvCxnSpPr>
        <xdr:cNvPr id="7" name="Straight Connector 6"/>
        <xdr:cNvCxnSpPr/>
      </xdr:nvCxnSpPr>
      <xdr:spPr>
        <a:xfrm rot="5400000">
          <a:off x="3543300" y="7543800"/>
          <a:ext cx="5143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29</xdr:row>
      <xdr:rowOff>0</xdr:rowOff>
    </xdr:from>
    <xdr:to>
      <xdr:col>7</xdr:col>
      <xdr:colOff>19050</xdr:colOff>
      <xdr:row>29</xdr:row>
      <xdr:rowOff>1588</xdr:rowOff>
    </xdr:to>
    <xdr:cxnSp macro="">
      <xdr:nvCxnSpPr>
        <xdr:cNvPr id="8" name="Straight Arrow Connector 7"/>
        <xdr:cNvCxnSpPr/>
      </xdr:nvCxnSpPr>
      <xdr:spPr>
        <a:xfrm>
          <a:off x="1943100" y="7467600"/>
          <a:ext cx="1866900" cy="127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20</xdr:row>
      <xdr:rowOff>794</xdr:rowOff>
    </xdr:from>
    <xdr:to>
      <xdr:col>1</xdr:col>
      <xdr:colOff>10320</xdr:colOff>
      <xdr:row>22</xdr:row>
      <xdr:rowOff>19054</xdr:rowOff>
    </xdr:to>
    <xdr:cxnSp macro="">
      <xdr:nvCxnSpPr>
        <xdr:cNvPr id="9" name="Straight Connector 8"/>
        <xdr:cNvCxnSpPr/>
      </xdr:nvCxnSpPr>
      <xdr:spPr>
        <a:xfrm rot="5400000">
          <a:off x="-55880" y="5953125"/>
          <a:ext cx="398780" cy="6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20</xdr:row>
      <xdr:rowOff>9524</xdr:rowOff>
    </xdr:from>
    <xdr:to>
      <xdr:col>1</xdr:col>
      <xdr:colOff>609599</xdr:colOff>
      <xdr:row>21</xdr:row>
      <xdr:rowOff>171450</xdr:rowOff>
    </xdr:to>
    <xdr:cxnSp macro="">
      <xdr:nvCxnSpPr>
        <xdr:cNvPr id="10" name="Straight Connector 9"/>
        <xdr:cNvCxnSpPr/>
      </xdr:nvCxnSpPr>
      <xdr:spPr>
        <a:xfrm rot="16200000" flipH="1">
          <a:off x="556895" y="5938520"/>
          <a:ext cx="352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2</xdr:col>
      <xdr:colOff>9525</xdr:colOff>
      <xdr:row>21</xdr:row>
      <xdr:rowOff>9525</xdr:rowOff>
    </xdr:to>
    <xdr:cxnSp macro="">
      <xdr:nvCxnSpPr>
        <xdr:cNvPr id="11" name="Straight Arrow Connector 10"/>
        <xdr:cNvCxnSpPr/>
      </xdr:nvCxnSpPr>
      <xdr:spPr>
        <a:xfrm>
          <a:off x="133350" y="5943600"/>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28</xdr:row>
      <xdr:rowOff>9525</xdr:rowOff>
    </xdr:from>
    <xdr:to>
      <xdr:col>9</xdr:col>
      <xdr:colOff>19049</xdr:colOff>
      <xdr:row>30</xdr:row>
      <xdr:rowOff>142875</xdr:rowOff>
    </xdr:to>
    <xdr:cxnSp macro="">
      <xdr:nvCxnSpPr>
        <xdr:cNvPr id="12" name="Straight Connector 11"/>
        <xdr:cNvCxnSpPr/>
      </xdr:nvCxnSpPr>
      <xdr:spPr>
        <a:xfrm rot="16200000" flipH="1">
          <a:off x="4747895" y="7538720"/>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29</xdr:row>
      <xdr:rowOff>9525</xdr:rowOff>
    </xdr:from>
    <xdr:to>
      <xdr:col>9</xdr:col>
      <xdr:colOff>57150</xdr:colOff>
      <xdr:row>29</xdr:row>
      <xdr:rowOff>19050</xdr:rowOff>
    </xdr:to>
    <xdr:cxnSp macro="">
      <xdr:nvCxnSpPr>
        <xdr:cNvPr id="13" name="Straight Arrow Connector 12"/>
        <xdr:cNvCxnSpPr/>
      </xdr:nvCxnSpPr>
      <xdr:spPr>
        <a:xfrm flipV="1">
          <a:off x="3819525" y="7477125"/>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39</xdr:row>
      <xdr:rowOff>0</xdr:rowOff>
    </xdr:from>
    <xdr:to>
      <xdr:col>3</xdr:col>
      <xdr:colOff>600075</xdr:colOff>
      <xdr:row>44</xdr:row>
      <xdr:rowOff>9525</xdr:rowOff>
    </xdr:to>
    <xdr:cxnSp macro="">
      <xdr:nvCxnSpPr>
        <xdr:cNvPr id="14" name="Straight Connector 13"/>
        <xdr:cNvCxnSpPr/>
      </xdr:nvCxnSpPr>
      <xdr:spPr>
        <a:xfrm>
          <a:off x="733425" y="11668125"/>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39</xdr:row>
      <xdr:rowOff>9525</xdr:rowOff>
    </xdr:from>
    <xdr:to>
      <xdr:col>9</xdr:col>
      <xdr:colOff>0</xdr:colOff>
      <xdr:row>44</xdr:row>
      <xdr:rowOff>0</xdr:rowOff>
    </xdr:to>
    <xdr:cxnSp macro="">
      <xdr:nvCxnSpPr>
        <xdr:cNvPr id="15" name="Straight Connector 14"/>
        <xdr:cNvCxnSpPr/>
      </xdr:nvCxnSpPr>
      <xdr:spPr>
        <a:xfrm flipV="1">
          <a:off x="3781425" y="11677650"/>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39</xdr:row>
      <xdr:rowOff>0</xdr:rowOff>
    </xdr:from>
    <xdr:to>
      <xdr:col>5</xdr:col>
      <xdr:colOff>133350</xdr:colOff>
      <xdr:row>39</xdr:row>
      <xdr:rowOff>1588</xdr:rowOff>
    </xdr:to>
    <xdr:cxnSp macro="">
      <xdr:nvCxnSpPr>
        <xdr:cNvPr id="16" name="Straight Connector 15"/>
        <xdr:cNvCxnSpPr/>
      </xdr:nvCxnSpPr>
      <xdr:spPr>
        <a:xfrm>
          <a:off x="2390775" y="11668125"/>
          <a:ext cx="276225"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39</xdr:row>
      <xdr:rowOff>9524</xdr:rowOff>
    </xdr:from>
    <xdr:to>
      <xdr:col>5</xdr:col>
      <xdr:colOff>19050</xdr:colOff>
      <xdr:row>44</xdr:row>
      <xdr:rowOff>19049</xdr:rowOff>
    </xdr:to>
    <xdr:cxnSp macro="">
      <xdr:nvCxnSpPr>
        <xdr:cNvPr id="17" name="Straight Arrow Connector 16"/>
        <xdr:cNvCxnSpPr/>
      </xdr:nvCxnSpPr>
      <xdr:spPr>
        <a:xfrm rot="16200000" flipH="1">
          <a:off x="2066925" y="12153265"/>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44</xdr:row>
      <xdr:rowOff>19050</xdr:rowOff>
    </xdr:from>
    <xdr:to>
      <xdr:col>4</xdr:col>
      <xdr:colOff>19050</xdr:colOff>
      <xdr:row>46</xdr:row>
      <xdr:rowOff>95250</xdr:rowOff>
    </xdr:to>
    <xdr:cxnSp macro="">
      <xdr:nvCxnSpPr>
        <xdr:cNvPr id="18" name="Straight Connector 17"/>
        <xdr:cNvCxnSpPr/>
      </xdr:nvCxnSpPr>
      <xdr:spPr>
        <a:xfrm rot="16200000" flipH="1">
          <a:off x="1714500" y="12858750"/>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44</xdr:row>
      <xdr:rowOff>10319</xdr:rowOff>
    </xdr:from>
    <xdr:to>
      <xdr:col>7</xdr:col>
      <xdr:colOff>10319</xdr:colOff>
      <xdr:row>46</xdr:row>
      <xdr:rowOff>143669</xdr:rowOff>
    </xdr:to>
    <xdr:cxnSp macro="">
      <xdr:nvCxnSpPr>
        <xdr:cNvPr id="19" name="Straight Connector 18"/>
        <xdr:cNvCxnSpPr/>
      </xdr:nvCxnSpPr>
      <xdr:spPr>
        <a:xfrm rot="5400000">
          <a:off x="3543300" y="12887325"/>
          <a:ext cx="5143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45</xdr:row>
      <xdr:rowOff>0</xdr:rowOff>
    </xdr:from>
    <xdr:to>
      <xdr:col>7</xdr:col>
      <xdr:colOff>19050</xdr:colOff>
      <xdr:row>45</xdr:row>
      <xdr:rowOff>1588</xdr:rowOff>
    </xdr:to>
    <xdr:cxnSp macro="">
      <xdr:nvCxnSpPr>
        <xdr:cNvPr id="20" name="Straight Arrow Connector 19"/>
        <xdr:cNvCxnSpPr/>
      </xdr:nvCxnSpPr>
      <xdr:spPr>
        <a:xfrm>
          <a:off x="1943100" y="12811125"/>
          <a:ext cx="1866900" cy="127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36</xdr:row>
      <xdr:rowOff>9524</xdr:rowOff>
    </xdr:from>
    <xdr:to>
      <xdr:col>1</xdr:col>
      <xdr:colOff>609599</xdr:colOff>
      <xdr:row>37</xdr:row>
      <xdr:rowOff>171450</xdr:rowOff>
    </xdr:to>
    <xdr:cxnSp macro="">
      <xdr:nvCxnSpPr>
        <xdr:cNvPr id="21" name="Straight Connector 20"/>
        <xdr:cNvCxnSpPr/>
      </xdr:nvCxnSpPr>
      <xdr:spPr>
        <a:xfrm rot="16200000" flipH="1">
          <a:off x="556895" y="11282045"/>
          <a:ext cx="352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37</xdr:row>
      <xdr:rowOff>0</xdr:rowOff>
    </xdr:from>
    <xdr:to>
      <xdr:col>2</xdr:col>
      <xdr:colOff>9525</xdr:colOff>
      <xdr:row>37</xdr:row>
      <xdr:rowOff>9525</xdr:rowOff>
    </xdr:to>
    <xdr:cxnSp macro="">
      <xdr:nvCxnSpPr>
        <xdr:cNvPr id="22" name="Straight Arrow Connector 21"/>
        <xdr:cNvCxnSpPr/>
      </xdr:nvCxnSpPr>
      <xdr:spPr>
        <a:xfrm>
          <a:off x="133350" y="11287125"/>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44</xdr:row>
      <xdr:rowOff>9525</xdr:rowOff>
    </xdr:from>
    <xdr:to>
      <xdr:col>9</xdr:col>
      <xdr:colOff>19049</xdr:colOff>
      <xdr:row>46</xdr:row>
      <xdr:rowOff>142875</xdr:rowOff>
    </xdr:to>
    <xdr:cxnSp macro="">
      <xdr:nvCxnSpPr>
        <xdr:cNvPr id="23" name="Straight Connector 22"/>
        <xdr:cNvCxnSpPr/>
      </xdr:nvCxnSpPr>
      <xdr:spPr>
        <a:xfrm rot="16200000" flipH="1">
          <a:off x="4747895" y="12882245"/>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45</xdr:row>
      <xdr:rowOff>9525</xdr:rowOff>
    </xdr:from>
    <xdr:to>
      <xdr:col>9</xdr:col>
      <xdr:colOff>57150</xdr:colOff>
      <xdr:row>45</xdr:row>
      <xdr:rowOff>19050</xdr:rowOff>
    </xdr:to>
    <xdr:cxnSp macro="">
      <xdr:nvCxnSpPr>
        <xdr:cNvPr id="24" name="Straight Arrow Connector 23"/>
        <xdr:cNvCxnSpPr/>
      </xdr:nvCxnSpPr>
      <xdr:spPr>
        <a:xfrm flipV="1">
          <a:off x="3819525" y="12820650"/>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6</xdr:row>
      <xdr:rowOff>0</xdr:rowOff>
    </xdr:from>
    <xdr:to>
      <xdr:col>3</xdr:col>
      <xdr:colOff>600075</xdr:colOff>
      <xdr:row>11</xdr:row>
      <xdr:rowOff>9525</xdr:rowOff>
    </xdr:to>
    <xdr:cxnSp macro="">
      <xdr:nvCxnSpPr>
        <xdr:cNvPr id="25" name="Straight Connector 24"/>
        <xdr:cNvCxnSpPr/>
      </xdr:nvCxnSpPr>
      <xdr:spPr>
        <a:xfrm>
          <a:off x="733425" y="1933575"/>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6</xdr:row>
      <xdr:rowOff>9525</xdr:rowOff>
    </xdr:from>
    <xdr:to>
      <xdr:col>9</xdr:col>
      <xdr:colOff>0</xdr:colOff>
      <xdr:row>11</xdr:row>
      <xdr:rowOff>0</xdr:rowOff>
    </xdr:to>
    <xdr:cxnSp macro="">
      <xdr:nvCxnSpPr>
        <xdr:cNvPr id="26" name="Straight Connector 25"/>
        <xdr:cNvCxnSpPr/>
      </xdr:nvCxnSpPr>
      <xdr:spPr>
        <a:xfrm flipV="1">
          <a:off x="3781425" y="1943100"/>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6</xdr:row>
      <xdr:rowOff>0</xdr:rowOff>
    </xdr:from>
    <xdr:to>
      <xdr:col>5</xdr:col>
      <xdr:colOff>133350</xdr:colOff>
      <xdr:row>6</xdr:row>
      <xdr:rowOff>1588</xdr:rowOff>
    </xdr:to>
    <xdr:cxnSp macro="">
      <xdr:nvCxnSpPr>
        <xdr:cNvPr id="27" name="Straight Connector 26"/>
        <xdr:cNvCxnSpPr/>
      </xdr:nvCxnSpPr>
      <xdr:spPr>
        <a:xfrm>
          <a:off x="2390775" y="1933575"/>
          <a:ext cx="276225"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6</xdr:row>
      <xdr:rowOff>9524</xdr:rowOff>
    </xdr:from>
    <xdr:to>
      <xdr:col>5</xdr:col>
      <xdr:colOff>19050</xdr:colOff>
      <xdr:row>11</xdr:row>
      <xdr:rowOff>19049</xdr:rowOff>
    </xdr:to>
    <xdr:cxnSp macro="">
      <xdr:nvCxnSpPr>
        <xdr:cNvPr id="28" name="Straight Arrow Connector 27"/>
        <xdr:cNvCxnSpPr/>
      </xdr:nvCxnSpPr>
      <xdr:spPr>
        <a:xfrm rot="16200000" flipH="1">
          <a:off x="2066925" y="2418715"/>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xdr:row>
      <xdr:rowOff>19050</xdr:rowOff>
    </xdr:from>
    <xdr:to>
      <xdr:col>4</xdr:col>
      <xdr:colOff>19050</xdr:colOff>
      <xdr:row>13</xdr:row>
      <xdr:rowOff>95250</xdr:rowOff>
    </xdr:to>
    <xdr:cxnSp macro="">
      <xdr:nvCxnSpPr>
        <xdr:cNvPr id="29" name="Straight Connector 28"/>
        <xdr:cNvCxnSpPr/>
      </xdr:nvCxnSpPr>
      <xdr:spPr>
        <a:xfrm rot="16200000" flipH="1">
          <a:off x="1714500" y="3124200"/>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11</xdr:row>
      <xdr:rowOff>10319</xdr:rowOff>
    </xdr:from>
    <xdr:to>
      <xdr:col>7</xdr:col>
      <xdr:colOff>10319</xdr:colOff>
      <xdr:row>13</xdr:row>
      <xdr:rowOff>143669</xdr:rowOff>
    </xdr:to>
    <xdr:cxnSp macro="">
      <xdr:nvCxnSpPr>
        <xdr:cNvPr id="30" name="Straight Connector 29"/>
        <xdr:cNvCxnSpPr/>
      </xdr:nvCxnSpPr>
      <xdr:spPr>
        <a:xfrm rot="5400000">
          <a:off x="3543300" y="3152775"/>
          <a:ext cx="5143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xdr:row>
      <xdr:rowOff>0</xdr:rowOff>
    </xdr:from>
    <xdr:to>
      <xdr:col>7</xdr:col>
      <xdr:colOff>19050</xdr:colOff>
      <xdr:row>12</xdr:row>
      <xdr:rowOff>1588</xdr:rowOff>
    </xdr:to>
    <xdr:cxnSp macro="">
      <xdr:nvCxnSpPr>
        <xdr:cNvPr id="31" name="Straight Arrow Connector 30"/>
        <xdr:cNvCxnSpPr/>
      </xdr:nvCxnSpPr>
      <xdr:spPr>
        <a:xfrm>
          <a:off x="1943100" y="3076575"/>
          <a:ext cx="1866900" cy="127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3</xdr:row>
      <xdr:rowOff>794</xdr:rowOff>
    </xdr:from>
    <xdr:to>
      <xdr:col>1</xdr:col>
      <xdr:colOff>10320</xdr:colOff>
      <xdr:row>5</xdr:row>
      <xdr:rowOff>19054</xdr:rowOff>
    </xdr:to>
    <xdr:cxnSp macro="">
      <xdr:nvCxnSpPr>
        <xdr:cNvPr id="32" name="Straight Connector 31"/>
        <xdr:cNvCxnSpPr/>
      </xdr:nvCxnSpPr>
      <xdr:spPr>
        <a:xfrm rot="5400000">
          <a:off x="-55880" y="1562100"/>
          <a:ext cx="398780" cy="6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3</xdr:row>
      <xdr:rowOff>9524</xdr:rowOff>
    </xdr:from>
    <xdr:to>
      <xdr:col>1</xdr:col>
      <xdr:colOff>609599</xdr:colOff>
      <xdr:row>4</xdr:row>
      <xdr:rowOff>171450</xdr:rowOff>
    </xdr:to>
    <xdr:cxnSp macro="">
      <xdr:nvCxnSpPr>
        <xdr:cNvPr id="33" name="Straight Connector 32"/>
        <xdr:cNvCxnSpPr/>
      </xdr:nvCxnSpPr>
      <xdr:spPr>
        <a:xfrm rot="16200000" flipH="1">
          <a:off x="556895" y="1547495"/>
          <a:ext cx="352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xdr:row>
      <xdr:rowOff>0</xdr:rowOff>
    </xdr:from>
    <xdr:to>
      <xdr:col>2</xdr:col>
      <xdr:colOff>9525</xdr:colOff>
      <xdr:row>4</xdr:row>
      <xdr:rowOff>9525</xdr:rowOff>
    </xdr:to>
    <xdr:cxnSp macro="">
      <xdr:nvCxnSpPr>
        <xdr:cNvPr id="34" name="Straight Arrow Connector 33"/>
        <xdr:cNvCxnSpPr/>
      </xdr:nvCxnSpPr>
      <xdr:spPr>
        <a:xfrm>
          <a:off x="133350" y="1552575"/>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11</xdr:row>
      <xdr:rowOff>9525</xdr:rowOff>
    </xdr:from>
    <xdr:to>
      <xdr:col>9</xdr:col>
      <xdr:colOff>19049</xdr:colOff>
      <xdr:row>13</xdr:row>
      <xdr:rowOff>142875</xdr:rowOff>
    </xdr:to>
    <xdr:cxnSp macro="">
      <xdr:nvCxnSpPr>
        <xdr:cNvPr id="35" name="Straight Connector 34"/>
        <xdr:cNvCxnSpPr/>
      </xdr:nvCxnSpPr>
      <xdr:spPr>
        <a:xfrm rot="16200000" flipH="1">
          <a:off x="4747895" y="3147695"/>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12</xdr:row>
      <xdr:rowOff>9525</xdr:rowOff>
    </xdr:from>
    <xdr:to>
      <xdr:col>9</xdr:col>
      <xdr:colOff>57150</xdr:colOff>
      <xdr:row>12</xdr:row>
      <xdr:rowOff>19050</xdr:rowOff>
    </xdr:to>
    <xdr:cxnSp macro="">
      <xdr:nvCxnSpPr>
        <xdr:cNvPr id="36" name="Straight Arrow Connector 35"/>
        <xdr:cNvCxnSpPr/>
      </xdr:nvCxnSpPr>
      <xdr:spPr>
        <a:xfrm flipV="1">
          <a:off x="3819525" y="3086100"/>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76</xdr:row>
      <xdr:rowOff>0</xdr:rowOff>
    </xdr:from>
    <xdr:to>
      <xdr:col>3</xdr:col>
      <xdr:colOff>600075</xdr:colOff>
      <xdr:row>81</xdr:row>
      <xdr:rowOff>9525</xdr:rowOff>
    </xdr:to>
    <xdr:cxnSp macro="">
      <xdr:nvCxnSpPr>
        <xdr:cNvPr id="37" name="Straight Connector 36"/>
        <xdr:cNvCxnSpPr/>
      </xdr:nvCxnSpPr>
      <xdr:spPr>
        <a:xfrm>
          <a:off x="733425" y="4800600"/>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76</xdr:row>
      <xdr:rowOff>9525</xdr:rowOff>
    </xdr:from>
    <xdr:to>
      <xdr:col>9</xdr:col>
      <xdr:colOff>0</xdr:colOff>
      <xdr:row>81</xdr:row>
      <xdr:rowOff>0</xdr:rowOff>
    </xdr:to>
    <xdr:cxnSp macro="">
      <xdr:nvCxnSpPr>
        <xdr:cNvPr id="38" name="Straight Connector 37"/>
        <xdr:cNvCxnSpPr/>
      </xdr:nvCxnSpPr>
      <xdr:spPr>
        <a:xfrm flipV="1">
          <a:off x="3781425" y="4810125"/>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76</xdr:row>
      <xdr:rowOff>0</xdr:rowOff>
    </xdr:from>
    <xdr:to>
      <xdr:col>5</xdr:col>
      <xdr:colOff>133350</xdr:colOff>
      <xdr:row>76</xdr:row>
      <xdr:rowOff>1588</xdr:rowOff>
    </xdr:to>
    <xdr:cxnSp macro="">
      <xdr:nvCxnSpPr>
        <xdr:cNvPr id="39" name="Straight Connector 38"/>
        <xdr:cNvCxnSpPr/>
      </xdr:nvCxnSpPr>
      <xdr:spPr>
        <a:xfrm>
          <a:off x="2390775" y="4800600"/>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76</xdr:row>
      <xdr:rowOff>9524</xdr:rowOff>
    </xdr:from>
    <xdr:to>
      <xdr:col>5</xdr:col>
      <xdr:colOff>19050</xdr:colOff>
      <xdr:row>81</xdr:row>
      <xdr:rowOff>19049</xdr:rowOff>
    </xdr:to>
    <xdr:cxnSp macro="">
      <xdr:nvCxnSpPr>
        <xdr:cNvPr id="40" name="Straight Arrow Connector 39"/>
        <xdr:cNvCxnSpPr/>
      </xdr:nvCxnSpPr>
      <xdr:spPr>
        <a:xfrm rot="16200000" flipH="1">
          <a:off x="2066925" y="5286374"/>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81</xdr:row>
      <xdr:rowOff>19050</xdr:rowOff>
    </xdr:from>
    <xdr:to>
      <xdr:col>4</xdr:col>
      <xdr:colOff>19050</xdr:colOff>
      <xdr:row>83</xdr:row>
      <xdr:rowOff>95250</xdr:rowOff>
    </xdr:to>
    <xdr:cxnSp macro="">
      <xdr:nvCxnSpPr>
        <xdr:cNvPr id="41" name="Straight Connector 40"/>
        <xdr:cNvCxnSpPr/>
      </xdr:nvCxnSpPr>
      <xdr:spPr>
        <a:xfrm rot="16200000" flipH="1">
          <a:off x="1714500" y="5991225"/>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81</xdr:row>
      <xdr:rowOff>10319</xdr:rowOff>
    </xdr:from>
    <xdr:to>
      <xdr:col>7</xdr:col>
      <xdr:colOff>10319</xdr:colOff>
      <xdr:row>83</xdr:row>
      <xdr:rowOff>143669</xdr:rowOff>
    </xdr:to>
    <xdr:cxnSp macro="">
      <xdr:nvCxnSpPr>
        <xdr:cNvPr id="42" name="Straight Connector 41"/>
        <xdr:cNvCxnSpPr/>
      </xdr:nvCxnSpPr>
      <xdr:spPr>
        <a:xfrm rot="5400000">
          <a:off x="3543300" y="6019800"/>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82</xdr:row>
      <xdr:rowOff>0</xdr:rowOff>
    </xdr:from>
    <xdr:to>
      <xdr:col>7</xdr:col>
      <xdr:colOff>19050</xdr:colOff>
      <xdr:row>82</xdr:row>
      <xdr:rowOff>1588</xdr:rowOff>
    </xdr:to>
    <xdr:cxnSp macro="">
      <xdr:nvCxnSpPr>
        <xdr:cNvPr id="43" name="Straight Arrow Connector 42"/>
        <xdr:cNvCxnSpPr/>
      </xdr:nvCxnSpPr>
      <xdr:spPr>
        <a:xfrm>
          <a:off x="1943100" y="5943600"/>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73</xdr:row>
      <xdr:rowOff>9524</xdr:rowOff>
    </xdr:from>
    <xdr:to>
      <xdr:col>1</xdr:col>
      <xdr:colOff>609599</xdr:colOff>
      <xdr:row>74</xdr:row>
      <xdr:rowOff>171450</xdr:rowOff>
    </xdr:to>
    <xdr:cxnSp macro="">
      <xdr:nvCxnSpPr>
        <xdr:cNvPr id="44" name="Straight Connector 43"/>
        <xdr:cNvCxnSpPr/>
      </xdr:nvCxnSpPr>
      <xdr:spPr>
        <a:xfrm rot="16200000" flipH="1">
          <a:off x="557211" y="4414836"/>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2</xdr:col>
      <xdr:colOff>9525</xdr:colOff>
      <xdr:row>74</xdr:row>
      <xdr:rowOff>9525</xdr:rowOff>
    </xdr:to>
    <xdr:cxnSp macro="">
      <xdr:nvCxnSpPr>
        <xdr:cNvPr id="45" name="Straight Arrow Connector 44"/>
        <xdr:cNvCxnSpPr/>
      </xdr:nvCxnSpPr>
      <xdr:spPr>
        <a:xfrm>
          <a:off x="133350" y="4419600"/>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81</xdr:row>
      <xdr:rowOff>9525</xdr:rowOff>
    </xdr:from>
    <xdr:to>
      <xdr:col>9</xdr:col>
      <xdr:colOff>19049</xdr:colOff>
      <xdr:row>83</xdr:row>
      <xdr:rowOff>142875</xdr:rowOff>
    </xdr:to>
    <xdr:cxnSp macro="">
      <xdr:nvCxnSpPr>
        <xdr:cNvPr id="46" name="Straight Connector 45"/>
        <xdr:cNvCxnSpPr/>
      </xdr:nvCxnSpPr>
      <xdr:spPr>
        <a:xfrm rot="16200000" flipH="1">
          <a:off x="4748212" y="6015037"/>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82</xdr:row>
      <xdr:rowOff>9525</xdr:rowOff>
    </xdr:from>
    <xdr:to>
      <xdr:col>9</xdr:col>
      <xdr:colOff>57150</xdr:colOff>
      <xdr:row>82</xdr:row>
      <xdr:rowOff>19050</xdr:rowOff>
    </xdr:to>
    <xdr:cxnSp macro="">
      <xdr:nvCxnSpPr>
        <xdr:cNvPr id="47" name="Straight Arrow Connector 46"/>
        <xdr:cNvCxnSpPr/>
      </xdr:nvCxnSpPr>
      <xdr:spPr>
        <a:xfrm flipV="1">
          <a:off x="3819525" y="5953125"/>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92</xdr:row>
      <xdr:rowOff>0</xdr:rowOff>
    </xdr:from>
    <xdr:to>
      <xdr:col>3</xdr:col>
      <xdr:colOff>600075</xdr:colOff>
      <xdr:row>97</xdr:row>
      <xdr:rowOff>9525</xdr:rowOff>
    </xdr:to>
    <xdr:cxnSp macro="">
      <xdr:nvCxnSpPr>
        <xdr:cNvPr id="48" name="Straight Connector 47"/>
        <xdr:cNvCxnSpPr/>
      </xdr:nvCxnSpPr>
      <xdr:spPr>
        <a:xfrm>
          <a:off x="733425" y="7858125"/>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92</xdr:row>
      <xdr:rowOff>9525</xdr:rowOff>
    </xdr:from>
    <xdr:to>
      <xdr:col>9</xdr:col>
      <xdr:colOff>0</xdr:colOff>
      <xdr:row>97</xdr:row>
      <xdr:rowOff>0</xdr:rowOff>
    </xdr:to>
    <xdr:cxnSp macro="">
      <xdr:nvCxnSpPr>
        <xdr:cNvPr id="49" name="Straight Connector 48"/>
        <xdr:cNvCxnSpPr/>
      </xdr:nvCxnSpPr>
      <xdr:spPr>
        <a:xfrm flipV="1">
          <a:off x="3781425" y="7867650"/>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92</xdr:row>
      <xdr:rowOff>0</xdr:rowOff>
    </xdr:from>
    <xdr:to>
      <xdr:col>5</xdr:col>
      <xdr:colOff>133350</xdr:colOff>
      <xdr:row>92</xdr:row>
      <xdr:rowOff>1588</xdr:rowOff>
    </xdr:to>
    <xdr:cxnSp macro="">
      <xdr:nvCxnSpPr>
        <xdr:cNvPr id="50" name="Straight Connector 49"/>
        <xdr:cNvCxnSpPr/>
      </xdr:nvCxnSpPr>
      <xdr:spPr>
        <a:xfrm>
          <a:off x="2390775" y="7858125"/>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92</xdr:row>
      <xdr:rowOff>9524</xdr:rowOff>
    </xdr:from>
    <xdr:to>
      <xdr:col>5</xdr:col>
      <xdr:colOff>19050</xdr:colOff>
      <xdr:row>97</xdr:row>
      <xdr:rowOff>19049</xdr:rowOff>
    </xdr:to>
    <xdr:cxnSp macro="">
      <xdr:nvCxnSpPr>
        <xdr:cNvPr id="51" name="Straight Arrow Connector 50"/>
        <xdr:cNvCxnSpPr/>
      </xdr:nvCxnSpPr>
      <xdr:spPr>
        <a:xfrm rot="16200000" flipH="1">
          <a:off x="2066925" y="8343899"/>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19050</xdr:rowOff>
    </xdr:from>
    <xdr:to>
      <xdr:col>4</xdr:col>
      <xdr:colOff>19050</xdr:colOff>
      <xdr:row>99</xdr:row>
      <xdr:rowOff>95250</xdr:rowOff>
    </xdr:to>
    <xdr:cxnSp macro="">
      <xdr:nvCxnSpPr>
        <xdr:cNvPr id="52" name="Straight Connector 51"/>
        <xdr:cNvCxnSpPr/>
      </xdr:nvCxnSpPr>
      <xdr:spPr>
        <a:xfrm rot="16200000" flipH="1">
          <a:off x="1714500" y="9048750"/>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97</xdr:row>
      <xdr:rowOff>10319</xdr:rowOff>
    </xdr:from>
    <xdr:to>
      <xdr:col>7</xdr:col>
      <xdr:colOff>10319</xdr:colOff>
      <xdr:row>99</xdr:row>
      <xdr:rowOff>143669</xdr:rowOff>
    </xdr:to>
    <xdr:cxnSp macro="">
      <xdr:nvCxnSpPr>
        <xdr:cNvPr id="53" name="Straight Connector 52"/>
        <xdr:cNvCxnSpPr/>
      </xdr:nvCxnSpPr>
      <xdr:spPr>
        <a:xfrm rot="5400000">
          <a:off x="3543300" y="9077325"/>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98</xdr:row>
      <xdr:rowOff>0</xdr:rowOff>
    </xdr:from>
    <xdr:to>
      <xdr:col>7</xdr:col>
      <xdr:colOff>19050</xdr:colOff>
      <xdr:row>98</xdr:row>
      <xdr:rowOff>1588</xdr:rowOff>
    </xdr:to>
    <xdr:cxnSp macro="">
      <xdr:nvCxnSpPr>
        <xdr:cNvPr id="54" name="Straight Arrow Connector 53"/>
        <xdr:cNvCxnSpPr/>
      </xdr:nvCxnSpPr>
      <xdr:spPr>
        <a:xfrm>
          <a:off x="1943100" y="9001125"/>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89</xdr:row>
      <xdr:rowOff>9524</xdr:rowOff>
    </xdr:from>
    <xdr:to>
      <xdr:col>1</xdr:col>
      <xdr:colOff>609599</xdr:colOff>
      <xdr:row>90</xdr:row>
      <xdr:rowOff>171450</xdr:rowOff>
    </xdr:to>
    <xdr:cxnSp macro="">
      <xdr:nvCxnSpPr>
        <xdr:cNvPr id="55" name="Straight Connector 54"/>
        <xdr:cNvCxnSpPr/>
      </xdr:nvCxnSpPr>
      <xdr:spPr>
        <a:xfrm rot="16200000" flipH="1">
          <a:off x="557211" y="7472361"/>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90</xdr:row>
      <xdr:rowOff>0</xdr:rowOff>
    </xdr:from>
    <xdr:to>
      <xdr:col>2</xdr:col>
      <xdr:colOff>9525</xdr:colOff>
      <xdr:row>90</xdr:row>
      <xdr:rowOff>9525</xdr:rowOff>
    </xdr:to>
    <xdr:cxnSp macro="">
      <xdr:nvCxnSpPr>
        <xdr:cNvPr id="56" name="Straight Arrow Connector 55"/>
        <xdr:cNvCxnSpPr/>
      </xdr:nvCxnSpPr>
      <xdr:spPr>
        <a:xfrm>
          <a:off x="133350" y="7477125"/>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97</xdr:row>
      <xdr:rowOff>9525</xdr:rowOff>
    </xdr:from>
    <xdr:to>
      <xdr:col>9</xdr:col>
      <xdr:colOff>19049</xdr:colOff>
      <xdr:row>99</xdr:row>
      <xdr:rowOff>142875</xdr:rowOff>
    </xdr:to>
    <xdr:cxnSp macro="">
      <xdr:nvCxnSpPr>
        <xdr:cNvPr id="57" name="Straight Connector 56"/>
        <xdr:cNvCxnSpPr/>
      </xdr:nvCxnSpPr>
      <xdr:spPr>
        <a:xfrm rot="16200000" flipH="1">
          <a:off x="4748212" y="9072562"/>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98</xdr:row>
      <xdr:rowOff>9525</xdr:rowOff>
    </xdr:from>
    <xdr:to>
      <xdr:col>9</xdr:col>
      <xdr:colOff>57150</xdr:colOff>
      <xdr:row>98</xdr:row>
      <xdr:rowOff>19050</xdr:rowOff>
    </xdr:to>
    <xdr:cxnSp macro="">
      <xdr:nvCxnSpPr>
        <xdr:cNvPr id="58" name="Straight Arrow Connector 57"/>
        <xdr:cNvCxnSpPr/>
      </xdr:nvCxnSpPr>
      <xdr:spPr>
        <a:xfrm flipV="1">
          <a:off x="3819525" y="9010650"/>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59</xdr:row>
      <xdr:rowOff>0</xdr:rowOff>
    </xdr:from>
    <xdr:to>
      <xdr:col>3</xdr:col>
      <xdr:colOff>600075</xdr:colOff>
      <xdr:row>64</xdr:row>
      <xdr:rowOff>9525</xdr:rowOff>
    </xdr:to>
    <xdr:cxnSp macro="">
      <xdr:nvCxnSpPr>
        <xdr:cNvPr id="59" name="Straight Connector 58"/>
        <xdr:cNvCxnSpPr/>
      </xdr:nvCxnSpPr>
      <xdr:spPr>
        <a:xfrm>
          <a:off x="733425" y="1552575"/>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59</xdr:row>
      <xdr:rowOff>9525</xdr:rowOff>
    </xdr:from>
    <xdr:to>
      <xdr:col>9</xdr:col>
      <xdr:colOff>0</xdr:colOff>
      <xdr:row>64</xdr:row>
      <xdr:rowOff>0</xdr:rowOff>
    </xdr:to>
    <xdr:cxnSp macro="">
      <xdr:nvCxnSpPr>
        <xdr:cNvPr id="60" name="Straight Connector 59"/>
        <xdr:cNvCxnSpPr/>
      </xdr:nvCxnSpPr>
      <xdr:spPr>
        <a:xfrm flipV="1">
          <a:off x="3781425" y="1562100"/>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59</xdr:row>
      <xdr:rowOff>0</xdr:rowOff>
    </xdr:from>
    <xdr:to>
      <xdr:col>5</xdr:col>
      <xdr:colOff>133350</xdr:colOff>
      <xdr:row>59</xdr:row>
      <xdr:rowOff>1588</xdr:rowOff>
    </xdr:to>
    <xdr:cxnSp macro="">
      <xdr:nvCxnSpPr>
        <xdr:cNvPr id="61" name="Straight Connector 60"/>
        <xdr:cNvCxnSpPr/>
      </xdr:nvCxnSpPr>
      <xdr:spPr>
        <a:xfrm>
          <a:off x="2390775" y="1552575"/>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59</xdr:row>
      <xdr:rowOff>9524</xdr:rowOff>
    </xdr:from>
    <xdr:to>
      <xdr:col>5</xdr:col>
      <xdr:colOff>19050</xdr:colOff>
      <xdr:row>64</xdr:row>
      <xdr:rowOff>19049</xdr:rowOff>
    </xdr:to>
    <xdr:cxnSp macro="">
      <xdr:nvCxnSpPr>
        <xdr:cNvPr id="62" name="Straight Arrow Connector 61"/>
        <xdr:cNvCxnSpPr/>
      </xdr:nvCxnSpPr>
      <xdr:spPr>
        <a:xfrm rot="16200000" flipH="1">
          <a:off x="2066925" y="2038349"/>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19050</xdr:rowOff>
    </xdr:from>
    <xdr:to>
      <xdr:col>4</xdr:col>
      <xdr:colOff>19050</xdr:colOff>
      <xdr:row>66</xdr:row>
      <xdr:rowOff>95250</xdr:rowOff>
    </xdr:to>
    <xdr:cxnSp macro="">
      <xdr:nvCxnSpPr>
        <xdr:cNvPr id="63" name="Straight Connector 62"/>
        <xdr:cNvCxnSpPr/>
      </xdr:nvCxnSpPr>
      <xdr:spPr>
        <a:xfrm rot="16200000" flipH="1">
          <a:off x="1714500" y="2743200"/>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64</xdr:row>
      <xdr:rowOff>10319</xdr:rowOff>
    </xdr:from>
    <xdr:to>
      <xdr:col>7</xdr:col>
      <xdr:colOff>10319</xdr:colOff>
      <xdr:row>66</xdr:row>
      <xdr:rowOff>143669</xdr:rowOff>
    </xdr:to>
    <xdr:cxnSp macro="">
      <xdr:nvCxnSpPr>
        <xdr:cNvPr id="64" name="Straight Connector 63"/>
        <xdr:cNvCxnSpPr/>
      </xdr:nvCxnSpPr>
      <xdr:spPr>
        <a:xfrm rot="5400000">
          <a:off x="3543300" y="2771775"/>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65</xdr:row>
      <xdr:rowOff>0</xdr:rowOff>
    </xdr:from>
    <xdr:to>
      <xdr:col>7</xdr:col>
      <xdr:colOff>19050</xdr:colOff>
      <xdr:row>65</xdr:row>
      <xdr:rowOff>1588</xdr:rowOff>
    </xdr:to>
    <xdr:cxnSp macro="">
      <xdr:nvCxnSpPr>
        <xdr:cNvPr id="65" name="Straight Arrow Connector 64"/>
        <xdr:cNvCxnSpPr/>
      </xdr:nvCxnSpPr>
      <xdr:spPr>
        <a:xfrm>
          <a:off x="1943100" y="2695575"/>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56</xdr:row>
      <xdr:rowOff>9524</xdr:rowOff>
    </xdr:from>
    <xdr:to>
      <xdr:col>1</xdr:col>
      <xdr:colOff>609599</xdr:colOff>
      <xdr:row>57</xdr:row>
      <xdr:rowOff>171450</xdr:rowOff>
    </xdr:to>
    <xdr:cxnSp macro="">
      <xdr:nvCxnSpPr>
        <xdr:cNvPr id="66" name="Straight Connector 65"/>
        <xdr:cNvCxnSpPr/>
      </xdr:nvCxnSpPr>
      <xdr:spPr>
        <a:xfrm rot="16200000" flipH="1">
          <a:off x="557211" y="1166811"/>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57</xdr:row>
      <xdr:rowOff>0</xdr:rowOff>
    </xdr:from>
    <xdr:to>
      <xdr:col>2</xdr:col>
      <xdr:colOff>9525</xdr:colOff>
      <xdr:row>57</xdr:row>
      <xdr:rowOff>9525</xdr:rowOff>
    </xdr:to>
    <xdr:cxnSp macro="">
      <xdr:nvCxnSpPr>
        <xdr:cNvPr id="67" name="Straight Arrow Connector 66"/>
        <xdr:cNvCxnSpPr/>
      </xdr:nvCxnSpPr>
      <xdr:spPr>
        <a:xfrm>
          <a:off x="133350" y="1171575"/>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64</xdr:row>
      <xdr:rowOff>9525</xdr:rowOff>
    </xdr:from>
    <xdr:to>
      <xdr:col>9</xdr:col>
      <xdr:colOff>19049</xdr:colOff>
      <xdr:row>66</xdr:row>
      <xdr:rowOff>142875</xdr:rowOff>
    </xdr:to>
    <xdr:cxnSp macro="">
      <xdr:nvCxnSpPr>
        <xdr:cNvPr id="68" name="Straight Connector 67"/>
        <xdr:cNvCxnSpPr/>
      </xdr:nvCxnSpPr>
      <xdr:spPr>
        <a:xfrm rot="16200000" flipH="1">
          <a:off x="4748212" y="2767012"/>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65</xdr:row>
      <xdr:rowOff>9525</xdr:rowOff>
    </xdr:from>
    <xdr:to>
      <xdr:col>9</xdr:col>
      <xdr:colOff>57150</xdr:colOff>
      <xdr:row>65</xdr:row>
      <xdr:rowOff>19050</xdr:rowOff>
    </xdr:to>
    <xdr:cxnSp macro="">
      <xdr:nvCxnSpPr>
        <xdr:cNvPr id="69" name="Straight Arrow Connector 68"/>
        <xdr:cNvCxnSpPr/>
      </xdr:nvCxnSpPr>
      <xdr:spPr>
        <a:xfrm flipV="1">
          <a:off x="3819525" y="2705100"/>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115</xdr:row>
      <xdr:rowOff>0</xdr:rowOff>
    </xdr:from>
    <xdr:to>
      <xdr:col>3</xdr:col>
      <xdr:colOff>600075</xdr:colOff>
      <xdr:row>120</xdr:row>
      <xdr:rowOff>9525</xdr:rowOff>
    </xdr:to>
    <xdr:cxnSp macro="">
      <xdr:nvCxnSpPr>
        <xdr:cNvPr id="70" name="Straight Connector 69"/>
        <xdr:cNvCxnSpPr/>
      </xdr:nvCxnSpPr>
      <xdr:spPr>
        <a:xfrm>
          <a:off x="733425" y="17792700"/>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115</xdr:row>
      <xdr:rowOff>9525</xdr:rowOff>
    </xdr:from>
    <xdr:to>
      <xdr:col>9</xdr:col>
      <xdr:colOff>0</xdr:colOff>
      <xdr:row>120</xdr:row>
      <xdr:rowOff>0</xdr:rowOff>
    </xdr:to>
    <xdr:cxnSp macro="">
      <xdr:nvCxnSpPr>
        <xdr:cNvPr id="71" name="Straight Connector 70"/>
        <xdr:cNvCxnSpPr/>
      </xdr:nvCxnSpPr>
      <xdr:spPr>
        <a:xfrm flipV="1">
          <a:off x="3781425" y="17802225"/>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115</xdr:row>
      <xdr:rowOff>0</xdr:rowOff>
    </xdr:from>
    <xdr:to>
      <xdr:col>5</xdr:col>
      <xdr:colOff>133350</xdr:colOff>
      <xdr:row>115</xdr:row>
      <xdr:rowOff>1588</xdr:rowOff>
    </xdr:to>
    <xdr:cxnSp macro="">
      <xdr:nvCxnSpPr>
        <xdr:cNvPr id="72" name="Straight Connector 71"/>
        <xdr:cNvCxnSpPr/>
      </xdr:nvCxnSpPr>
      <xdr:spPr>
        <a:xfrm>
          <a:off x="2390775" y="17792700"/>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115</xdr:row>
      <xdr:rowOff>9524</xdr:rowOff>
    </xdr:from>
    <xdr:to>
      <xdr:col>5</xdr:col>
      <xdr:colOff>19050</xdr:colOff>
      <xdr:row>120</xdr:row>
      <xdr:rowOff>19049</xdr:rowOff>
    </xdr:to>
    <xdr:cxnSp macro="">
      <xdr:nvCxnSpPr>
        <xdr:cNvPr id="73" name="Straight Arrow Connector 72"/>
        <xdr:cNvCxnSpPr/>
      </xdr:nvCxnSpPr>
      <xdr:spPr>
        <a:xfrm rot="16200000" flipH="1">
          <a:off x="2066925" y="18278474"/>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120</xdr:row>
      <xdr:rowOff>19050</xdr:rowOff>
    </xdr:from>
    <xdr:to>
      <xdr:col>4</xdr:col>
      <xdr:colOff>19050</xdr:colOff>
      <xdr:row>122</xdr:row>
      <xdr:rowOff>95250</xdr:rowOff>
    </xdr:to>
    <xdr:cxnSp macro="">
      <xdr:nvCxnSpPr>
        <xdr:cNvPr id="74" name="Straight Connector 73"/>
        <xdr:cNvCxnSpPr/>
      </xdr:nvCxnSpPr>
      <xdr:spPr>
        <a:xfrm rot="16200000" flipH="1">
          <a:off x="1714500" y="18983325"/>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120</xdr:row>
      <xdr:rowOff>10319</xdr:rowOff>
    </xdr:from>
    <xdr:to>
      <xdr:col>7</xdr:col>
      <xdr:colOff>10319</xdr:colOff>
      <xdr:row>122</xdr:row>
      <xdr:rowOff>143669</xdr:rowOff>
    </xdr:to>
    <xdr:cxnSp macro="">
      <xdr:nvCxnSpPr>
        <xdr:cNvPr id="75" name="Straight Connector 74"/>
        <xdr:cNvCxnSpPr/>
      </xdr:nvCxnSpPr>
      <xdr:spPr>
        <a:xfrm rot="5400000">
          <a:off x="3543300" y="19011900"/>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121</xdr:row>
      <xdr:rowOff>0</xdr:rowOff>
    </xdr:from>
    <xdr:to>
      <xdr:col>7</xdr:col>
      <xdr:colOff>19050</xdr:colOff>
      <xdr:row>121</xdr:row>
      <xdr:rowOff>1588</xdr:rowOff>
    </xdr:to>
    <xdr:cxnSp macro="">
      <xdr:nvCxnSpPr>
        <xdr:cNvPr id="76" name="Straight Arrow Connector 75"/>
        <xdr:cNvCxnSpPr/>
      </xdr:nvCxnSpPr>
      <xdr:spPr>
        <a:xfrm>
          <a:off x="1943100" y="18935700"/>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112</xdr:row>
      <xdr:rowOff>9524</xdr:rowOff>
    </xdr:from>
    <xdr:to>
      <xdr:col>1</xdr:col>
      <xdr:colOff>609599</xdr:colOff>
      <xdr:row>113</xdr:row>
      <xdr:rowOff>171450</xdr:rowOff>
    </xdr:to>
    <xdr:cxnSp macro="">
      <xdr:nvCxnSpPr>
        <xdr:cNvPr id="77" name="Straight Connector 76"/>
        <xdr:cNvCxnSpPr/>
      </xdr:nvCxnSpPr>
      <xdr:spPr>
        <a:xfrm rot="16200000" flipH="1">
          <a:off x="557211" y="17406936"/>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113</xdr:row>
      <xdr:rowOff>0</xdr:rowOff>
    </xdr:from>
    <xdr:to>
      <xdr:col>2</xdr:col>
      <xdr:colOff>9525</xdr:colOff>
      <xdr:row>113</xdr:row>
      <xdr:rowOff>9525</xdr:rowOff>
    </xdr:to>
    <xdr:cxnSp macro="">
      <xdr:nvCxnSpPr>
        <xdr:cNvPr id="78" name="Straight Arrow Connector 77"/>
        <xdr:cNvCxnSpPr/>
      </xdr:nvCxnSpPr>
      <xdr:spPr>
        <a:xfrm>
          <a:off x="133350" y="17411700"/>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120</xdr:row>
      <xdr:rowOff>9525</xdr:rowOff>
    </xdr:from>
    <xdr:to>
      <xdr:col>9</xdr:col>
      <xdr:colOff>19049</xdr:colOff>
      <xdr:row>122</xdr:row>
      <xdr:rowOff>142875</xdr:rowOff>
    </xdr:to>
    <xdr:cxnSp macro="">
      <xdr:nvCxnSpPr>
        <xdr:cNvPr id="79" name="Straight Connector 78"/>
        <xdr:cNvCxnSpPr/>
      </xdr:nvCxnSpPr>
      <xdr:spPr>
        <a:xfrm rot="16200000" flipH="1">
          <a:off x="4748212" y="19007137"/>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121</xdr:row>
      <xdr:rowOff>9525</xdr:rowOff>
    </xdr:from>
    <xdr:to>
      <xdr:col>9</xdr:col>
      <xdr:colOff>57150</xdr:colOff>
      <xdr:row>121</xdr:row>
      <xdr:rowOff>19050</xdr:rowOff>
    </xdr:to>
    <xdr:cxnSp macro="">
      <xdr:nvCxnSpPr>
        <xdr:cNvPr id="80" name="Straight Arrow Connector 79"/>
        <xdr:cNvCxnSpPr/>
      </xdr:nvCxnSpPr>
      <xdr:spPr>
        <a:xfrm flipV="1">
          <a:off x="3819525" y="18945225"/>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23</xdr:row>
      <xdr:rowOff>0</xdr:rowOff>
    </xdr:from>
    <xdr:to>
      <xdr:col>3</xdr:col>
      <xdr:colOff>600075</xdr:colOff>
      <xdr:row>28</xdr:row>
      <xdr:rowOff>9525</xdr:rowOff>
    </xdr:to>
    <xdr:cxnSp macro="">
      <xdr:nvCxnSpPr>
        <xdr:cNvPr id="2" name="Straight Connector 1"/>
        <xdr:cNvCxnSpPr/>
      </xdr:nvCxnSpPr>
      <xdr:spPr>
        <a:xfrm>
          <a:off x="733425" y="4800600"/>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23</xdr:row>
      <xdr:rowOff>9525</xdr:rowOff>
    </xdr:from>
    <xdr:to>
      <xdr:col>9</xdr:col>
      <xdr:colOff>0</xdr:colOff>
      <xdr:row>28</xdr:row>
      <xdr:rowOff>0</xdr:rowOff>
    </xdr:to>
    <xdr:cxnSp macro="">
      <xdr:nvCxnSpPr>
        <xdr:cNvPr id="3" name="Straight Connector 2"/>
        <xdr:cNvCxnSpPr/>
      </xdr:nvCxnSpPr>
      <xdr:spPr>
        <a:xfrm flipV="1">
          <a:off x="3781425" y="4810125"/>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23</xdr:row>
      <xdr:rowOff>0</xdr:rowOff>
    </xdr:from>
    <xdr:to>
      <xdr:col>5</xdr:col>
      <xdr:colOff>133350</xdr:colOff>
      <xdr:row>23</xdr:row>
      <xdr:rowOff>1588</xdr:rowOff>
    </xdr:to>
    <xdr:cxnSp macro="">
      <xdr:nvCxnSpPr>
        <xdr:cNvPr id="4" name="Straight Connector 3"/>
        <xdr:cNvCxnSpPr/>
      </xdr:nvCxnSpPr>
      <xdr:spPr>
        <a:xfrm>
          <a:off x="2390775" y="4800600"/>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23</xdr:row>
      <xdr:rowOff>9524</xdr:rowOff>
    </xdr:from>
    <xdr:to>
      <xdr:col>5</xdr:col>
      <xdr:colOff>19050</xdr:colOff>
      <xdr:row>28</xdr:row>
      <xdr:rowOff>19049</xdr:rowOff>
    </xdr:to>
    <xdr:cxnSp macro="">
      <xdr:nvCxnSpPr>
        <xdr:cNvPr id="5" name="Straight Arrow Connector 4"/>
        <xdr:cNvCxnSpPr/>
      </xdr:nvCxnSpPr>
      <xdr:spPr>
        <a:xfrm rot="16200000" flipH="1">
          <a:off x="2066925" y="5286374"/>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28</xdr:row>
      <xdr:rowOff>19050</xdr:rowOff>
    </xdr:from>
    <xdr:to>
      <xdr:col>4</xdr:col>
      <xdr:colOff>19050</xdr:colOff>
      <xdr:row>30</xdr:row>
      <xdr:rowOff>95250</xdr:rowOff>
    </xdr:to>
    <xdr:cxnSp macro="">
      <xdr:nvCxnSpPr>
        <xdr:cNvPr id="6" name="Straight Connector 5"/>
        <xdr:cNvCxnSpPr/>
      </xdr:nvCxnSpPr>
      <xdr:spPr>
        <a:xfrm rot="16200000" flipH="1">
          <a:off x="1714500" y="5991225"/>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28</xdr:row>
      <xdr:rowOff>10319</xdr:rowOff>
    </xdr:from>
    <xdr:to>
      <xdr:col>7</xdr:col>
      <xdr:colOff>10319</xdr:colOff>
      <xdr:row>30</xdr:row>
      <xdr:rowOff>143669</xdr:rowOff>
    </xdr:to>
    <xdr:cxnSp macro="">
      <xdr:nvCxnSpPr>
        <xdr:cNvPr id="7" name="Straight Connector 6"/>
        <xdr:cNvCxnSpPr/>
      </xdr:nvCxnSpPr>
      <xdr:spPr>
        <a:xfrm rot="5400000">
          <a:off x="3543300" y="6019800"/>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29</xdr:row>
      <xdr:rowOff>0</xdr:rowOff>
    </xdr:from>
    <xdr:to>
      <xdr:col>7</xdr:col>
      <xdr:colOff>19050</xdr:colOff>
      <xdr:row>29</xdr:row>
      <xdr:rowOff>1588</xdr:rowOff>
    </xdr:to>
    <xdr:cxnSp macro="">
      <xdr:nvCxnSpPr>
        <xdr:cNvPr id="8" name="Straight Arrow Connector 7"/>
        <xdr:cNvCxnSpPr/>
      </xdr:nvCxnSpPr>
      <xdr:spPr>
        <a:xfrm>
          <a:off x="1943100" y="5943600"/>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20</xdr:row>
      <xdr:rowOff>794</xdr:rowOff>
    </xdr:from>
    <xdr:to>
      <xdr:col>1</xdr:col>
      <xdr:colOff>10320</xdr:colOff>
      <xdr:row>22</xdr:row>
      <xdr:rowOff>19054</xdr:rowOff>
    </xdr:to>
    <xdr:cxnSp macro="">
      <xdr:nvCxnSpPr>
        <xdr:cNvPr id="9" name="Straight Connector 8"/>
        <xdr:cNvCxnSpPr/>
      </xdr:nvCxnSpPr>
      <xdr:spPr>
        <a:xfrm rot="5400000">
          <a:off x="-56357" y="4429126"/>
          <a:ext cx="399260" cy="7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20</xdr:row>
      <xdr:rowOff>9524</xdr:rowOff>
    </xdr:from>
    <xdr:to>
      <xdr:col>1</xdr:col>
      <xdr:colOff>609599</xdr:colOff>
      <xdr:row>21</xdr:row>
      <xdr:rowOff>171450</xdr:rowOff>
    </xdr:to>
    <xdr:cxnSp macro="">
      <xdr:nvCxnSpPr>
        <xdr:cNvPr id="10" name="Straight Connector 9"/>
        <xdr:cNvCxnSpPr/>
      </xdr:nvCxnSpPr>
      <xdr:spPr>
        <a:xfrm rot="16200000" flipH="1">
          <a:off x="557211" y="4414836"/>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2</xdr:col>
      <xdr:colOff>9525</xdr:colOff>
      <xdr:row>21</xdr:row>
      <xdr:rowOff>9525</xdr:rowOff>
    </xdr:to>
    <xdr:cxnSp macro="">
      <xdr:nvCxnSpPr>
        <xdr:cNvPr id="11" name="Straight Arrow Connector 10"/>
        <xdr:cNvCxnSpPr/>
      </xdr:nvCxnSpPr>
      <xdr:spPr>
        <a:xfrm>
          <a:off x="133350" y="4419600"/>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28</xdr:row>
      <xdr:rowOff>9525</xdr:rowOff>
    </xdr:from>
    <xdr:to>
      <xdr:col>9</xdr:col>
      <xdr:colOff>19049</xdr:colOff>
      <xdr:row>30</xdr:row>
      <xdr:rowOff>142875</xdr:rowOff>
    </xdr:to>
    <xdr:cxnSp macro="">
      <xdr:nvCxnSpPr>
        <xdr:cNvPr id="12" name="Straight Connector 11"/>
        <xdr:cNvCxnSpPr/>
      </xdr:nvCxnSpPr>
      <xdr:spPr>
        <a:xfrm rot="16200000" flipH="1">
          <a:off x="4748212" y="6015037"/>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29</xdr:row>
      <xdr:rowOff>9525</xdr:rowOff>
    </xdr:from>
    <xdr:to>
      <xdr:col>9</xdr:col>
      <xdr:colOff>57150</xdr:colOff>
      <xdr:row>29</xdr:row>
      <xdr:rowOff>19050</xdr:rowOff>
    </xdr:to>
    <xdr:cxnSp macro="">
      <xdr:nvCxnSpPr>
        <xdr:cNvPr id="13" name="Straight Arrow Connector 12"/>
        <xdr:cNvCxnSpPr/>
      </xdr:nvCxnSpPr>
      <xdr:spPr>
        <a:xfrm flipV="1">
          <a:off x="3819525" y="5953125"/>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39</xdr:row>
      <xdr:rowOff>0</xdr:rowOff>
    </xdr:from>
    <xdr:to>
      <xdr:col>3</xdr:col>
      <xdr:colOff>600075</xdr:colOff>
      <xdr:row>44</xdr:row>
      <xdr:rowOff>9525</xdr:rowOff>
    </xdr:to>
    <xdr:cxnSp macro="">
      <xdr:nvCxnSpPr>
        <xdr:cNvPr id="14" name="Straight Connector 13"/>
        <xdr:cNvCxnSpPr/>
      </xdr:nvCxnSpPr>
      <xdr:spPr>
        <a:xfrm>
          <a:off x="733425" y="7858125"/>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39</xdr:row>
      <xdr:rowOff>9525</xdr:rowOff>
    </xdr:from>
    <xdr:to>
      <xdr:col>9</xdr:col>
      <xdr:colOff>0</xdr:colOff>
      <xdr:row>44</xdr:row>
      <xdr:rowOff>0</xdr:rowOff>
    </xdr:to>
    <xdr:cxnSp macro="">
      <xdr:nvCxnSpPr>
        <xdr:cNvPr id="15" name="Straight Connector 14"/>
        <xdr:cNvCxnSpPr/>
      </xdr:nvCxnSpPr>
      <xdr:spPr>
        <a:xfrm flipV="1">
          <a:off x="3781425" y="7867650"/>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39</xdr:row>
      <xdr:rowOff>0</xdr:rowOff>
    </xdr:from>
    <xdr:to>
      <xdr:col>5</xdr:col>
      <xdr:colOff>133350</xdr:colOff>
      <xdr:row>39</xdr:row>
      <xdr:rowOff>1588</xdr:rowOff>
    </xdr:to>
    <xdr:cxnSp macro="">
      <xdr:nvCxnSpPr>
        <xdr:cNvPr id="16" name="Straight Connector 15"/>
        <xdr:cNvCxnSpPr/>
      </xdr:nvCxnSpPr>
      <xdr:spPr>
        <a:xfrm>
          <a:off x="2390775" y="7858125"/>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39</xdr:row>
      <xdr:rowOff>9524</xdr:rowOff>
    </xdr:from>
    <xdr:to>
      <xdr:col>5</xdr:col>
      <xdr:colOff>19050</xdr:colOff>
      <xdr:row>44</xdr:row>
      <xdr:rowOff>19049</xdr:rowOff>
    </xdr:to>
    <xdr:cxnSp macro="">
      <xdr:nvCxnSpPr>
        <xdr:cNvPr id="17" name="Straight Arrow Connector 16"/>
        <xdr:cNvCxnSpPr/>
      </xdr:nvCxnSpPr>
      <xdr:spPr>
        <a:xfrm rot="16200000" flipH="1">
          <a:off x="2066925" y="8343899"/>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44</xdr:row>
      <xdr:rowOff>19050</xdr:rowOff>
    </xdr:from>
    <xdr:to>
      <xdr:col>4</xdr:col>
      <xdr:colOff>19050</xdr:colOff>
      <xdr:row>46</xdr:row>
      <xdr:rowOff>95250</xdr:rowOff>
    </xdr:to>
    <xdr:cxnSp macro="">
      <xdr:nvCxnSpPr>
        <xdr:cNvPr id="18" name="Straight Connector 17"/>
        <xdr:cNvCxnSpPr/>
      </xdr:nvCxnSpPr>
      <xdr:spPr>
        <a:xfrm rot="16200000" flipH="1">
          <a:off x="1714500" y="9048750"/>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44</xdr:row>
      <xdr:rowOff>10319</xdr:rowOff>
    </xdr:from>
    <xdr:to>
      <xdr:col>7</xdr:col>
      <xdr:colOff>10319</xdr:colOff>
      <xdr:row>46</xdr:row>
      <xdr:rowOff>143669</xdr:rowOff>
    </xdr:to>
    <xdr:cxnSp macro="">
      <xdr:nvCxnSpPr>
        <xdr:cNvPr id="19" name="Straight Connector 18"/>
        <xdr:cNvCxnSpPr/>
      </xdr:nvCxnSpPr>
      <xdr:spPr>
        <a:xfrm rot="5400000">
          <a:off x="3543300" y="9077325"/>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45</xdr:row>
      <xdr:rowOff>0</xdr:rowOff>
    </xdr:from>
    <xdr:to>
      <xdr:col>7</xdr:col>
      <xdr:colOff>19050</xdr:colOff>
      <xdr:row>45</xdr:row>
      <xdr:rowOff>1588</xdr:rowOff>
    </xdr:to>
    <xdr:cxnSp macro="">
      <xdr:nvCxnSpPr>
        <xdr:cNvPr id="20" name="Straight Arrow Connector 19"/>
        <xdr:cNvCxnSpPr/>
      </xdr:nvCxnSpPr>
      <xdr:spPr>
        <a:xfrm>
          <a:off x="1943100" y="9001125"/>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36</xdr:row>
      <xdr:rowOff>9524</xdr:rowOff>
    </xdr:from>
    <xdr:to>
      <xdr:col>1</xdr:col>
      <xdr:colOff>609599</xdr:colOff>
      <xdr:row>37</xdr:row>
      <xdr:rowOff>171450</xdr:rowOff>
    </xdr:to>
    <xdr:cxnSp macro="">
      <xdr:nvCxnSpPr>
        <xdr:cNvPr id="21" name="Straight Connector 20"/>
        <xdr:cNvCxnSpPr/>
      </xdr:nvCxnSpPr>
      <xdr:spPr>
        <a:xfrm rot="16200000" flipH="1">
          <a:off x="557211" y="7472361"/>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37</xdr:row>
      <xdr:rowOff>0</xdr:rowOff>
    </xdr:from>
    <xdr:to>
      <xdr:col>2</xdr:col>
      <xdr:colOff>9525</xdr:colOff>
      <xdr:row>37</xdr:row>
      <xdr:rowOff>9525</xdr:rowOff>
    </xdr:to>
    <xdr:cxnSp macro="">
      <xdr:nvCxnSpPr>
        <xdr:cNvPr id="22" name="Straight Arrow Connector 21"/>
        <xdr:cNvCxnSpPr/>
      </xdr:nvCxnSpPr>
      <xdr:spPr>
        <a:xfrm>
          <a:off x="133350" y="7477125"/>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44</xdr:row>
      <xdr:rowOff>9525</xdr:rowOff>
    </xdr:from>
    <xdr:to>
      <xdr:col>9</xdr:col>
      <xdr:colOff>19049</xdr:colOff>
      <xdr:row>46</xdr:row>
      <xdr:rowOff>142875</xdr:rowOff>
    </xdr:to>
    <xdr:cxnSp macro="">
      <xdr:nvCxnSpPr>
        <xdr:cNvPr id="23" name="Straight Connector 22"/>
        <xdr:cNvCxnSpPr/>
      </xdr:nvCxnSpPr>
      <xdr:spPr>
        <a:xfrm rot="16200000" flipH="1">
          <a:off x="4748212" y="9072562"/>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45</xdr:row>
      <xdr:rowOff>9525</xdr:rowOff>
    </xdr:from>
    <xdr:to>
      <xdr:col>9</xdr:col>
      <xdr:colOff>57150</xdr:colOff>
      <xdr:row>45</xdr:row>
      <xdr:rowOff>19050</xdr:rowOff>
    </xdr:to>
    <xdr:cxnSp macro="">
      <xdr:nvCxnSpPr>
        <xdr:cNvPr id="24" name="Straight Arrow Connector 23"/>
        <xdr:cNvCxnSpPr/>
      </xdr:nvCxnSpPr>
      <xdr:spPr>
        <a:xfrm flipV="1">
          <a:off x="3819525" y="9010650"/>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6</xdr:row>
      <xdr:rowOff>0</xdr:rowOff>
    </xdr:from>
    <xdr:to>
      <xdr:col>3</xdr:col>
      <xdr:colOff>600075</xdr:colOff>
      <xdr:row>11</xdr:row>
      <xdr:rowOff>9525</xdr:rowOff>
    </xdr:to>
    <xdr:cxnSp macro="">
      <xdr:nvCxnSpPr>
        <xdr:cNvPr id="25" name="Straight Connector 24"/>
        <xdr:cNvCxnSpPr/>
      </xdr:nvCxnSpPr>
      <xdr:spPr>
        <a:xfrm>
          <a:off x="733425" y="1552575"/>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6</xdr:row>
      <xdr:rowOff>9525</xdr:rowOff>
    </xdr:from>
    <xdr:to>
      <xdr:col>9</xdr:col>
      <xdr:colOff>0</xdr:colOff>
      <xdr:row>11</xdr:row>
      <xdr:rowOff>0</xdr:rowOff>
    </xdr:to>
    <xdr:cxnSp macro="">
      <xdr:nvCxnSpPr>
        <xdr:cNvPr id="26" name="Straight Connector 25"/>
        <xdr:cNvCxnSpPr/>
      </xdr:nvCxnSpPr>
      <xdr:spPr>
        <a:xfrm flipV="1">
          <a:off x="3781425" y="1562100"/>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6</xdr:row>
      <xdr:rowOff>0</xdr:rowOff>
    </xdr:from>
    <xdr:to>
      <xdr:col>5</xdr:col>
      <xdr:colOff>133350</xdr:colOff>
      <xdr:row>6</xdr:row>
      <xdr:rowOff>1588</xdr:rowOff>
    </xdr:to>
    <xdr:cxnSp macro="">
      <xdr:nvCxnSpPr>
        <xdr:cNvPr id="27" name="Straight Connector 26"/>
        <xdr:cNvCxnSpPr/>
      </xdr:nvCxnSpPr>
      <xdr:spPr>
        <a:xfrm>
          <a:off x="2390775" y="1552575"/>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6</xdr:row>
      <xdr:rowOff>9524</xdr:rowOff>
    </xdr:from>
    <xdr:to>
      <xdr:col>5</xdr:col>
      <xdr:colOff>19050</xdr:colOff>
      <xdr:row>11</xdr:row>
      <xdr:rowOff>19049</xdr:rowOff>
    </xdr:to>
    <xdr:cxnSp macro="">
      <xdr:nvCxnSpPr>
        <xdr:cNvPr id="28" name="Straight Arrow Connector 27"/>
        <xdr:cNvCxnSpPr/>
      </xdr:nvCxnSpPr>
      <xdr:spPr>
        <a:xfrm rot="16200000" flipH="1">
          <a:off x="2066925" y="2038349"/>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xdr:row>
      <xdr:rowOff>19050</xdr:rowOff>
    </xdr:from>
    <xdr:to>
      <xdr:col>4</xdr:col>
      <xdr:colOff>19050</xdr:colOff>
      <xdr:row>13</xdr:row>
      <xdr:rowOff>95250</xdr:rowOff>
    </xdr:to>
    <xdr:cxnSp macro="">
      <xdr:nvCxnSpPr>
        <xdr:cNvPr id="29" name="Straight Connector 28"/>
        <xdr:cNvCxnSpPr/>
      </xdr:nvCxnSpPr>
      <xdr:spPr>
        <a:xfrm rot="16200000" flipH="1">
          <a:off x="1714500" y="2743200"/>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11</xdr:row>
      <xdr:rowOff>10319</xdr:rowOff>
    </xdr:from>
    <xdr:to>
      <xdr:col>7</xdr:col>
      <xdr:colOff>10319</xdr:colOff>
      <xdr:row>13</xdr:row>
      <xdr:rowOff>143669</xdr:rowOff>
    </xdr:to>
    <xdr:cxnSp macro="">
      <xdr:nvCxnSpPr>
        <xdr:cNvPr id="30" name="Straight Connector 29"/>
        <xdr:cNvCxnSpPr/>
      </xdr:nvCxnSpPr>
      <xdr:spPr>
        <a:xfrm rot="5400000">
          <a:off x="3543300" y="2771775"/>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xdr:row>
      <xdr:rowOff>0</xdr:rowOff>
    </xdr:from>
    <xdr:to>
      <xdr:col>7</xdr:col>
      <xdr:colOff>19050</xdr:colOff>
      <xdr:row>12</xdr:row>
      <xdr:rowOff>1588</xdr:rowOff>
    </xdr:to>
    <xdr:cxnSp macro="">
      <xdr:nvCxnSpPr>
        <xdr:cNvPr id="31" name="Straight Arrow Connector 30"/>
        <xdr:cNvCxnSpPr/>
      </xdr:nvCxnSpPr>
      <xdr:spPr>
        <a:xfrm>
          <a:off x="1943100" y="2695575"/>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3</xdr:row>
      <xdr:rowOff>794</xdr:rowOff>
    </xdr:from>
    <xdr:to>
      <xdr:col>1</xdr:col>
      <xdr:colOff>10320</xdr:colOff>
      <xdr:row>5</xdr:row>
      <xdr:rowOff>19054</xdr:rowOff>
    </xdr:to>
    <xdr:cxnSp macro="">
      <xdr:nvCxnSpPr>
        <xdr:cNvPr id="32" name="Straight Connector 31"/>
        <xdr:cNvCxnSpPr/>
      </xdr:nvCxnSpPr>
      <xdr:spPr>
        <a:xfrm rot="5400000">
          <a:off x="-56357" y="1181101"/>
          <a:ext cx="399260" cy="7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3</xdr:row>
      <xdr:rowOff>9524</xdr:rowOff>
    </xdr:from>
    <xdr:to>
      <xdr:col>1</xdr:col>
      <xdr:colOff>609599</xdr:colOff>
      <xdr:row>4</xdr:row>
      <xdr:rowOff>171450</xdr:rowOff>
    </xdr:to>
    <xdr:cxnSp macro="">
      <xdr:nvCxnSpPr>
        <xdr:cNvPr id="33" name="Straight Connector 32"/>
        <xdr:cNvCxnSpPr/>
      </xdr:nvCxnSpPr>
      <xdr:spPr>
        <a:xfrm rot="16200000" flipH="1">
          <a:off x="557211" y="1166811"/>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xdr:row>
      <xdr:rowOff>0</xdr:rowOff>
    </xdr:from>
    <xdr:to>
      <xdr:col>2</xdr:col>
      <xdr:colOff>9525</xdr:colOff>
      <xdr:row>4</xdr:row>
      <xdr:rowOff>9525</xdr:rowOff>
    </xdr:to>
    <xdr:cxnSp macro="">
      <xdr:nvCxnSpPr>
        <xdr:cNvPr id="34" name="Straight Arrow Connector 33"/>
        <xdr:cNvCxnSpPr/>
      </xdr:nvCxnSpPr>
      <xdr:spPr>
        <a:xfrm>
          <a:off x="133350" y="1171575"/>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11</xdr:row>
      <xdr:rowOff>9525</xdr:rowOff>
    </xdr:from>
    <xdr:to>
      <xdr:col>9</xdr:col>
      <xdr:colOff>19049</xdr:colOff>
      <xdr:row>13</xdr:row>
      <xdr:rowOff>142875</xdr:rowOff>
    </xdr:to>
    <xdr:cxnSp macro="">
      <xdr:nvCxnSpPr>
        <xdr:cNvPr id="35" name="Straight Connector 34"/>
        <xdr:cNvCxnSpPr/>
      </xdr:nvCxnSpPr>
      <xdr:spPr>
        <a:xfrm rot="16200000" flipH="1">
          <a:off x="4748212" y="2767012"/>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12</xdr:row>
      <xdr:rowOff>9525</xdr:rowOff>
    </xdr:from>
    <xdr:to>
      <xdr:col>9</xdr:col>
      <xdr:colOff>57150</xdr:colOff>
      <xdr:row>12</xdr:row>
      <xdr:rowOff>19050</xdr:rowOff>
    </xdr:to>
    <xdr:cxnSp macro="">
      <xdr:nvCxnSpPr>
        <xdr:cNvPr id="36" name="Straight Arrow Connector 35"/>
        <xdr:cNvCxnSpPr/>
      </xdr:nvCxnSpPr>
      <xdr:spPr>
        <a:xfrm flipV="1">
          <a:off x="3819525" y="2705100"/>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76</xdr:row>
      <xdr:rowOff>0</xdr:rowOff>
    </xdr:from>
    <xdr:to>
      <xdr:col>3</xdr:col>
      <xdr:colOff>600075</xdr:colOff>
      <xdr:row>81</xdr:row>
      <xdr:rowOff>9525</xdr:rowOff>
    </xdr:to>
    <xdr:cxnSp macro="">
      <xdr:nvCxnSpPr>
        <xdr:cNvPr id="37" name="Straight Connector 36"/>
        <xdr:cNvCxnSpPr/>
      </xdr:nvCxnSpPr>
      <xdr:spPr>
        <a:xfrm>
          <a:off x="733425" y="14925675"/>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76</xdr:row>
      <xdr:rowOff>9525</xdr:rowOff>
    </xdr:from>
    <xdr:to>
      <xdr:col>9</xdr:col>
      <xdr:colOff>0</xdr:colOff>
      <xdr:row>81</xdr:row>
      <xdr:rowOff>0</xdr:rowOff>
    </xdr:to>
    <xdr:cxnSp macro="">
      <xdr:nvCxnSpPr>
        <xdr:cNvPr id="38" name="Straight Connector 37"/>
        <xdr:cNvCxnSpPr/>
      </xdr:nvCxnSpPr>
      <xdr:spPr>
        <a:xfrm flipV="1">
          <a:off x="3781425" y="14935200"/>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76</xdr:row>
      <xdr:rowOff>0</xdr:rowOff>
    </xdr:from>
    <xdr:to>
      <xdr:col>5</xdr:col>
      <xdr:colOff>133350</xdr:colOff>
      <xdr:row>76</xdr:row>
      <xdr:rowOff>1588</xdr:rowOff>
    </xdr:to>
    <xdr:cxnSp macro="">
      <xdr:nvCxnSpPr>
        <xdr:cNvPr id="39" name="Straight Connector 38"/>
        <xdr:cNvCxnSpPr/>
      </xdr:nvCxnSpPr>
      <xdr:spPr>
        <a:xfrm>
          <a:off x="2390775" y="14925675"/>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76</xdr:row>
      <xdr:rowOff>9524</xdr:rowOff>
    </xdr:from>
    <xdr:to>
      <xdr:col>5</xdr:col>
      <xdr:colOff>19050</xdr:colOff>
      <xdr:row>81</xdr:row>
      <xdr:rowOff>19049</xdr:rowOff>
    </xdr:to>
    <xdr:cxnSp macro="">
      <xdr:nvCxnSpPr>
        <xdr:cNvPr id="40" name="Straight Arrow Connector 39"/>
        <xdr:cNvCxnSpPr/>
      </xdr:nvCxnSpPr>
      <xdr:spPr>
        <a:xfrm rot="16200000" flipH="1">
          <a:off x="2066925" y="15411449"/>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81</xdr:row>
      <xdr:rowOff>19050</xdr:rowOff>
    </xdr:from>
    <xdr:to>
      <xdr:col>4</xdr:col>
      <xdr:colOff>19050</xdr:colOff>
      <xdr:row>83</xdr:row>
      <xdr:rowOff>95250</xdr:rowOff>
    </xdr:to>
    <xdr:cxnSp macro="">
      <xdr:nvCxnSpPr>
        <xdr:cNvPr id="41" name="Straight Connector 40"/>
        <xdr:cNvCxnSpPr/>
      </xdr:nvCxnSpPr>
      <xdr:spPr>
        <a:xfrm rot="16200000" flipH="1">
          <a:off x="1714500" y="16116300"/>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81</xdr:row>
      <xdr:rowOff>10319</xdr:rowOff>
    </xdr:from>
    <xdr:to>
      <xdr:col>7</xdr:col>
      <xdr:colOff>10319</xdr:colOff>
      <xdr:row>83</xdr:row>
      <xdr:rowOff>143669</xdr:rowOff>
    </xdr:to>
    <xdr:cxnSp macro="">
      <xdr:nvCxnSpPr>
        <xdr:cNvPr id="42" name="Straight Connector 41"/>
        <xdr:cNvCxnSpPr/>
      </xdr:nvCxnSpPr>
      <xdr:spPr>
        <a:xfrm rot="5400000">
          <a:off x="3543300" y="16144875"/>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82</xdr:row>
      <xdr:rowOff>0</xdr:rowOff>
    </xdr:from>
    <xdr:to>
      <xdr:col>7</xdr:col>
      <xdr:colOff>19050</xdr:colOff>
      <xdr:row>82</xdr:row>
      <xdr:rowOff>1588</xdr:rowOff>
    </xdr:to>
    <xdr:cxnSp macro="">
      <xdr:nvCxnSpPr>
        <xdr:cNvPr id="43" name="Straight Arrow Connector 42"/>
        <xdr:cNvCxnSpPr/>
      </xdr:nvCxnSpPr>
      <xdr:spPr>
        <a:xfrm>
          <a:off x="1943100" y="16068675"/>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73</xdr:row>
      <xdr:rowOff>9524</xdr:rowOff>
    </xdr:from>
    <xdr:to>
      <xdr:col>1</xdr:col>
      <xdr:colOff>609599</xdr:colOff>
      <xdr:row>74</xdr:row>
      <xdr:rowOff>171450</xdr:rowOff>
    </xdr:to>
    <xdr:cxnSp macro="">
      <xdr:nvCxnSpPr>
        <xdr:cNvPr id="44" name="Straight Connector 43"/>
        <xdr:cNvCxnSpPr/>
      </xdr:nvCxnSpPr>
      <xdr:spPr>
        <a:xfrm rot="16200000" flipH="1">
          <a:off x="557211" y="14539911"/>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2</xdr:col>
      <xdr:colOff>9525</xdr:colOff>
      <xdr:row>74</xdr:row>
      <xdr:rowOff>9525</xdr:rowOff>
    </xdr:to>
    <xdr:cxnSp macro="">
      <xdr:nvCxnSpPr>
        <xdr:cNvPr id="45" name="Straight Arrow Connector 44"/>
        <xdr:cNvCxnSpPr/>
      </xdr:nvCxnSpPr>
      <xdr:spPr>
        <a:xfrm>
          <a:off x="133350" y="14544675"/>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81</xdr:row>
      <xdr:rowOff>9525</xdr:rowOff>
    </xdr:from>
    <xdr:to>
      <xdr:col>9</xdr:col>
      <xdr:colOff>19049</xdr:colOff>
      <xdr:row>83</xdr:row>
      <xdr:rowOff>142875</xdr:rowOff>
    </xdr:to>
    <xdr:cxnSp macro="">
      <xdr:nvCxnSpPr>
        <xdr:cNvPr id="46" name="Straight Connector 45"/>
        <xdr:cNvCxnSpPr/>
      </xdr:nvCxnSpPr>
      <xdr:spPr>
        <a:xfrm rot="16200000" flipH="1">
          <a:off x="4748212" y="16140112"/>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82</xdr:row>
      <xdr:rowOff>9525</xdr:rowOff>
    </xdr:from>
    <xdr:to>
      <xdr:col>9</xdr:col>
      <xdr:colOff>57150</xdr:colOff>
      <xdr:row>82</xdr:row>
      <xdr:rowOff>19050</xdr:rowOff>
    </xdr:to>
    <xdr:cxnSp macro="">
      <xdr:nvCxnSpPr>
        <xdr:cNvPr id="47" name="Straight Arrow Connector 46"/>
        <xdr:cNvCxnSpPr/>
      </xdr:nvCxnSpPr>
      <xdr:spPr>
        <a:xfrm flipV="1">
          <a:off x="3819525" y="16078200"/>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92</xdr:row>
      <xdr:rowOff>0</xdr:rowOff>
    </xdr:from>
    <xdr:to>
      <xdr:col>3</xdr:col>
      <xdr:colOff>600075</xdr:colOff>
      <xdr:row>97</xdr:row>
      <xdr:rowOff>9525</xdr:rowOff>
    </xdr:to>
    <xdr:cxnSp macro="">
      <xdr:nvCxnSpPr>
        <xdr:cNvPr id="48" name="Straight Connector 47"/>
        <xdr:cNvCxnSpPr/>
      </xdr:nvCxnSpPr>
      <xdr:spPr>
        <a:xfrm>
          <a:off x="733425" y="17983200"/>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92</xdr:row>
      <xdr:rowOff>9525</xdr:rowOff>
    </xdr:from>
    <xdr:to>
      <xdr:col>9</xdr:col>
      <xdr:colOff>0</xdr:colOff>
      <xdr:row>97</xdr:row>
      <xdr:rowOff>0</xdr:rowOff>
    </xdr:to>
    <xdr:cxnSp macro="">
      <xdr:nvCxnSpPr>
        <xdr:cNvPr id="49" name="Straight Connector 48"/>
        <xdr:cNvCxnSpPr/>
      </xdr:nvCxnSpPr>
      <xdr:spPr>
        <a:xfrm flipV="1">
          <a:off x="3781425" y="17992725"/>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92</xdr:row>
      <xdr:rowOff>0</xdr:rowOff>
    </xdr:from>
    <xdr:to>
      <xdr:col>5</xdr:col>
      <xdr:colOff>133350</xdr:colOff>
      <xdr:row>92</xdr:row>
      <xdr:rowOff>1588</xdr:rowOff>
    </xdr:to>
    <xdr:cxnSp macro="">
      <xdr:nvCxnSpPr>
        <xdr:cNvPr id="50" name="Straight Connector 49"/>
        <xdr:cNvCxnSpPr/>
      </xdr:nvCxnSpPr>
      <xdr:spPr>
        <a:xfrm>
          <a:off x="2390775" y="17983200"/>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92</xdr:row>
      <xdr:rowOff>9524</xdr:rowOff>
    </xdr:from>
    <xdr:to>
      <xdr:col>5</xdr:col>
      <xdr:colOff>19050</xdr:colOff>
      <xdr:row>97</xdr:row>
      <xdr:rowOff>19049</xdr:rowOff>
    </xdr:to>
    <xdr:cxnSp macro="">
      <xdr:nvCxnSpPr>
        <xdr:cNvPr id="51" name="Straight Arrow Connector 50"/>
        <xdr:cNvCxnSpPr/>
      </xdr:nvCxnSpPr>
      <xdr:spPr>
        <a:xfrm rot="16200000" flipH="1">
          <a:off x="2066925" y="18468974"/>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19050</xdr:rowOff>
    </xdr:from>
    <xdr:to>
      <xdr:col>4</xdr:col>
      <xdr:colOff>19050</xdr:colOff>
      <xdr:row>99</xdr:row>
      <xdr:rowOff>95250</xdr:rowOff>
    </xdr:to>
    <xdr:cxnSp macro="">
      <xdr:nvCxnSpPr>
        <xdr:cNvPr id="52" name="Straight Connector 51"/>
        <xdr:cNvCxnSpPr/>
      </xdr:nvCxnSpPr>
      <xdr:spPr>
        <a:xfrm rot="16200000" flipH="1">
          <a:off x="1714500" y="19173825"/>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97</xdr:row>
      <xdr:rowOff>10319</xdr:rowOff>
    </xdr:from>
    <xdr:to>
      <xdr:col>7</xdr:col>
      <xdr:colOff>10319</xdr:colOff>
      <xdr:row>99</xdr:row>
      <xdr:rowOff>143669</xdr:rowOff>
    </xdr:to>
    <xdr:cxnSp macro="">
      <xdr:nvCxnSpPr>
        <xdr:cNvPr id="53" name="Straight Connector 52"/>
        <xdr:cNvCxnSpPr/>
      </xdr:nvCxnSpPr>
      <xdr:spPr>
        <a:xfrm rot="5400000">
          <a:off x="3543300" y="19202400"/>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98</xdr:row>
      <xdr:rowOff>0</xdr:rowOff>
    </xdr:from>
    <xdr:to>
      <xdr:col>7</xdr:col>
      <xdr:colOff>19050</xdr:colOff>
      <xdr:row>98</xdr:row>
      <xdr:rowOff>1588</xdr:rowOff>
    </xdr:to>
    <xdr:cxnSp macro="">
      <xdr:nvCxnSpPr>
        <xdr:cNvPr id="54" name="Straight Arrow Connector 53"/>
        <xdr:cNvCxnSpPr/>
      </xdr:nvCxnSpPr>
      <xdr:spPr>
        <a:xfrm>
          <a:off x="1943100" y="19126200"/>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89</xdr:row>
      <xdr:rowOff>9524</xdr:rowOff>
    </xdr:from>
    <xdr:to>
      <xdr:col>1</xdr:col>
      <xdr:colOff>609599</xdr:colOff>
      <xdr:row>90</xdr:row>
      <xdr:rowOff>171450</xdr:rowOff>
    </xdr:to>
    <xdr:cxnSp macro="">
      <xdr:nvCxnSpPr>
        <xdr:cNvPr id="55" name="Straight Connector 54"/>
        <xdr:cNvCxnSpPr/>
      </xdr:nvCxnSpPr>
      <xdr:spPr>
        <a:xfrm rot="16200000" flipH="1">
          <a:off x="557211" y="17597436"/>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90</xdr:row>
      <xdr:rowOff>0</xdr:rowOff>
    </xdr:from>
    <xdr:to>
      <xdr:col>2</xdr:col>
      <xdr:colOff>9525</xdr:colOff>
      <xdr:row>90</xdr:row>
      <xdr:rowOff>9525</xdr:rowOff>
    </xdr:to>
    <xdr:cxnSp macro="">
      <xdr:nvCxnSpPr>
        <xdr:cNvPr id="56" name="Straight Arrow Connector 55"/>
        <xdr:cNvCxnSpPr/>
      </xdr:nvCxnSpPr>
      <xdr:spPr>
        <a:xfrm>
          <a:off x="133350" y="17602200"/>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97</xdr:row>
      <xdr:rowOff>9525</xdr:rowOff>
    </xdr:from>
    <xdr:to>
      <xdr:col>9</xdr:col>
      <xdr:colOff>19049</xdr:colOff>
      <xdr:row>99</xdr:row>
      <xdr:rowOff>142875</xdr:rowOff>
    </xdr:to>
    <xdr:cxnSp macro="">
      <xdr:nvCxnSpPr>
        <xdr:cNvPr id="57" name="Straight Connector 56"/>
        <xdr:cNvCxnSpPr/>
      </xdr:nvCxnSpPr>
      <xdr:spPr>
        <a:xfrm rot="16200000" flipH="1">
          <a:off x="4748212" y="19197637"/>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98</xdr:row>
      <xdr:rowOff>9525</xdr:rowOff>
    </xdr:from>
    <xdr:to>
      <xdr:col>9</xdr:col>
      <xdr:colOff>57150</xdr:colOff>
      <xdr:row>98</xdr:row>
      <xdr:rowOff>19050</xdr:rowOff>
    </xdr:to>
    <xdr:cxnSp macro="">
      <xdr:nvCxnSpPr>
        <xdr:cNvPr id="58" name="Straight Arrow Connector 57"/>
        <xdr:cNvCxnSpPr/>
      </xdr:nvCxnSpPr>
      <xdr:spPr>
        <a:xfrm flipV="1">
          <a:off x="3819525" y="19135725"/>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59</xdr:row>
      <xdr:rowOff>0</xdr:rowOff>
    </xdr:from>
    <xdr:to>
      <xdr:col>3</xdr:col>
      <xdr:colOff>600075</xdr:colOff>
      <xdr:row>64</xdr:row>
      <xdr:rowOff>9525</xdr:rowOff>
    </xdr:to>
    <xdr:cxnSp macro="">
      <xdr:nvCxnSpPr>
        <xdr:cNvPr id="59" name="Straight Connector 58"/>
        <xdr:cNvCxnSpPr/>
      </xdr:nvCxnSpPr>
      <xdr:spPr>
        <a:xfrm>
          <a:off x="733425" y="11677650"/>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59</xdr:row>
      <xdr:rowOff>9525</xdr:rowOff>
    </xdr:from>
    <xdr:to>
      <xdr:col>9</xdr:col>
      <xdr:colOff>0</xdr:colOff>
      <xdr:row>64</xdr:row>
      <xdr:rowOff>0</xdr:rowOff>
    </xdr:to>
    <xdr:cxnSp macro="">
      <xdr:nvCxnSpPr>
        <xdr:cNvPr id="60" name="Straight Connector 59"/>
        <xdr:cNvCxnSpPr/>
      </xdr:nvCxnSpPr>
      <xdr:spPr>
        <a:xfrm flipV="1">
          <a:off x="3781425" y="11687175"/>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59</xdr:row>
      <xdr:rowOff>0</xdr:rowOff>
    </xdr:from>
    <xdr:to>
      <xdr:col>5</xdr:col>
      <xdr:colOff>133350</xdr:colOff>
      <xdr:row>59</xdr:row>
      <xdr:rowOff>1588</xdr:rowOff>
    </xdr:to>
    <xdr:cxnSp macro="">
      <xdr:nvCxnSpPr>
        <xdr:cNvPr id="61" name="Straight Connector 60"/>
        <xdr:cNvCxnSpPr/>
      </xdr:nvCxnSpPr>
      <xdr:spPr>
        <a:xfrm>
          <a:off x="2390775" y="11677650"/>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59</xdr:row>
      <xdr:rowOff>9524</xdr:rowOff>
    </xdr:from>
    <xdr:to>
      <xdr:col>5</xdr:col>
      <xdr:colOff>19050</xdr:colOff>
      <xdr:row>64</xdr:row>
      <xdr:rowOff>19049</xdr:rowOff>
    </xdr:to>
    <xdr:cxnSp macro="">
      <xdr:nvCxnSpPr>
        <xdr:cNvPr id="62" name="Straight Arrow Connector 61"/>
        <xdr:cNvCxnSpPr/>
      </xdr:nvCxnSpPr>
      <xdr:spPr>
        <a:xfrm rot="16200000" flipH="1">
          <a:off x="2066925" y="12163424"/>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19050</xdr:rowOff>
    </xdr:from>
    <xdr:to>
      <xdr:col>4</xdr:col>
      <xdr:colOff>19050</xdr:colOff>
      <xdr:row>66</xdr:row>
      <xdr:rowOff>95250</xdr:rowOff>
    </xdr:to>
    <xdr:cxnSp macro="">
      <xdr:nvCxnSpPr>
        <xdr:cNvPr id="63" name="Straight Connector 62"/>
        <xdr:cNvCxnSpPr/>
      </xdr:nvCxnSpPr>
      <xdr:spPr>
        <a:xfrm rot="16200000" flipH="1">
          <a:off x="1714500" y="12868275"/>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64</xdr:row>
      <xdr:rowOff>10319</xdr:rowOff>
    </xdr:from>
    <xdr:to>
      <xdr:col>7</xdr:col>
      <xdr:colOff>10319</xdr:colOff>
      <xdr:row>66</xdr:row>
      <xdr:rowOff>143669</xdr:rowOff>
    </xdr:to>
    <xdr:cxnSp macro="">
      <xdr:nvCxnSpPr>
        <xdr:cNvPr id="64" name="Straight Connector 63"/>
        <xdr:cNvCxnSpPr/>
      </xdr:nvCxnSpPr>
      <xdr:spPr>
        <a:xfrm rot="5400000">
          <a:off x="3543300" y="12896850"/>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65</xdr:row>
      <xdr:rowOff>0</xdr:rowOff>
    </xdr:from>
    <xdr:to>
      <xdr:col>7</xdr:col>
      <xdr:colOff>19050</xdr:colOff>
      <xdr:row>65</xdr:row>
      <xdr:rowOff>1588</xdr:rowOff>
    </xdr:to>
    <xdr:cxnSp macro="">
      <xdr:nvCxnSpPr>
        <xdr:cNvPr id="65" name="Straight Arrow Connector 64"/>
        <xdr:cNvCxnSpPr/>
      </xdr:nvCxnSpPr>
      <xdr:spPr>
        <a:xfrm>
          <a:off x="1943100" y="12820650"/>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56</xdr:row>
      <xdr:rowOff>9524</xdr:rowOff>
    </xdr:from>
    <xdr:to>
      <xdr:col>1</xdr:col>
      <xdr:colOff>609599</xdr:colOff>
      <xdr:row>57</xdr:row>
      <xdr:rowOff>171450</xdr:rowOff>
    </xdr:to>
    <xdr:cxnSp macro="">
      <xdr:nvCxnSpPr>
        <xdr:cNvPr id="66" name="Straight Connector 65"/>
        <xdr:cNvCxnSpPr/>
      </xdr:nvCxnSpPr>
      <xdr:spPr>
        <a:xfrm rot="16200000" flipH="1">
          <a:off x="557211" y="11291886"/>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57</xdr:row>
      <xdr:rowOff>0</xdr:rowOff>
    </xdr:from>
    <xdr:to>
      <xdr:col>2</xdr:col>
      <xdr:colOff>9525</xdr:colOff>
      <xdr:row>57</xdr:row>
      <xdr:rowOff>9525</xdr:rowOff>
    </xdr:to>
    <xdr:cxnSp macro="">
      <xdr:nvCxnSpPr>
        <xdr:cNvPr id="67" name="Straight Arrow Connector 66"/>
        <xdr:cNvCxnSpPr/>
      </xdr:nvCxnSpPr>
      <xdr:spPr>
        <a:xfrm>
          <a:off x="133350" y="11296650"/>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64</xdr:row>
      <xdr:rowOff>9525</xdr:rowOff>
    </xdr:from>
    <xdr:to>
      <xdr:col>9</xdr:col>
      <xdr:colOff>19049</xdr:colOff>
      <xdr:row>66</xdr:row>
      <xdr:rowOff>142875</xdr:rowOff>
    </xdr:to>
    <xdr:cxnSp macro="">
      <xdr:nvCxnSpPr>
        <xdr:cNvPr id="68" name="Straight Connector 67"/>
        <xdr:cNvCxnSpPr/>
      </xdr:nvCxnSpPr>
      <xdr:spPr>
        <a:xfrm rot="16200000" flipH="1">
          <a:off x="4748212" y="12892087"/>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65</xdr:row>
      <xdr:rowOff>9525</xdr:rowOff>
    </xdr:from>
    <xdr:to>
      <xdr:col>9</xdr:col>
      <xdr:colOff>57150</xdr:colOff>
      <xdr:row>65</xdr:row>
      <xdr:rowOff>19050</xdr:rowOff>
    </xdr:to>
    <xdr:cxnSp macro="">
      <xdr:nvCxnSpPr>
        <xdr:cNvPr id="69" name="Straight Arrow Connector 68"/>
        <xdr:cNvCxnSpPr/>
      </xdr:nvCxnSpPr>
      <xdr:spPr>
        <a:xfrm flipV="1">
          <a:off x="3819525" y="12830175"/>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115</xdr:row>
      <xdr:rowOff>0</xdr:rowOff>
    </xdr:from>
    <xdr:to>
      <xdr:col>3</xdr:col>
      <xdr:colOff>600075</xdr:colOff>
      <xdr:row>120</xdr:row>
      <xdr:rowOff>9525</xdr:rowOff>
    </xdr:to>
    <xdr:cxnSp macro="">
      <xdr:nvCxnSpPr>
        <xdr:cNvPr id="70" name="Straight Connector 69"/>
        <xdr:cNvCxnSpPr/>
      </xdr:nvCxnSpPr>
      <xdr:spPr>
        <a:xfrm>
          <a:off x="733425" y="22374225"/>
          <a:ext cx="1200150" cy="962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115</xdr:row>
      <xdr:rowOff>9525</xdr:rowOff>
    </xdr:from>
    <xdr:to>
      <xdr:col>9</xdr:col>
      <xdr:colOff>0</xdr:colOff>
      <xdr:row>120</xdr:row>
      <xdr:rowOff>0</xdr:rowOff>
    </xdr:to>
    <xdr:cxnSp macro="">
      <xdr:nvCxnSpPr>
        <xdr:cNvPr id="71" name="Straight Connector 70"/>
        <xdr:cNvCxnSpPr/>
      </xdr:nvCxnSpPr>
      <xdr:spPr>
        <a:xfrm flipV="1">
          <a:off x="3781425" y="22383750"/>
          <a:ext cx="1209675"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115</xdr:row>
      <xdr:rowOff>0</xdr:rowOff>
    </xdr:from>
    <xdr:to>
      <xdr:col>5</xdr:col>
      <xdr:colOff>133350</xdr:colOff>
      <xdr:row>115</xdr:row>
      <xdr:rowOff>1588</xdr:rowOff>
    </xdr:to>
    <xdr:cxnSp macro="">
      <xdr:nvCxnSpPr>
        <xdr:cNvPr id="72" name="Straight Connector 71"/>
        <xdr:cNvCxnSpPr/>
      </xdr:nvCxnSpPr>
      <xdr:spPr>
        <a:xfrm>
          <a:off x="2390775" y="22374225"/>
          <a:ext cx="276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115</xdr:row>
      <xdr:rowOff>9524</xdr:rowOff>
    </xdr:from>
    <xdr:to>
      <xdr:col>5</xdr:col>
      <xdr:colOff>19050</xdr:colOff>
      <xdr:row>120</xdr:row>
      <xdr:rowOff>19049</xdr:rowOff>
    </xdr:to>
    <xdr:cxnSp macro="">
      <xdr:nvCxnSpPr>
        <xdr:cNvPr id="73" name="Straight Arrow Connector 72"/>
        <xdr:cNvCxnSpPr/>
      </xdr:nvCxnSpPr>
      <xdr:spPr>
        <a:xfrm rot="16200000" flipH="1">
          <a:off x="2066925" y="22859999"/>
          <a:ext cx="9620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120</xdr:row>
      <xdr:rowOff>19050</xdr:rowOff>
    </xdr:from>
    <xdr:to>
      <xdr:col>4</xdr:col>
      <xdr:colOff>19050</xdr:colOff>
      <xdr:row>122</xdr:row>
      <xdr:rowOff>95250</xdr:rowOff>
    </xdr:to>
    <xdr:cxnSp macro="">
      <xdr:nvCxnSpPr>
        <xdr:cNvPr id="74" name="Straight Connector 73"/>
        <xdr:cNvCxnSpPr/>
      </xdr:nvCxnSpPr>
      <xdr:spPr>
        <a:xfrm rot="16200000" flipH="1">
          <a:off x="1714500" y="23564850"/>
          <a:ext cx="457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xdr:colOff>
      <xdr:row>120</xdr:row>
      <xdr:rowOff>10319</xdr:rowOff>
    </xdr:from>
    <xdr:to>
      <xdr:col>7</xdr:col>
      <xdr:colOff>10319</xdr:colOff>
      <xdr:row>122</xdr:row>
      <xdr:rowOff>143669</xdr:rowOff>
    </xdr:to>
    <xdr:cxnSp macro="">
      <xdr:nvCxnSpPr>
        <xdr:cNvPr id="75" name="Straight Connector 74"/>
        <xdr:cNvCxnSpPr/>
      </xdr:nvCxnSpPr>
      <xdr:spPr>
        <a:xfrm rot="5400000">
          <a:off x="3543300" y="23593425"/>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121</xdr:row>
      <xdr:rowOff>0</xdr:rowOff>
    </xdr:from>
    <xdr:to>
      <xdr:col>7</xdr:col>
      <xdr:colOff>19050</xdr:colOff>
      <xdr:row>121</xdr:row>
      <xdr:rowOff>1588</xdr:rowOff>
    </xdr:to>
    <xdr:cxnSp macro="">
      <xdr:nvCxnSpPr>
        <xdr:cNvPr id="76" name="Straight Arrow Connector 75"/>
        <xdr:cNvCxnSpPr/>
      </xdr:nvCxnSpPr>
      <xdr:spPr>
        <a:xfrm>
          <a:off x="1943100" y="23517225"/>
          <a:ext cx="18669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609598</xdr:colOff>
      <xdr:row>112</xdr:row>
      <xdr:rowOff>9524</xdr:rowOff>
    </xdr:from>
    <xdr:to>
      <xdr:col>1</xdr:col>
      <xdr:colOff>609599</xdr:colOff>
      <xdr:row>113</xdr:row>
      <xdr:rowOff>171450</xdr:rowOff>
    </xdr:to>
    <xdr:cxnSp macro="">
      <xdr:nvCxnSpPr>
        <xdr:cNvPr id="77" name="Straight Connector 76"/>
        <xdr:cNvCxnSpPr/>
      </xdr:nvCxnSpPr>
      <xdr:spPr>
        <a:xfrm rot="16200000" flipH="1">
          <a:off x="557211" y="21988461"/>
          <a:ext cx="352426"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113</xdr:row>
      <xdr:rowOff>0</xdr:rowOff>
    </xdr:from>
    <xdr:to>
      <xdr:col>2</xdr:col>
      <xdr:colOff>9525</xdr:colOff>
      <xdr:row>113</xdr:row>
      <xdr:rowOff>9525</xdr:rowOff>
    </xdr:to>
    <xdr:cxnSp macro="">
      <xdr:nvCxnSpPr>
        <xdr:cNvPr id="78" name="Straight Arrow Connector 77"/>
        <xdr:cNvCxnSpPr/>
      </xdr:nvCxnSpPr>
      <xdr:spPr>
        <a:xfrm>
          <a:off x="133350" y="21993225"/>
          <a:ext cx="60960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120</xdr:row>
      <xdr:rowOff>9525</xdr:rowOff>
    </xdr:from>
    <xdr:to>
      <xdr:col>9</xdr:col>
      <xdr:colOff>19049</xdr:colOff>
      <xdr:row>122</xdr:row>
      <xdr:rowOff>142875</xdr:rowOff>
    </xdr:to>
    <xdr:cxnSp macro="">
      <xdr:nvCxnSpPr>
        <xdr:cNvPr id="79" name="Straight Connector 78"/>
        <xdr:cNvCxnSpPr/>
      </xdr:nvCxnSpPr>
      <xdr:spPr>
        <a:xfrm rot="16200000" flipH="1">
          <a:off x="4748212" y="23588662"/>
          <a:ext cx="5143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121</xdr:row>
      <xdr:rowOff>9525</xdr:rowOff>
    </xdr:from>
    <xdr:to>
      <xdr:col>9</xdr:col>
      <xdr:colOff>57150</xdr:colOff>
      <xdr:row>121</xdr:row>
      <xdr:rowOff>19050</xdr:rowOff>
    </xdr:to>
    <xdr:cxnSp macro="">
      <xdr:nvCxnSpPr>
        <xdr:cNvPr id="80" name="Straight Arrow Connector 79"/>
        <xdr:cNvCxnSpPr/>
      </xdr:nvCxnSpPr>
      <xdr:spPr>
        <a:xfrm flipV="1">
          <a:off x="3819525" y="23526750"/>
          <a:ext cx="122872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276225</xdr:colOff>
      <xdr:row>5</xdr:row>
      <xdr:rowOff>209550</xdr:rowOff>
    </xdr:from>
    <xdr:to>
      <xdr:col>14</xdr:col>
      <xdr:colOff>295275</xdr:colOff>
      <xdr:row>6</xdr:row>
      <xdr:rowOff>123825</xdr:rowOff>
    </xdr:to>
    <xdr:cxnSp macro="">
      <xdr:nvCxnSpPr>
        <xdr:cNvPr id="2" name="Straight Arrow Connector 1"/>
        <xdr:cNvCxnSpPr/>
      </xdr:nvCxnSpPr>
      <xdr:spPr>
        <a:xfrm rot="16200000" flipH="1">
          <a:off x="4110037" y="1366838"/>
          <a:ext cx="20002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285749</xdr:colOff>
      <xdr:row>14</xdr:row>
      <xdr:rowOff>85725</xdr:rowOff>
    </xdr:from>
    <xdr:to>
      <xdr:col>14</xdr:col>
      <xdr:colOff>295274</xdr:colOff>
      <xdr:row>17</xdr:row>
      <xdr:rowOff>66675</xdr:rowOff>
    </xdr:to>
    <xdr:cxnSp macro="">
      <xdr:nvCxnSpPr>
        <xdr:cNvPr id="3" name="Straight Arrow Connector 2"/>
        <xdr:cNvCxnSpPr/>
      </xdr:nvCxnSpPr>
      <xdr:spPr>
        <a:xfrm rot="16200000" flipH="1">
          <a:off x="3967162" y="2976562"/>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19</xdr:row>
      <xdr:rowOff>190499</xdr:rowOff>
    </xdr:from>
    <xdr:to>
      <xdr:col>14</xdr:col>
      <xdr:colOff>276225</xdr:colOff>
      <xdr:row>20</xdr:row>
      <xdr:rowOff>390524</xdr:rowOff>
    </xdr:to>
    <xdr:cxnSp macro="">
      <xdr:nvCxnSpPr>
        <xdr:cNvPr id="4" name="Straight Arrow Connector 3"/>
        <xdr:cNvCxnSpPr/>
      </xdr:nvCxnSpPr>
      <xdr:spPr>
        <a:xfrm rot="16200000" flipH="1">
          <a:off x="4000500" y="3962399"/>
          <a:ext cx="3905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276224</xdr:colOff>
      <xdr:row>22</xdr:row>
      <xdr:rowOff>114303</xdr:rowOff>
    </xdr:from>
    <xdr:to>
      <xdr:col>14</xdr:col>
      <xdr:colOff>285751</xdr:colOff>
      <xdr:row>22</xdr:row>
      <xdr:rowOff>495299</xdr:rowOff>
    </xdr:to>
    <xdr:cxnSp macro="">
      <xdr:nvCxnSpPr>
        <xdr:cNvPr id="5" name="Straight Arrow Connector 4"/>
        <xdr:cNvCxnSpPr/>
      </xdr:nvCxnSpPr>
      <xdr:spPr>
        <a:xfrm rot="16200000" flipH="1">
          <a:off x="4014790" y="4729162"/>
          <a:ext cx="380996" cy="95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304801</xdr:colOff>
      <xdr:row>24</xdr:row>
      <xdr:rowOff>152399</xdr:rowOff>
    </xdr:from>
    <xdr:to>
      <xdr:col>14</xdr:col>
      <xdr:colOff>323851</xdr:colOff>
      <xdr:row>24</xdr:row>
      <xdr:rowOff>390524</xdr:rowOff>
    </xdr:to>
    <xdr:cxnSp macro="">
      <xdr:nvCxnSpPr>
        <xdr:cNvPr id="6" name="Straight Arrow Connector 5"/>
        <xdr:cNvCxnSpPr/>
      </xdr:nvCxnSpPr>
      <xdr:spPr>
        <a:xfrm rot="16200000" flipH="1">
          <a:off x="4119563" y="5395912"/>
          <a:ext cx="23812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342900</xdr:colOff>
      <xdr:row>29</xdr:row>
      <xdr:rowOff>19050</xdr:rowOff>
    </xdr:from>
    <xdr:to>
      <xdr:col>14</xdr:col>
      <xdr:colOff>361950</xdr:colOff>
      <xdr:row>31</xdr:row>
      <xdr:rowOff>47625</xdr:rowOff>
    </xdr:to>
    <xdr:cxnSp macro="">
      <xdr:nvCxnSpPr>
        <xdr:cNvPr id="7" name="Straight Arrow Connector 6"/>
        <xdr:cNvCxnSpPr/>
      </xdr:nvCxnSpPr>
      <xdr:spPr>
        <a:xfrm rot="16200000" flipH="1">
          <a:off x="4105275" y="6734175"/>
          <a:ext cx="34290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314326</xdr:colOff>
      <xdr:row>43</xdr:row>
      <xdr:rowOff>9525</xdr:rowOff>
    </xdr:from>
    <xdr:to>
      <xdr:col>14</xdr:col>
      <xdr:colOff>323851</xdr:colOff>
      <xdr:row>44</xdr:row>
      <xdr:rowOff>161925</xdr:rowOff>
    </xdr:to>
    <xdr:cxnSp macro="">
      <xdr:nvCxnSpPr>
        <xdr:cNvPr id="8" name="Straight Arrow Connector 7"/>
        <xdr:cNvCxnSpPr/>
      </xdr:nvCxnSpPr>
      <xdr:spPr>
        <a:xfrm rot="16200000" flipH="1">
          <a:off x="4071939" y="8834437"/>
          <a:ext cx="3429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76201</xdr:colOff>
      <xdr:row>30</xdr:row>
      <xdr:rowOff>85725</xdr:rowOff>
    </xdr:from>
    <xdr:to>
      <xdr:col>10</xdr:col>
      <xdr:colOff>352426</xdr:colOff>
      <xdr:row>30</xdr:row>
      <xdr:rowOff>87313</xdr:rowOff>
    </xdr:to>
    <xdr:cxnSp macro="">
      <xdr:nvCxnSpPr>
        <xdr:cNvPr id="9" name="Straight Arrow Connector 8"/>
        <xdr:cNvCxnSpPr/>
      </xdr:nvCxnSpPr>
      <xdr:spPr>
        <a:xfrm rot="10800000">
          <a:off x="2724151" y="6762750"/>
          <a:ext cx="2762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161926</xdr:colOff>
      <xdr:row>30</xdr:row>
      <xdr:rowOff>104775</xdr:rowOff>
    </xdr:from>
    <xdr:to>
      <xdr:col>8</xdr:col>
      <xdr:colOff>133351</xdr:colOff>
      <xdr:row>30</xdr:row>
      <xdr:rowOff>123825</xdr:rowOff>
    </xdr:to>
    <xdr:cxnSp macro="">
      <xdr:nvCxnSpPr>
        <xdr:cNvPr id="10" name="Straight Arrow Connector 9"/>
        <xdr:cNvCxnSpPr/>
      </xdr:nvCxnSpPr>
      <xdr:spPr>
        <a:xfrm rot="10800000" flipV="1">
          <a:off x="2028826" y="6781800"/>
          <a:ext cx="2190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142876</xdr:colOff>
      <xdr:row>18</xdr:row>
      <xdr:rowOff>123824</xdr:rowOff>
    </xdr:from>
    <xdr:to>
      <xdr:col>10</xdr:col>
      <xdr:colOff>323851</xdr:colOff>
      <xdr:row>18</xdr:row>
      <xdr:rowOff>133349</xdr:rowOff>
    </xdr:to>
    <xdr:cxnSp macro="">
      <xdr:nvCxnSpPr>
        <xdr:cNvPr id="11" name="Straight Arrow Connector 10"/>
        <xdr:cNvCxnSpPr/>
      </xdr:nvCxnSpPr>
      <xdr:spPr>
        <a:xfrm rot="10800000" flipV="1">
          <a:off x="2790826" y="3476624"/>
          <a:ext cx="1809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123825</xdr:colOff>
      <xdr:row>18</xdr:row>
      <xdr:rowOff>95251</xdr:rowOff>
    </xdr:from>
    <xdr:to>
      <xdr:col>6</xdr:col>
      <xdr:colOff>123825</xdr:colOff>
      <xdr:row>18</xdr:row>
      <xdr:rowOff>104776</xdr:rowOff>
    </xdr:to>
    <xdr:cxnSp macro="">
      <xdr:nvCxnSpPr>
        <xdr:cNvPr id="12" name="Straight Arrow Connector 11"/>
        <xdr:cNvCxnSpPr/>
      </xdr:nvCxnSpPr>
      <xdr:spPr>
        <a:xfrm rot="10800000">
          <a:off x="1371600" y="3448051"/>
          <a:ext cx="2857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48</xdr:row>
      <xdr:rowOff>95249</xdr:rowOff>
    </xdr:from>
    <xdr:to>
      <xdr:col>7</xdr:col>
      <xdr:colOff>76200</xdr:colOff>
      <xdr:row>48</xdr:row>
      <xdr:rowOff>104774</xdr:rowOff>
    </xdr:to>
    <xdr:cxnSp macro="">
      <xdr:nvCxnSpPr>
        <xdr:cNvPr id="14" name="Straight Arrow Connector 13"/>
        <xdr:cNvCxnSpPr/>
      </xdr:nvCxnSpPr>
      <xdr:spPr>
        <a:xfrm rot="10800000" flipV="1">
          <a:off x="1562100" y="9820274"/>
          <a:ext cx="3810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180976</xdr:colOff>
      <xdr:row>6</xdr:row>
      <xdr:rowOff>123824</xdr:rowOff>
    </xdr:from>
    <xdr:to>
      <xdr:col>10</xdr:col>
      <xdr:colOff>266701</xdr:colOff>
      <xdr:row>6</xdr:row>
      <xdr:rowOff>133349</xdr:rowOff>
    </xdr:to>
    <xdr:cxnSp macro="">
      <xdr:nvCxnSpPr>
        <xdr:cNvPr id="15" name="Straight Arrow Connector 14"/>
        <xdr:cNvCxnSpPr/>
      </xdr:nvCxnSpPr>
      <xdr:spPr>
        <a:xfrm rot="10800000" flipV="1">
          <a:off x="2600326" y="1476374"/>
          <a:ext cx="314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152401</xdr:colOff>
      <xdr:row>6</xdr:row>
      <xdr:rowOff>114299</xdr:rowOff>
    </xdr:from>
    <xdr:to>
      <xdr:col>7</xdr:col>
      <xdr:colOff>95251</xdr:colOff>
      <xdr:row>6</xdr:row>
      <xdr:rowOff>123824</xdr:rowOff>
    </xdr:to>
    <xdr:cxnSp macro="">
      <xdr:nvCxnSpPr>
        <xdr:cNvPr id="16" name="Straight Arrow Connector 15"/>
        <xdr:cNvCxnSpPr/>
      </xdr:nvCxnSpPr>
      <xdr:spPr>
        <a:xfrm rot="10800000" flipV="1">
          <a:off x="1685926" y="1466849"/>
          <a:ext cx="2762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docu/docu/R&amp;B%20Dept.%20Estimates/East-S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Old-17-01-2023-Weir%20channel%20%20ab-dt-d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MR"/>
      <sheetName val="Road Abst."/>
      <sheetName val="CD works Abst."/>
      <sheetName val="CC drains Abst."/>
      <sheetName val="Road Detail Est."/>
      <sheetName val="CD works detail Est."/>
      <sheetName val="CC drains detail Est."/>
      <sheetName val="Earth work Cal"/>
      <sheetName val="Earth Volume"/>
      <sheetName val="General Abst."/>
      <sheetName val="Lead Statement"/>
      <sheetName val="Road data"/>
      <sheetName val="CD work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heck slip-1"/>
      <sheetName val="Check slip-2"/>
      <sheetName val="Chec slip-3"/>
      <sheetName val="Absrtact"/>
      <sheetName val="Detailed"/>
      <sheetName val="Bar bending "/>
      <sheetName val="Land aquisition"/>
      <sheetName val="Structures details"/>
      <sheetName val="Shutter detls"/>
      <sheetName val="Seinorage"/>
      <sheetName val="Data"/>
      <sheetName val="M-20 railling"/>
      <sheetName val="M-25"/>
      <sheetName val="M-25 deck slab"/>
      <sheetName val="M-25 wear coat"/>
      <sheetName val="M-30 wear coat"/>
      <sheetName val="Drinage Spout"/>
      <sheetName val="Road Data"/>
      <sheetName val="shutter data"/>
      <sheetName val="Lead"/>
      <sheetName val="Cross section"/>
      <sheetName val="O.T.Sluices"/>
      <sheetName val="Taildams"/>
      <sheetName val="Box culvert Drawing"/>
      <sheetName val="drawing "/>
      <sheetName val="drawing2"/>
      <sheetName val="Weir-channel-HP's"/>
      <sheetName val="Gedalavamp-branch-1-HP's "/>
      <sheetName val="Perupalem-branch-2-HP's "/>
      <sheetName val="Dibbalapalem-branch-3-HP's "/>
      <sheetName val="Mulaparru-branch-4-HP's "/>
      <sheetName val="indexmap"/>
      <sheetName val="Earth area Cross section "/>
      <sheetName val="Brick data"/>
      <sheetName val="Scematic drawing"/>
      <sheetName val="Estimated Levels"/>
      <sheetName val="Estimated Levels (2)"/>
      <sheetName val="Tail dam on Weir channel "/>
    </sheetNames>
    <sheetDataSet>
      <sheetData sheetId="0" refreshError="1"/>
      <sheetData sheetId="1" refreshError="1"/>
      <sheetData sheetId="2" refreshError="1"/>
      <sheetData sheetId="3">
        <row r="2">
          <cell r="A2" t="str">
            <v>Name of the Work: Formation of New Weir channel from km 3.300 to km 6.100 and its four branch channels in Mogalturu (M) of W.G.Dt.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C20"/>
  <sheetViews>
    <sheetView tabSelected="1" workbookViewId="0">
      <selection activeCell="G7" sqref="G7"/>
    </sheetView>
  </sheetViews>
  <sheetFormatPr defaultRowHeight="16.5"/>
  <cols>
    <col min="1" max="1" width="6.7109375" style="359" customWidth="1"/>
    <col min="2" max="2" width="47.28515625" style="359" customWidth="1"/>
    <col min="3" max="3" width="23.28515625" style="359" customWidth="1"/>
    <col min="4" max="16384" width="9.140625" style="359"/>
  </cols>
  <sheetData>
    <row r="1" spans="1:3" ht="18.75">
      <c r="A1" s="587" t="s">
        <v>782</v>
      </c>
      <c r="B1" s="587"/>
      <c r="C1" s="587"/>
    </row>
    <row r="2" spans="1:3" ht="80.25" customHeight="1">
      <c r="A2" s="586" t="str">
        <f>Absrtact!A2</f>
        <v>Name of the Work : Formation of New Channel with CC lining in Godavari Delta System</v>
      </c>
      <c r="B2" s="586"/>
      <c r="C2" s="586"/>
    </row>
    <row r="3" spans="1:3" s="361" customFormat="1" ht="35.1" customHeight="1">
      <c r="A3" s="360" t="s">
        <v>234</v>
      </c>
      <c r="B3" s="360" t="s">
        <v>780</v>
      </c>
      <c r="C3" s="360" t="s">
        <v>781</v>
      </c>
    </row>
    <row r="4" spans="1:3" s="361" customFormat="1" ht="35.1" customHeight="1">
      <c r="A4" s="361">
        <v>1</v>
      </c>
      <c r="B4" s="362" t="s">
        <v>784</v>
      </c>
    </row>
    <row r="5" spans="1:3" s="361" customFormat="1" ht="35.1" customHeight="1">
      <c r="A5" s="361">
        <v>2</v>
      </c>
      <c r="B5" s="362" t="s">
        <v>785</v>
      </c>
    </row>
    <row r="6" spans="1:3" s="361" customFormat="1" ht="35.1" customHeight="1">
      <c r="A6" s="361">
        <v>3</v>
      </c>
      <c r="B6" s="362" t="s">
        <v>786</v>
      </c>
    </row>
    <row r="7" spans="1:3" s="361" customFormat="1" ht="35.1" customHeight="1">
      <c r="A7" s="361">
        <v>4</v>
      </c>
      <c r="B7" s="362" t="s">
        <v>787</v>
      </c>
    </row>
    <row r="8" spans="1:3" s="361" customFormat="1" ht="35.1" customHeight="1">
      <c r="A8" s="361">
        <v>5</v>
      </c>
      <c r="B8" s="362" t="s">
        <v>790</v>
      </c>
    </row>
    <row r="9" spans="1:3" s="361" customFormat="1" ht="35.1" customHeight="1">
      <c r="A9" s="361">
        <v>6</v>
      </c>
      <c r="B9" s="362" t="s">
        <v>897</v>
      </c>
    </row>
    <row r="10" spans="1:3" s="361" customFormat="1" ht="35.1" customHeight="1">
      <c r="A10" s="361">
        <v>7</v>
      </c>
      <c r="B10" s="362" t="s">
        <v>409</v>
      </c>
    </row>
    <row r="11" spans="1:3" s="361" customFormat="1" ht="35.1" customHeight="1">
      <c r="A11" s="361">
        <v>8</v>
      </c>
      <c r="B11" s="362" t="s">
        <v>677</v>
      </c>
    </row>
    <row r="12" spans="1:3" s="361" customFormat="1" ht="35.1" customHeight="1">
      <c r="A12" s="361">
        <v>9</v>
      </c>
      <c r="B12" s="362" t="s">
        <v>788</v>
      </c>
    </row>
    <row r="13" spans="1:3" s="361" customFormat="1" ht="35.1" customHeight="1">
      <c r="A13" s="361">
        <v>10</v>
      </c>
      <c r="B13" s="362" t="s">
        <v>1006</v>
      </c>
    </row>
    <row r="14" spans="1:3" s="361" customFormat="1" ht="35.1" customHeight="1">
      <c r="A14" s="361">
        <v>11</v>
      </c>
      <c r="B14" s="362" t="s">
        <v>1007</v>
      </c>
    </row>
    <row r="15" spans="1:3" s="361" customFormat="1" ht="35.1" customHeight="1">
      <c r="A15" s="361">
        <v>12</v>
      </c>
      <c r="B15" s="362" t="s">
        <v>898</v>
      </c>
    </row>
    <row r="16" spans="1:3" s="361" customFormat="1" ht="35.1" customHeight="1">
      <c r="A16" s="361">
        <v>13</v>
      </c>
      <c r="B16" s="362" t="s">
        <v>791</v>
      </c>
    </row>
    <row r="17" spans="1:2" s="361" customFormat="1" ht="35.1" customHeight="1">
      <c r="A17" s="361">
        <v>14</v>
      </c>
      <c r="B17" s="362" t="s">
        <v>789</v>
      </c>
    </row>
    <row r="18" spans="1:2" s="361" customFormat="1" ht="35.1" customHeight="1">
      <c r="A18" s="361">
        <v>15</v>
      </c>
      <c r="B18" s="362" t="s">
        <v>783</v>
      </c>
    </row>
    <row r="19" spans="1:2" s="361" customFormat="1" ht="35.1" customHeight="1"/>
    <row r="20" spans="1:2" ht="35.1" customHeight="1"/>
  </sheetData>
  <mergeCells count="2">
    <mergeCell ref="A2:C2"/>
    <mergeCell ref="A1:C1"/>
  </mergeCells>
  <printOptions gridLines="1"/>
  <pageMargins left="1.45"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tabColor rgb="FF00B050"/>
  </sheetPr>
  <dimension ref="A1:I1024"/>
  <sheetViews>
    <sheetView workbookViewId="0">
      <selection activeCell="N10" sqref="N10"/>
    </sheetView>
  </sheetViews>
  <sheetFormatPr defaultColWidth="9.140625" defaultRowHeight="15"/>
  <cols>
    <col min="1" max="1" width="6" style="161" customWidth="1"/>
    <col min="2" max="2" width="9" style="161" customWidth="1"/>
    <col min="3" max="3" width="27.5703125" style="161" customWidth="1"/>
    <col min="4" max="4" width="9.140625" style="161"/>
    <col min="5" max="5" width="10.28515625" style="161" customWidth="1"/>
    <col min="6" max="6" width="11.140625" style="161" customWidth="1"/>
    <col min="7" max="7" width="14.28515625" style="161" customWidth="1"/>
    <col min="8" max="16384" width="9.140625" style="161"/>
  </cols>
  <sheetData>
    <row r="1" spans="1:7">
      <c r="A1" s="632" t="s">
        <v>252</v>
      </c>
      <c r="B1" s="632"/>
      <c r="C1" s="632"/>
      <c r="D1" s="632"/>
      <c r="E1" s="632"/>
      <c r="F1" s="632"/>
      <c r="G1" s="632"/>
    </row>
    <row r="2" spans="1:7" ht="51" customHeight="1">
      <c r="A2" s="633" t="str">
        <f>Absrtact!A2</f>
        <v>Name of the Work : Formation of New Channel with CC lining in Godavari Delta System</v>
      </c>
      <c r="B2" s="633"/>
      <c r="C2" s="633"/>
      <c r="D2" s="633"/>
      <c r="E2" s="633"/>
      <c r="F2" s="633"/>
      <c r="G2" s="633"/>
    </row>
    <row r="3" spans="1:7" ht="23.25" customHeight="1">
      <c r="A3" s="636" t="s">
        <v>253</v>
      </c>
      <c r="B3" s="161" t="s">
        <v>254</v>
      </c>
    </row>
    <row r="4" spans="1:7" ht="20.25" customHeight="1">
      <c r="A4" s="636"/>
      <c r="B4" s="161" t="s">
        <v>255</v>
      </c>
    </row>
    <row r="5" spans="1:7" ht="20.25" customHeight="1">
      <c r="A5" s="636"/>
      <c r="B5" s="161" t="s">
        <v>256</v>
      </c>
    </row>
    <row r="6" spans="1:7">
      <c r="A6" s="636"/>
      <c r="B6" s="161" t="s">
        <v>257</v>
      </c>
    </row>
    <row r="9" spans="1:7">
      <c r="A9" s="161" t="s">
        <v>258</v>
      </c>
      <c r="C9" s="161" t="s">
        <v>259</v>
      </c>
      <c r="E9" s="161" t="s">
        <v>260</v>
      </c>
      <c r="F9" s="161">
        <v>440</v>
      </c>
      <c r="G9" s="161" t="s">
        <v>106</v>
      </c>
    </row>
    <row r="10" spans="1:7">
      <c r="B10" s="161" t="s">
        <v>261</v>
      </c>
    </row>
    <row r="11" spans="1:7">
      <c r="B11" s="161" t="s">
        <v>262</v>
      </c>
      <c r="C11" s="161" t="s">
        <v>263</v>
      </c>
      <c r="D11" s="161" t="s">
        <v>101</v>
      </c>
      <c r="E11" s="161" t="s">
        <v>100</v>
      </c>
      <c r="F11" s="161" t="s">
        <v>103</v>
      </c>
      <c r="G11" s="161" t="s">
        <v>264</v>
      </c>
    </row>
    <row r="12" spans="1:7">
      <c r="F12" s="161" t="s">
        <v>265</v>
      </c>
      <c r="G12" s="161" t="s">
        <v>265</v>
      </c>
    </row>
    <row r="13" spans="1:7">
      <c r="B13" s="161">
        <v>1</v>
      </c>
      <c r="C13" s="161" t="s">
        <v>266</v>
      </c>
      <c r="E13" s="161">
        <v>0</v>
      </c>
      <c r="F13" s="161">
        <v>0</v>
      </c>
      <c r="G13" s="161">
        <v>0</v>
      </c>
    </row>
    <row r="14" spans="1:7">
      <c r="E14" s="161">
        <v>0</v>
      </c>
      <c r="F14" s="161">
        <v>0</v>
      </c>
      <c r="G14" s="161">
        <v>0</v>
      </c>
    </row>
    <row r="15" spans="1:7">
      <c r="C15" s="161" t="s">
        <v>267</v>
      </c>
      <c r="F15" s="161" t="s">
        <v>268</v>
      </c>
      <c r="G15" s="161">
        <v>0</v>
      </c>
    </row>
    <row r="17" spans="2:7">
      <c r="B17" s="161" t="s">
        <v>269</v>
      </c>
    </row>
    <row r="18" spans="2:7">
      <c r="B18" s="161" t="s">
        <v>262</v>
      </c>
      <c r="C18" s="161" t="s">
        <v>270</v>
      </c>
      <c r="D18" s="161" t="s">
        <v>101</v>
      </c>
      <c r="E18" s="161" t="s">
        <v>100</v>
      </c>
      <c r="F18" s="161" t="s">
        <v>103</v>
      </c>
      <c r="G18" s="161" t="s">
        <v>264</v>
      </c>
    </row>
    <row r="19" spans="2:7">
      <c r="F19" s="161" t="s">
        <v>265</v>
      </c>
      <c r="G19" s="161" t="s">
        <v>265</v>
      </c>
    </row>
    <row r="20" spans="2:7">
      <c r="B20" s="161">
        <v>1</v>
      </c>
      <c r="C20" s="161" t="s">
        <v>271</v>
      </c>
      <c r="D20" s="161" t="s">
        <v>272</v>
      </c>
      <c r="E20" s="161">
        <v>8</v>
      </c>
      <c r="F20" s="161">
        <v>1023.1</v>
      </c>
      <c r="G20" s="163">
        <f>ROUND(F20*E20,2)</f>
        <v>8184.8</v>
      </c>
    </row>
    <row r="21" spans="2:7">
      <c r="C21" s="161" t="s">
        <v>273</v>
      </c>
      <c r="D21" s="161" t="s">
        <v>272</v>
      </c>
      <c r="E21" s="161">
        <v>8</v>
      </c>
      <c r="F21" s="161">
        <v>820.3</v>
      </c>
      <c r="G21" s="163">
        <f>ROUND(F21*E21,2)</f>
        <v>6562.4</v>
      </c>
    </row>
    <row r="22" spans="2:7">
      <c r="C22" s="161" t="s">
        <v>274</v>
      </c>
      <c r="F22" s="161" t="s">
        <v>268</v>
      </c>
      <c r="G22" s="163">
        <f>SUM(G20:G21)</f>
        <v>14747.2</v>
      </c>
    </row>
    <row r="24" spans="2:7">
      <c r="B24" s="161" t="s">
        <v>275</v>
      </c>
    </row>
    <row r="25" spans="2:7">
      <c r="B25" s="161" t="s">
        <v>262</v>
      </c>
      <c r="C25" s="161" t="s">
        <v>270</v>
      </c>
      <c r="D25" s="161" t="s">
        <v>101</v>
      </c>
      <c r="E25" s="161" t="s">
        <v>100</v>
      </c>
      <c r="F25" s="161" t="s">
        <v>103</v>
      </c>
      <c r="G25" s="161" t="s">
        <v>264</v>
      </c>
    </row>
    <row r="26" spans="2:7">
      <c r="F26" s="161" t="s">
        <v>265</v>
      </c>
      <c r="G26" s="161" t="s">
        <v>265</v>
      </c>
    </row>
    <row r="27" spans="2:7">
      <c r="B27" s="161">
        <v>1</v>
      </c>
      <c r="C27" s="161" t="s">
        <v>276</v>
      </c>
      <c r="D27" s="161" t="s">
        <v>272</v>
      </c>
      <c r="E27" s="161">
        <v>8</v>
      </c>
      <c r="F27" s="161">
        <v>348.4</v>
      </c>
      <c r="G27" s="163">
        <f>ROUND(F27*E27,2)</f>
        <v>2787.2</v>
      </c>
    </row>
    <row r="28" spans="2:7">
      <c r="B28" s="161">
        <v>2</v>
      </c>
      <c r="C28" s="161" t="s">
        <v>277</v>
      </c>
      <c r="D28" s="161" t="s">
        <v>278</v>
      </c>
      <c r="E28" s="161">
        <v>1</v>
      </c>
      <c r="F28" s="161">
        <v>730</v>
      </c>
      <c r="G28" s="163">
        <f t="shared" ref="G28:G29" si="0">ROUND(F28*E28,2)</f>
        <v>730</v>
      </c>
    </row>
    <row r="29" spans="2:7">
      <c r="B29" s="161">
        <v>3</v>
      </c>
      <c r="C29" s="161" t="s">
        <v>279</v>
      </c>
      <c r="D29" s="161" t="s">
        <v>278</v>
      </c>
      <c r="E29" s="161">
        <v>17</v>
      </c>
      <c r="F29" s="161">
        <v>560</v>
      </c>
      <c r="G29" s="163">
        <f t="shared" si="0"/>
        <v>9520</v>
      </c>
    </row>
    <row r="30" spans="2:7">
      <c r="C30" s="161" t="s">
        <v>280</v>
      </c>
      <c r="F30" s="161" t="s">
        <v>268</v>
      </c>
      <c r="G30" s="163">
        <f>SUM(G27:G29)</f>
        <v>13037.2</v>
      </c>
    </row>
    <row r="31" spans="2:7">
      <c r="B31" s="161" t="s">
        <v>281</v>
      </c>
      <c r="E31" s="164">
        <v>29.6</v>
      </c>
    </row>
    <row r="32" spans="2:7">
      <c r="B32" s="161" t="s">
        <v>282</v>
      </c>
      <c r="D32" s="161">
        <v>0.13614999999999999</v>
      </c>
      <c r="E32" s="164">
        <v>4</v>
      </c>
    </row>
    <row r="33" spans="1:7">
      <c r="B33" s="161" t="s">
        <v>283</v>
      </c>
      <c r="E33" s="165">
        <f>SUM(E31:E32)</f>
        <v>33.6</v>
      </c>
    </row>
    <row r="35" spans="1:7">
      <c r="B35" s="161" t="s">
        <v>284</v>
      </c>
    </row>
    <row r="36" spans="1:7">
      <c r="B36" s="161" t="s">
        <v>285</v>
      </c>
      <c r="F36" s="161" t="s">
        <v>268</v>
      </c>
      <c r="G36" s="161">
        <f>G15</f>
        <v>0</v>
      </c>
    </row>
    <row r="37" spans="1:7">
      <c r="B37" s="161" t="s">
        <v>286</v>
      </c>
      <c r="F37" s="161" t="s">
        <v>268</v>
      </c>
      <c r="G37" s="163">
        <f>G22</f>
        <v>14747.2</v>
      </c>
    </row>
    <row r="38" spans="1:7">
      <c r="B38" s="161" t="s">
        <v>287</v>
      </c>
      <c r="F38" s="161" t="s">
        <v>268</v>
      </c>
      <c r="G38" s="163">
        <f>G30</f>
        <v>13037.2</v>
      </c>
    </row>
    <row r="39" spans="1:7">
      <c r="F39" s="161" t="s">
        <v>288</v>
      </c>
      <c r="G39" s="163">
        <f>SUM(G36:G38)</f>
        <v>27784.400000000001</v>
      </c>
    </row>
    <row r="40" spans="1:7">
      <c r="B40" s="161" t="s">
        <v>289</v>
      </c>
      <c r="E40" s="161">
        <v>0.13614999999999999</v>
      </c>
      <c r="F40" s="161" t="s">
        <v>268</v>
      </c>
      <c r="G40" s="161">
        <f>ROUND(G39*E40,2)</f>
        <v>3782.85</v>
      </c>
    </row>
    <row r="41" spans="1:7">
      <c r="B41" s="161" t="s">
        <v>290</v>
      </c>
      <c r="D41" s="161">
        <v>440</v>
      </c>
      <c r="E41" s="161" t="s">
        <v>106</v>
      </c>
      <c r="F41" s="161" t="s">
        <v>268</v>
      </c>
      <c r="G41" s="163">
        <f>G40+G39</f>
        <v>31567.25</v>
      </c>
    </row>
    <row r="42" spans="1:7">
      <c r="B42" s="161" t="s">
        <v>291</v>
      </c>
      <c r="C42" s="161" t="s">
        <v>106</v>
      </c>
      <c r="D42" s="161" t="s">
        <v>292</v>
      </c>
      <c r="F42" s="161" t="s">
        <v>293</v>
      </c>
      <c r="G42" s="166">
        <f>ROUND(G41/D41,1)</f>
        <v>71.7</v>
      </c>
    </row>
    <row r="45" spans="1:7" ht="18">
      <c r="A45" s="642" t="s">
        <v>735</v>
      </c>
      <c r="B45" s="181" t="s">
        <v>746</v>
      </c>
      <c r="C45" s="312"/>
      <c r="D45" s="313"/>
      <c r="E45" s="313"/>
      <c r="F45" s="313"/>
      <c r="G45" s="313"/>
    </row>
    <row r="46" spans="1:7" ht="18">
      <c r="A46" s="642"/>
      <c r="B46" s="181" t="s">
        <v>747</v>
      </c>
      <c r="C46" s="312"/>
      <c r="D46" s="313"/>
      <c r="E46" s="313"/>
      <c r="F46" s="313"/>
      <c r="G46" s="313"/>
    </row>
    <row r="47" spans="1:7" ht="18">
      <c r="A47" s="642"/>
      <c r="B47" s="180" t="s">
        <v>748</v>
      </c>
      <c r="C47" s="312"/>
      <c r="D47" s="313"/>
      <c r="E47" s="313"/>
      <c r="F47" s="313"/>
      <c r="G47" s="313"/>
    </row>
    <row r="48" spans="1:7" ht="18">
      <c r="A48" s="642"/>
      <c r="B48" s="180" t="s">
        <v>749</v>
      </c>
      <c r="C48" s="312"/>
      <c r="D48" s="313"/>
      <c r="E48" s="313"/>
      <c r="F48" s="313"/>
      <c r="G48" s="313"/>
    </row>
    <row r="49" spans="1:8" ht="18">
      <c r="A49" s="314"/>
      <c r="B49" s="313"/>
      <c r="C49" s="312"/>
      <c r="D49" s="313"/>
      <c r="E49" s="313"/>
      <c r="F49" s="315"/>
      <c r="G49" s="316"/>
    </row>
    <row r="50" spans="1:8" ht="30">
      <c r="A50" s="317" t="s">
        <v>258</v>
      </c>
      <c r="B50" s="170"/>
      <c r="C50" s="171" t="s">
        <v>259</v>
      </c>
      <c r="E50" s="172" t="s">
        <v>260</v>
      </c>
      <c r="F50" s="173">
        <v>394</v>
      </c>
      <c r="G50" s="168" t="s">
        <v>106</v>
      </c>
      <c r="H50" s="342"/>
    </row>
    <row r="51" spans="1:8">
      <c r="A51" s="196"/>
      <c r="B51" s="174" t="s">
        <v>261</v>
      </c>
      <c r="C51" s="175"/>
      <c r="H51" s="342"/>
    </row>
    <row r="52" spans="1:8">
      <c r="A52" s="196"/>
      <c r="B52" s="200" t="s">
        <v>262</v>
      </c>
      <c r="C52" s="318" t="s">
        <v>263</v>
      </c>
      <c r="D52" s="200" t="s">
        <v>101</v>
      </c>
      <c r="E52" s="200" t="s">
        <v>100</v>
      </c>
      <c r="F52" s="200" t="s">
        <v>103</v>
      </c>
      <c r="G52" s="200" t="s">
        <v>264</v>
      </c>
      <c r="H52" s="342"/>
    </row>
    <row r="53" spans="1:8">
      <c r="A53" s="196"/>
      <c r="B53" s="319"/>
      <c r="C53" s="320"/>
      <c r="D53" s="319"/>
      <c r="E53" s="319"/>
      <c r="F53" s="319" t="s">
        <v>265</v>
      </c>
      <c r="G53" s="319" t="s">
        <v>265</v>
      </c>
      <c r="H53" s="342"/>
    </row>
    <row r="54" spans="1:8">
      <c r="A54" s="196"/>
      <c r="B54" s="200">
        <v>1</v>
      </c>
      <c r="C54" s="210" t="s">
        <v>736</v>
      </c>
      <c r="D54" s="200"/>
      <c r="E54" s="321">
        <v>0</v>
      </c>
      <c r="F54" s="322">
        <v>0</v>
      </c>
      <c r="G54" s="217">
        <v>0</v>
      </c>
      <c r="H54" s="342"/>
    </row>
    <row r="55" spans="1:8">
      <c r="A55" s="196"/>
      <c r="B55" s="323"/>
      <c r="C55" s="176"/>
      <c r="D55" s="324"/>
      <c r="E55" s="321">
        <v>0</v>
      </c>
      <c r="F55" s="322">
        <v>0</v>
      </c>
      <c r="G55" s="217">
        <v>0</v>
      </c>
      <c r="H55" s="342"/>
    </row>
    <row r="56" spans="1:8">
      <c r="A56" s="196"/>
      <c r="B56" s="325"/>
      <c r="C56" s="326" t="s">
        <v>267</v>
      </c>
      <c r="D56" s="208"/>
      <c r="E56" s="327"/>
      <c r="F56" s="328" t="s">
        <v>268</v>
      </c>
      <c r="G56" s="219">
        <v>0</v>
      </c>
      <c r="H56" s="342"/>
    </row>
    <row r="57" spans="1:8">
      <c r="A57" s="196"/>
      <c r="B57" s="170"/>
      <c r="C57" s="175"/>
      <c r="H57" s="342"/>
    </row>
    <row r="58" spans="1:8">
      <c r="A58" s="196"/>
      <c r="B58" s="174" t="s">
        <v>269</v>
      </c>
      <c r="C58" s="175"/>
      <c r="H58" s="342"/>
    </row>
    <row r="59" spans="1:8">
      <c r="A59" s="196"/>
      <c r="B59" s="200" t="s">
        <v>262</v>
      </c>
      <c r="C59" s="318" t="s">
        <v>270</v>
      </c>
      <c r="D59" s="200" t="s">
        <v>101</v>
      </c>
      <c r="E59" s="200" t="s">
        <v>100</v>
      </c>
      <c r="F59" s="200" t="s">
        <v>103</v>
      </c>
      <c r="G59" s="200" t="s">
        <v>264</v>
      </c>
      <c r="H59" s="342"/>
    </row>
    <row r="60" spans="1:8">
      <c r="A60" s="196"/>
      <c r="B60" s="324"/>
      <c r="C60" s="329"/>
      <c r="D60" s="324"/>
      <c r="E60" s="324"/>
      <c r="F60" s="324" t="s">
        <v>265</v>
      </c>
      <c r="G60" s="319" t="s">
        <v>265</v>
      </c>
      <c r="H60" s="342"/>
    </row>
    <row r="61" spans="1:8">
      <c r="A61" s="196"/>
      <c r="B61" s="330">
        <v>1</v>
      </c>
      <c r="C61" s="331" t="s">
        <v>737</v>
      </c>
      <c r="D61" s="330" t="s">
        <v>272</v>
      </c>
      <c r="E61" s="332">
        <v>8</v>
      </c>
      <c r="F61" s="333">
        <v>1023.1</v>
      </c>
      <c r="G61" s="216">
        <v>0</v>
      </c>
      <c r="H61" s="342"/>
    </row>
    <row r="62" spans="1:8">
      <c r="A62" s="196"/>
      <c r="B62" s="334"/>
      <c r="C62" s="331" t="s">
        <v>273</v>
      </c>
      <c r="D62" s="330" t="s">
        <v>272</v>
      </c>
      <c r="E62" s="332">
        <v>8</v>
      </c>
      <c r="F62" s="333">
        <v>820.3</v>
      </c>
      <c r="G62" s="216">
        <v>0</v>
      </c>
      <c r="H62" s="342"/>
    </row>
    <row r="63" spans="1:8">
      <c r="A63" s="196"/>
      <c r="B63" s="330">
        <v>2</v>
      </c>
      <c r="C63" s="331" t="s">
        <v>738</v>
      </c>
      <c r="D63" s="330" t="s">
        <v>272</v>
      </c>
      <c r="E63" s="332">
        <v>3</v>
      </c>
      <c r="F63" s="332">
        <v>1650.2</v>
      </c>
      <c r="G63" s="216">
        <f>F63*E63</f>
        <v>4950.6000000000004</v>
      </c>
      <c r="H63" s="342"/>
    </row>
    <row r="64" spans="1:8">
      <c r="A64" s="196"/>
      <c r="B64" s="334"/>
      <c r="C64" s="331" t="s">
        <v>273</v>
      </c>
      <c r="D64" s="330" t="s">
        <v>272</v>
      </c>
      <c r="E64" s="332">
        <v>3</v>
      </c>
      <c r="F64" s="332">
        <v>1052</v>
      </c>
      <c r="G64" s="216">
        <f t="shared" ref="G64:G73" si="1">F64*E64</f>
        <v>3156</v>
      </c>
      <c r="H64" s="342"/>
    </row>
    <row r="65" spans="1:8">
      <c r="A65" s="196"/>
      <c r="B65" s="330">
        <v>3</v>
      </c>
      <c r="C65" s="331" t="s">
        <v>739</v>
      </c>
      <c r="D65" s="330" t="s">
        <v>272</v>
      </c>
      <c r="E65" s="332">
        <v>24</v>
      </c>
      <c r="F65" s="333">
        <v>464.6</v>
      </c>
      <c r="G65" s="216">
        <f t="shared" si="1"/>
        <v>11150.400000000001</v>
      </c>
      <c r="H65" s="342"/>
    </row>
    <row r="66" spans="1:8">
      <c r="A66" s="196"/>
      <c r="B66" s="334"/>
      <c r="C66" s="331" t="s">
        <v>273</v>
      </c>
      <c r="D66" s="330" t="s">
        <v>272</v>
      </c>
      <c r="E66" s="332">
        <v>24</v>
      </c>
      <c r="F66" s="333">
        <v>516.79999999999995</v>
      </c>
      <c r="G66" s="216">
        <f t="shared" si="1"/>
        <v>12403.199999999999</v>
      </c>
      <c r="H66" s="342"/>
    </row>
    <row r="67" spans="1:8">
      <c r="A67" s="196"/>
      <c r="B67" s="330">
        <v>4</v>
      </c>
      <c r="C67" s="331" t="s">
        <v>740</v>
      </c>
      <c r="D67" s="330" t="s">
        <v>272</v>
      </c>
      <c r="E67" s="332">
        <v>4</v>
      </c>
      <c r="F67" s="332">
        <v>10.3</v>
      </c>
      <c r="G67" s="216">
        <f t="shared" si="1"/>
        <v>41.2</v>
      </c>
      <c r="H67" s="342"/>
    </row>
    <row r="68" spans="1:8">
      <c r="A68" s="196"/>
      <c r="B68" s="334"/>
      <c r="C68" s="331" t="s">
        <v>273</v>
      </c>
      <c r="D68" s="330" t="s">
        <v>272</v>
      </c>
      <c r="E68" s="332">
        <v>4</v>
      </c>
      <c r="F68" s="332">
        <v>136.69999999999999</v>
      </c>
      <c r="G68" s="216">
        <f t="shared" si="1"/>
        <v>546.79999999999995</v>
      </c>
      <c r="H68" s="342"/>
    </row>
    <row r="69" spans="1:8">
      <c r="A69" s="196"/>
      <c r="B69" s="330">
        <v>5</v>
      </c>
      <c r="C69" s="331" t="s">
        <v>321</v>
      </c>
      <c r="D69" s="330" t="s">
        <v>272</v>
      </c>
      <c r="E69" s="332">
        <v>4</v>
      </c>
      <c r="F69" s="332">
        <v>432.4</v>
      </c>
      <c r="G69" s="216">
        <f t="shared" si="1"/>
        <v>1729.6</v>
      </c>
      <c r="H69" s="342"/>
    </row>
    <row r="70" spans="1:8">
      <c r="A70" s="196"/>
      <c r="B70" s="334"/>
      <c r="C70" s="331" t="s">
        <v>273</v>
      </c>
      <c r="D70" s="330" t="s">
        <v>272</v>
      </c>
      <c r="E70" s="332">
        <v>4</v>
      </c>
      <c r="F70" s="332">
        <v>516.79999999999995</v>
      </c>
      <c r="G70" s="216">
        <f t="shared" si="1"/>
        <v>2067.1999999999998</v>
      </c>
      <c r="H70" s="342"/>
    </row>
    <row r="71" spans="1:8">
      <c r="A71" s="196"/>
      <c r="B71" s="330">
        <v>6</v>
      </c>
      <c r="C71" s="331" t="s">
        <v>741</v>
      </c>
      <c r="D71" s="330" t="s">
        <v>272</v>
      </c>
      <c r="E71" s="332">
        <v>10</v>
      </c>
      <c r="F71" s="332">
        <v>192.5</v>
      </c>
      <c r="G71" s="216">
        <f t="shared" si="1"/>
        <v>1925</v>
      </c>
      <c r="H71" s="342"/>
    </row>
    <row r="72" spans="1:8" ht="15" customHeight="1">
      <c r="A72" s="196"/>
      <c r="B72" s="334"/>
      <c r="C72" s="331" t="s">
        <v>273</v>
      </c>
      <c r="D72" s="330" t="s">
        <v>272</v>
      </c>
      <c r="E72" s="332">
        <v>10</v>
      </c>
      <c r="F72" s="332">
        <v>1230.4000000000001</v>
      </c>
      <c r="G72" s="216">
        <f t="shared" si="1"/>
        <v>12304</v>
      </c>
      <c r="H72" s="342"/>
    </row>
    <row r="73" spans="1:8" ht="15" customHeight="1">
      <c r="A73" s="196"/>
      <c r="B73" s="330">
        <v>7</v>
      </c>
      <c r="C73" s="331" t="s">
        <v>318</v>
      </c>
      <c r="D73" s="330" t="s">
        <v>319</v>
      </c>
      <c r="E73" s="332">
        <v>5</v>
      </c>
      <c r="F73" s="333">
        <v>41</v>
      </c>
      <c r="G73" s="216">
        <f t="shared" si="1"/>
        <v>205</v>
      </c>
      <c r="H73" s="342"/>
    </row>
    <row r="74" spans="1:8" ht="15" customHeight="1">
      <c r="A74" s="196"/>
      <c r="B74" s="638" t="s">
        <v>274</v>
      </c>
      <c r="C74" s="639"/>
      <c r="D74" s="639"/>
      <c r="E74" s="640"/>
      <c r="F74" s="335" t="s">
        <v>268</v>
      </c>
      <c r="G74" s="336">
        <f>SUM(G61:G73)</f>
        <v>50478.999999999993</v>
      </c>
      <c r="H74" s="342"/>
    </row>
    <row r="75" spans="1:8" ht="15" customHeight="1">
      <c r="A75" s="196"/>
      <c r="B75" s="170"/>
      <c r="C75" s="175"/>
      <c r="H75" s="342"/>
    </row>
    <row r="76" spans="1:8" ht="15" customHeight="1">
      <c r="A76" s="196"/>
      <c r="B76" s="174" t="s">
        <v>275</v>
      </c>
      <c r="C76" s="175"/>
      <c r="H76" s="342"/>
    </row>
    <row r="77" spans="1:8" ht="30" customHeight="1">
      <c r="A77" s="196"/>
      <c r="B77" s="200" t="s">
        <v>262</v>
      </c>
      <c r="C77" s="318" t="s">
        <v>270</v>
      </c>
      <c r="D77" s="200" t="s">
        <v>101</v>
      </c>
      <c r="E77" s="200" t="s">
        <v>100</v>
      </c>
      <c r="F77" s="200" t="s">
        <v>103</v>
      </c>
      <c r="G77" s="200" t="s">
        <v>264</v>
      </c>
      <c r="H77" s="342"/>
    </row>
    <row r="78" spans="1:8" ht="15" customHeight="1">
      <c r="A78" s="196"/>
      <c r="B78" s="324"/>
      <c r="C78" s="329"/>
      <c r="D78" s="324"/>
      <c r="E78" s="324"/>
      <c r="F78" s="324" t="s">
        <v>265</v>
      </c>
      <c r="G78" s="319" t="s">
        <v>265</v>
      </c>
      <c r="H78" s="342"/>
    </row>
    <row r="79" spans="1:8" ht="15" customHeight="1">
      <c r="A79" s="196"/>
      <c r="B79" s="330">
        <v>1</v>
      </c>
      <c r="C79" s="331" t="s">
        <v>276</v>
      </c>
      <c r="D79" s="330" t="s">
        <v>272</v>
      </c>
      <c r="E79" s="333">
        <v>8</v>
      </c>
      <c r="F79" s="333">
        <v>348.4</v>
      </c>
      <c r="G79" s="216">
        <v>0</v>
      </c>
      <c r="H79" s="342"/>
    </row>
    <row r="80" spans="1:8" ht="15" customHeight="1">
      <c r="A80" s="196"/>
      <c r="B80" s="330">
        <v>2</v>
      </c>
      <c r="C80" s="331" t="s">
        <v>742</v>
      </c>
      <c r="D80" s="330" t="s">
        <v>272</v>
      </c>
      <c r="E80" s="333">
        <v>3</v>
      </c>
      <c r="F80" s="333">
        <v>348.4</v>
      </c>
      <c r="G80" s="216">
        <f>F80*E80</f>
        <v>1045.1999999999998</v>
      </c>
      <c r="H80" s="342"/>
    </row>
    <row r="81" spans="1:8" ht="15" customHeight="1">
      <c r="A81" s="196"/>
      <c r="B81" s="330">
        <v>3</v>
      </c>
      <c r="C81" s="331" t="s">
        <v>743</v>
      </c>
      <c r="D81" s="330" t="s">
        <v>272</v>
      </c>
      <c r="E81" s="333">
        <v>24</v>
      </c>
      <c r="F81" s="333">
        <v>261.3</v>
      </c>
      <c r="G81" s="216">
        <f t="shared" ref="G81:G86" si="2">F81*E81</f>
        <v>6271.2000000000007</v>
      </c>
      <c r="H81" s="342"/>
    </row>
    <row r="82" spans="1:8" ht="15" customHeight="1">
      <c r="A82" s="196"/>
      <c r="B82" s="330">
        <v>4</v>
      </c>
      <c r="C82" s="331" t="s">
        <v>324</v>
      </c>
      <c r="D82" s="330" t="s">
        <v>272</v>
      </c>
      <c r="E82" s="333">
        <v>4</v>
      </c>
      <c r="F82" s="333">
        <v>163.5</v>
      </c>
      <c r="G82" s="216">
        <f t="shared" si="2"/>
        <v>654</v>
      </c>
      <c r="H82" s="342"/>
    </row>
    <row r="83" spans="1:8" ht="15" customHeight="1">
      <c r="A83" s="196"/>
      <c r="B83" s="330">
        <v>5</v>
      </c>
      <c r="C83" s="331" t="s">
        <v>325</v>
      </c>
      <c r="D83" s="330" t="s">
        <v>272</v>
      </c>
      <c r="E83" s="333">
        <v>4</v>
      </c>
      <c r="F83" s="333">
        <v>258.39999999999998</v>
      </c>
      <c r="G83" s="216">
        <f t="shared" si="2"/>
        <v>1033.5999999999999</v>
      </c>
      <c r="H83" s="342"/>
    </row>
    <row r="84" spans="1:8" ht="15" customHeight="1">
      <c r="A84" s="196"/>
      <c r="B84" s="330">
        <v>6</v>
      </c>
      <c r="C84" s="331" t="s">
        <v>744</v>
      </c>
      <c r="D84" s="330" t="s">
        <v>272</v>
      </c>
      <c r="E84" s="333">
        <v>10</v>
      </c>
      <c r="F84" s="332">
        <v>320.7</v>
      </c>
      <c r="G84" s="216">
        <f t="shared" si="2"/>
        <v>3207</v>
      </c>
      <c r="H84" s="342"/>
    </row>
    <row r="85" spans="1:8" ht="15" customHeight="1">
      <c r="A85" s="196"/>
      <c r="B85" s="330">
        <v>7</v>
      </c>
      <c r="C85" s="331" t="s">
        <v>277</v>
      </c>
      <c r="D85" s="330" t="s">
        <v>278</v>
      </c>
      <c r="E85" s="333">
        <v>2</v>
      </c>
      <c r="F85" s="333">
        <v>730</v>
      </c>
      <c r="G85" s="216">
        <f t="shared" si="2"/>
        <v>1460</v>
      </c>
      <c r="H85" s="342"/>
    </row>
    <row r="86" spans="1:8" ht="15" customHeight="1">
      <c r="A86" s="196"/>
      <c r="B86" s="330">
        <v>8</v>
      </c>
      <c r="C86" s="331" t="s">
        <v>279</v>
      </c>
      <c r="D86" s="330" t="s">
        <v>278</v>
      </c>
      <c r="E86" s="333">
        <v>38</v>
      </c>
      <c r="F86" s="333">
        <v>560</v>
      </c>
      <c r="G86" s="216">
        <f t="shared" si="2"/>
        <v>21280</v>
      </c>
      <c r="H86" s="342"/>
    </row>
    <row r="87" spans="1:8" ht="15" customHeight="1">
      <c r="A87" s="196"/>
      <c r="B87" s="641" t="s">
        <v>280</v>
      </c>
      <c r="C87" s="641"/>
      <c r="D87" s="641"/>
      <c r="E87" s="641"/>
      <c r="F87" s="335" t="s">
        <v>268</v>
      </c>
      <c r="G87" s="209">
        <f>SUM(G79:G86)</f>
        <v>34951</v>
      </c>
      <c r="H87" s="342"/>
    </row>
    <row r="88" spans="1:8" ht="15" customHeight="1">
      <c r="A88" s="196"/>
      <c r="B88" s="177" t="s">
        <v>281</v>
      </c>
      <c r="C88" s="175"/>
      <c r="D88" s="178"/>
      <c r="E88" s="337">
        <v>95.8</v>
      </c>
      <c r="H88" s="342"/>
    </row>
    <row r="89" spans="1:8" ht="15" customHeight="1">
      <c r="A89" s="196"/>
      <c r="B89" s="177" t="s">
        <v>282</v>
      </c>
      <c r="C89" s="175"/>
      <c r="D89" s="179">
        <v>0.13615000000000002</v>
      </c>
      <c r="E89" s="337">
        <v>13</v>
      </c>
      <c r="H89" s="342"/>
    </row>
    <row r="90" spans="1:8" ht="30" customHeight="1">
      <c r="A90" s="196"/>
      <c r="B90" s="177" t="s">
        <v>283</v>
      </c>
      <c r="C90" s="175"/>
      <c r="D90" s="178"/>
      <c r="E90" s="338">
        <f>SUM(E88:E89)</f>
        <v>108.8</v>
      </c>
      <c r="H90" s="342"/>
    </row>
    <row r="91" spans="1:8" ht="15" customHeight="1">
      <c r="A91" s="196"/>
      <c r="C91" s="175"/>
      <c r="E91" s="339"/>
      <c r="H91" s="342"/>
    </row>
    <row r="92" spans="1:8" ht="15" customHeight="1">
      <c r="A92" s="196"/>
      <c r="B92" s="181" t="s">
        <v>284</v>
      </c>
      <c r="C92" s="175"/>
      <c r="H92" s="342"/>
    </row>
    <row r="93" spans="1:8" ht="15" customHeight="1">
      <c r="A93" s="196"/>
      <c r="B93" s="180" t="s">
        <v>285</v>
      </c>
      <c r="C93" s="175"/>
      <c r="F93" s="172" t="s">
        <v>268</v>
      </c>
      <c r="G93" s="182">
        <v>0</v>
      </c>
      <c r="H93" s="342"/>
    </row>
    <row r="94" spans="1:8" ht="15" customHeight="1">
      <c r="A94" s="196"/>
      <c r="B94" s="180" t="s">
        <v>286</v>
      </c>
      <c r="C94" s="175"/>
      <c r="F94" s="172" t="s">
        <v>268</v>
      </c>
      <c r="G94" s="182">
        <f>G74</f>
        <v>50478.999999999993</v>
      </c>
      <c r="H94" s="342"/>
    </row>
    <row r="95" spans="1:8" ht="15" customHeight="1">
      <c r="A95" s="196"/>
      <c r="B95" s="180" t="s">
        <v>287</v>
      </c>
      <c r="C95" s="175"/>
      <c r="F95" s="172" t="s">
        <v>268</v>
      </c>
      <c r="G95" s="183">
        <f>G87</f>
        <v>34951</v>
      </c>
      <c r="H95" s="342"/>
    </row>
    <row r="96" spans="1:8" ht="15" customHeight="1">
      <c r="A96" s="196"/>
      <c r="B96" s="170"/>
      <c r="C96" s="175"/>
      <c r="E96" s="184"/>
      <c r="F96" s="172" t="s">
        <v>288</v>
      </c>
      <c r="G96" s="220">
        <f>SUM(G93:G95)</f>
        <v>85430</v>
      </c>
      <c r="H96" s="342"/>
    </row>
    <row r="97" spans="1:8" ht="15" customHeight="1">
      <c r="A97" s="196"/>
      <c r="B97" s="628" t="s">
        <v>289</v>
      </c>
      <c r="C97" s="628"/>
      <c r="D97" s="628"/>
      <c r="E97" s="179">
        <v>0.13615000000000002</v>
      </c>
      <c r="F97" s="172" t="s">
        <v>268</v>
      </c>
      <c r="G97" s="178">
        <f>ROUND(G96*13.615%,2)</f>
        <v>11631.29</v>
      </c>
      <c r="H97" s="342"/>
    </row>
    <row r="98" spans="1:8" ht="15" customHeight="1">
      <c r="A98" s="196"/>
      <c r="B98" s="180" t="s">
        <v>290</v>
      </c>
      <c r="C98" s="175"/>
      <c r="D98" s="182">
        <v>394</v>
      </c>
      <c r="E98" s="182" t="s">
        <v>106</v>
      </c>
      <c r="F98" s="172" t="s">
        <v>268</v>
      </c>
      <c r="G98" s="185">
        <f>G96+G97</f>
        <v>97061.290000000008</v>
      </c>
      <c r="H98" s="342"/>
    </row>
    <row r="99" spans="1:8" ht="15" customHeight="1">
      <c r="A99" s="196"/>
      <c r="B99" s="174" t="s">
        <v>751</v>
      </c>
      <c r="C99" s="340" t="s">
        <v>106</v>
      </c>
      <c r="D99" s="168" t="s">
        <v>745</v>
      </c>
      <c r="F99" s="172" t="s">
        <v>293</v>
      </c>
      <c r="G99" s="185">
        <f>ROUND(G98/394,2)</f>
        <v>246.35</v>
      </c>
      <c r="H99" s="342"/>
    </row>
    <row r="100" spans="1:8">
      <c r="A100" s="349"/>
      <c r="B100" s="345"/>
      <c r="C100" s="311"/>
      <c r="D100" s="341"/>
      <c r="E100" s="183"/>
      <c r="F100" s="344"/>
      <c r="G100" s="183"/>
      <c r="H100" s="342"/>
    </row>
    <row r="101" spans="1:8">
      <c r="A101" s="349"/>
      <c r="B101" s="345"/>
      <c r="C101" s="311"/>
      <c r="D101" s="341"/>
      <c r="E101" s="183"/>
      <c r="F101" s="344"/>
      <c r="G101" s="183"/>
      <c r="H101" s="342"/>
    </row>
    <row r="102" spans="1:8">
      <c r="A102" s="349"/>
      <c r="B102" s="190" t="s">
        <v>336</v>
      </c>
      <c r="H102" s="342"/>
    </row>
    <row r="103" spans="1:8">
      <c r="A103" s="349"/>
      <c r="C103" s="161" t="s">
        <v>297</v>
      </c>
      <c r="D103" s="161" t="s">
        <v>101</v>
      </c>
      <c r="E103" s="161" t="s">
        <v>100</v>
      </c>
      <c r="F103" s="161" t="s">
        <v>103</v>
      </c>
      <c r="G103" s="161" t="s">
        <v>264</v>
      </c>
      <c r="H103" s="342"/>
    </row>
    <row r="104" spans="1:8">
      <c r="A104" s="349"/>
      <c r="B104" s="161">
        <v>1</v>
      </c>
      <c r="C104" s="161" t="s">
        <v>294</v>
      </c>
      <c r="D104" s="161" t="s">
        <v>106</v>
      </c>
      <c r="E104" s="180">
        <v>1</v>
      </c>
      <c r="F104" s="163">
        <f>Lead!G12</f>
        <v>868.7</v>
      </c>
      <c r="G104" s="163">
        <f t="shared" ref="G104" si="3">ROUND(F104*E104,2)</f>
        <v>868.7</v>
      </c>
      <c r="H104" s="342"/>
    </row>
    <row r="105" spans="1:8">
      <c r="A105" s="349"/>
      <c r="E105" s="180"/>
      <c r="F105" s="163"/>
      <c r="G105" s="163"/>
      <c r="H105" s="342"/>
    </row>
    <row r="106" spans="1:8">
      <c r="A106" s="349"/>
      <c r="E106" s="180"/>
      <c r="F106" s="163"/>
      <c r="G106" s="163"/>
      <c r="H106" s="342"/>
    </row>
    <row r="107" spans="1:8">
      <c r="A107" s="349"/>
      <c r="E107" s="191"/>
      <c r="F107" s="163" t="s">
        <v>230</v>
      </c>
      <c r="G107" s="163">
        <f>ROUND(SUM(G104:G106),1)</f>
        <v>868.7</v>
      </c>
      <c r="H107" s="342"/>
    </row>
    <row r="108" spans="1:8">
      <c r="A108" s="349"/>
      <c r="D108" s="161" t="s">
        <v>337</v>
      </c>
      <c r="E108" s="191"/>
      <c r="F108" s="163"/>
      <c r="G108" s="163">
        <f>ROUND(G107*13.615%,2)</f>
        <v>118.27</v>
      </c>
      <c r="H108" s="342"/>
    </row>
    <row r="109" spans="1:8">
      <c r="A109" s="349"/>
      <c r="D109" s="161" t="s">
        <v>338</v>
      </c>
      <c r="E109" s="191"/>
      <c r="F109" s="163"/>
      <c r="G109" s="163">
        <f>SUM(G107:G108)</f>
        <v>986.97</v>
      </c>
      <c r="H109" s="342"/>
    </row>
    <row r="110" spans="1:8">
      <c r="A110" s="349"/>
      <c r="D110" s="161" t="s">
        <v>1151</v>
      </c>
      <c r="G110" s="163">
        <f>ROUND((-37.3*13.615%-37.3),2)</f>
        <v>-42.38</v>
      </c>
      <c r="H110" s="342"/>
    </row>
    <row r="111" spans="1:8">
      <c r="A111" s="349"/>
      <c r="D111" s="161" t="s">
        <v>837</v>
      </c>
      <c r="G111" s="163">
        <f>SUM(G109:G110)</f>
        <v>944.59</v>
      </c>
      <c r="H111" s="342"/>
    </row>
    <row r="112" spans="1:8">
      <c r="A112" s="349"/>
      <c r="B112" s="347" t="s">
        <v>750</v>
      </c>
      <c r="C112" s="176"/>
      <c r="D112" s="178"/>
      <c r="E112" s="178"/>
      <c r="F112" s="343"/>
      <c r="G112" s="183">
        <v>155</v>
      </c>
      <c r="H112" s="342"/>
    </row>
    <row r="113" spans="1:8">
      <c r="A113" s="349"/>
      <c r="B113" s="177"/>
      <c r="C113" s="176"/>
      <c r="D113" s="178" t="s">
        <v>995</v>
      </c>
      <c r="E113" s="178"/>
      <c r="F113" s="343"/>
      <c r="G113" s="183">
        <f>ROUND(G112*13.615%,2)</f>
        <v>21.1</v>
      </c>
      <c r="H113" s="342"/>
    </row>
    <row r="114" spans="1:8">
      <c r="A114" s="349"/>
      <c r="B114" s="341"/>
      <c r="C114" s="176"/>
      <c r="D114" s="178"/>
      <c r="E114" s="348"/>
      <c r="F114" s="343"/>
      <c r="G114" s="183"/>
      <c r="H114" s="342"/>
    </row>
    <row r="115" spans="1:8">
      <c r="A115" s="349"/>
      <c r="B115" s="634" t="s">
        <v>752</v>
      </c>
      <c r="C115" s="634"/>
      <c r="D115" s="634"/>
      <c r="E115" s="179"/>
      <c r="F115" s="343"/>
      <c r="G115" s="346">
        <f>ROUND((G99+G111+G112+G113),1)</f>
        <v>1367</v>
      </c>
      <c r="H115" s="436"/>
    </row>
    <row r="116" spans="1:8">
      <c r="A116" s="349"/>
      <c r="B116" s="177"/>
      <c r="C116" s="176"/>
      <c r="D116" s="183"/>
      <c r="E116" s="183"/>
      <c r="F116" s="343"/>
      <c r="G116" s="346"/>
      <c r="H116" s="342"/>
    </row>
    <row r="118" spans="1:8" hidden="1">
      <c r="A118" s="637" t="s">
        <v>300</v>
      </c>
      <c r="B118" s="167" t="s">
        <v>301</v>
      </c>
      <c r="C118" s="167"/>
      <c r="D118" s="167"/>
      <c r="E118" s="167"/>
      <c r="F118" s="167"/>
      <c r="G118" s="167"/>
      <c r="H118" s="180"/>
    </row>
    <row r="119" spans="1:8" hidden="1">
      <c r="A119" s="637"/>
      <c r="B119" s="167" t="s">
        <v>302</v>
      </c>
      <c r="C119" s="167"/>
      <c r="D119" s="167"/>
      <c r="E119" s="167"/>
      <c r="F119" s="167"/>
      <c r="G119" s="167"/>
      <c r="H119" s="180"/>
    </row>
    <row r="120" spans="1:8" hidden="1">
      <c r="A120" s="637"/>
      <c r="B120" s="187" t="s">
        <v>303</v>
      </c>
      <c r="C120" s="167"/>
      <c r="D120" s="167"/>
      <c r="E120" s="167"/>
      <c r="F120" s="167"/>
      <c r="G120" s="167"/>
      <c r="H120" s="180"/>
    </row>
    <row r="121" spans="1:8" hidden="1">
      <c r="A121" s="637"/>
      <c r="B121" s="167" t="s">
        <v>304</v>
      </c>
      <c r="C121" s="167"/>
      <c r="D121" s="167"/>
      <c r="E121" s="167"/>
      <c r="F121" s="167"/>
      <c r="G121" s="167"/>
      <c r="H121" s="180"/>
    </row>
    <row r="122" spans="1:8" hidden="1">
      <c r="A122" s="637"/>
      <c r="B122" s="167" t="s">
        <v>305</v>
      </c>
      <c r="C122" s="167"/>
      <c r="D122" s="167"/>
      <c r="E122" s="167"/>
      <c r="F122" s="167"/>
      <c r="G122" s="167"/>
      <c r="H122" s="180"/>
    </row>
    <row r="123" spans="1:8" hidden="1">
      <c r="A123" s="637"/>
      <c r="B123" s="167" t="s">
        <v>306</v>
      </c>
      <c r="C123" s="167"/>
      <c r="D123" s="167"/>
      <c r="E123" s="167"/>
      <c r="F123" s="167"/>
      <c r="G123" s="167"/>
      <c r="H123" s="180"/>
    </row>
    <row r="124" spans="1:8" hidden="1">
      <c r="A124" s="637"/>
      <c r="B124" s="167" t="s">
        <v>307</v>
      </c>
      <c r="C124" s="167"/>
      <c r="D124" s="167"/>
      <c r="E124" s="167"/>
      <c r="F124" s="167"/>
      <c r="G124" s="167"/>
      <c r="H124" s="180"/>
    </row>
    <row r="125" spans="1:8" hidden="1">
      <c r="A125" s="637"/>
      <c r="B125" s="167" t="s">
        <v>308</v>
      </c>
      <c r="C125" s="167"/>
      <c r="D125" s="167"/>
      <c r="E125" s="167"/>
      <c r="F125" s="167"/>
      <c r="G125" s="167"/>
      <c r="H125" s="180"/>
    </row>
    <row r="126" spans="1:8" hidden="1">
      <c r="A126" s="180"/>
      <c r="B126" s="180"/>
      <c r="C126" s="180"/>
      <c r="D126" s="180"/>
      <c r="E126" s="180"/>
      <c r="F126" s="180"/>
      <c r="G126" s="180"/>
      <c r="H126" s="180"/>
    </row>
    <row r="127" spans="1:8" hidden="1">
      <c r="A127" s="180"/>
      <c r="B127" s="180"/>
      <c r="C127" s="180"/>
      <c r="D127" s="180"/>
      <c r="E127" s="180"/>
      <c r="F127" s="180"/>
      <c r="G127" s="180"/>
      <c r="H127" s="180"/>
    </row>
    <row r="128" spans="1:8" hidden="1">
      <c r="A128" s="180"/>
      <c r="B128" s="180"/>
      <c r="C128" s="180"/>
      <c r="D128" s="180"/>
      <c r="E128" s="180"/>
      <c r="F128" s="180"/>
      <c r="G128" s="180"/>
      <c r="H128" s="180"/>
    </row>
    <row r="129" spans="1:8" hidden="1">
      <c r="A129" s="180" t="s">
        <v>252</v>
      </c>
      <c r="B129" s="180"/>
      <c r="C129" s="180" t="s">
        <v>259</v>
      </c>
      <c r="D129" s="180"/>
      <c r="E129" s="180" t="s">
        <v>260</v>
      </c>
      <c r="F129" s="180">
        <v>23.1</v>
      </c>
      <c r="G129" s="180" t="s">
        <v>106</v>
      </c>
      <c r="H129" s="180"/>
    </row>
    <row r="130" spans="1:8" hidden="1">
      <c r="A130" s="180"/>
      <c r="B130" s="180" t="s">
        <v>261</v>
      </c>
      <c r="C130" s="180"/>
      <c r="D130" s="180"/>
      <c r="E130" s="180"/>
      <c r="F130" s="180"/>
      <c r="G130" s="180"/>
      <c r="H130" s="180"/>
    </row>
    <row r="131" spans="1:8" hidden="1">
      <c r="A131" s="180"/>
      <c r="B131" s="180" t="s">
        <v>262</v>
      </c>
      <c r="C131" s="180" t="s">
        <v>263</v>
      </c>
      <c r="D131" s="180" t="s">
        <v>101</v>
      </c>
      <c r="E131" s="180" t="s">
        <v>100</v>
      </c>
      <c r="F131" s="180" t="s">
        <v>103</v>
      </c>
      <c r="G131" s="180" t="s">
        <v>264</v>
      </c>
      <c r="H131" s="180"/>
    </row>
    <row r="132" spans="1:8" hidden="1">
      <c r="A132" s="180"/>
      <c r="B132" s="180"/>
      <c r="C132" s="180"/>
      <c r="D132" s="180"/>
      <c r="E132" s="180"/>
      <c r="F132" s="180" t="s">
        <v>265</v>
      </c>
      <c r="G132" s="180" t="s">
        <v>265</v>
      </c>
      <c r="H132" s="180"/>
    </row>
    <row r="133" spans="1:8" hidden="1">
      <c r="A133" s="180"/>
      <c r="B133" s="180">
        <v>1</v>
      </c>
      <c r="C133" s="180" t="s">
        <v>309</v>
      </c>
      <c r="D133" s="180" t="s">
        <v>310</v>
      </c>
      <c r="E133" s="180">
        <v>6930</v>
      </c>
      <c r="F133" s="180">
        <v>4.22</v>
      </c>
      <c r="G133" s="180">
        <f>ROUND(F133*E133,2)</f>
        <v>29244.6</v>
      </c>
      <c r="H133" s="180"/>
    </row>
    <row r="134" spans="1:8" hidden="1">
      <c r="A134" s="180"/>
      <c r="B134" s="180"/>
      <c r="C134" s="180" t="s">
        <v>311</v>
      </c>
      <c r="D134" s="180" t="s">
        <v>310</v>
      </c>
      <c r="E134" s="180">
        <v>115.5</v>
      </c>
      <c r="F134" s="180">
        <v>4.22</v>
      </c>
      <c r="G134" s="180">
        <f t="shared" ref="G134:G140" si="4">ROUND(F134*E134,2)</f>
        <v>487.41</v>
      </c>
      <c r="H134" s="180"/>
    </row>
    <row r="135" spans="1:8" hidden="1">
      <c r="A135" s="180"/>
      <c r="B135" s="180">
        <v>2</v>
      </c>
      <c r="C135" s="180" t="s">
        <v>312</v>
      </c>
      <c r="D135" s="180" t="s">
        <v>106</v>
      </c>
      <c r="E135" s="180">
        <v>12.012</v>
      </c>
      <c r="F135" s="180">
        <v>1395</v>
      </c>
      <c r="G135" s="180">
        <f t="shared" si="4"/>
        <v>16756.740000000002</v>
      </c>
      <c r="H135" s="180"/>
    </row>
    <row r="136" spans="1:8" hidden="1">
      <c r="A136" s="180"/>
      <c r="B136" s="180"/>
      <c r="C136" s="180" t="s">
        <v>313</v>
      </c>
      <c r="D136" s="180" t="s">
        <v>106</v>
      </c>
      <c r="E136" s="180">
        <v>6.468</v>
      </c>
      <c r="F136" s="180">
        <v>1016</v>
      </c>
      <c r="G136" s="180">
        <f>ROUND(F136*E136,3)</f>
        <v>6571.4880000000003</v>
      </c>
      <c r="H136" s="180"/>
    </row>
    <row r="137" spans="1:8" hidden="1">
      <c r="A137" s="180"/>
      <c r="B137" s="180">
        <v>3</v>
      </c>
      <c r="C137" s="180" t="s">
        <v>314</v>
      </c>
      <c r="D137" s="180" t="s">
        <v>106</v>
      </c>
      <c r="E137" s="180">
        <v>10.395</v>
      </c>
      <c r="F137" s="180">
        <v>605</v>
      </c>
      <c r="G137" s="180">
        <f>ROUND(F137*E137,3)</f>
        <v>6288.9750000000004</v>
      </c>
      <c r="H137" s="180"/>
    </row>
    <row r="138" spans="1:8" hidden="1">
      <c r="A138" s="180"/>
      <c r="B138" s="180">
        <v>4</v>
      </c>
      <c r="C138" s="180" t="s">
        <v>315</v>
      </c>
      <c r="D138" s="180" t="s">
        <v>310</v>
      </c>
      <c r="E138" s="180">
        <v>27.72</v>
      </c>
      <c r="F138" s="180">
        <v>59</v>
      </c>
      <c r="G138" s="180">
        <f t="shared" si="4"/>
        <v>1635.48</v>
      </c>
      <c r="H138" s="180"/>
    </row>
    <row r="139" spans="1:8" hidden="1">
      <c r="A139" s="180"/>
      <c r="B139" s="180">
        <v>6</v>
      </c>
      <c r="C139" s="180" t="s">
        <v>316</v>
      </c>
      <c r="D139" s="180" t="s">
        <v>317</v>
      </c>
      <c r="E139" s="180">
        <v>231</v>
      </c>
      <c r="F139" s="188">
        <v>60.17</v>
      </c>
      <c r="G139" s="180">
        <v>13898.16</v>
      </c>
      <c r="H139" s="180"/>
    </row>
    <row r="140" spans="1:8" hidden="1">
      <c r="A140" s="180"/>
      <c r="B140" s="180">
        <v>7</v>
      </c>
      <c r="C140" s="180" t="s">
        <v>318</v>
      </c>
      <c r="D140" s="180" t="s">
        <v>319</v>
      </c>
      <c r="E140" s="180">
        <v>2</v>
      </c>
      <c r="F140" s="180">
        <v>38</v>
      </c>
      <c r="G140" s="188">
        <f t="shared" si="4"/>
        <v>76</v>
      </c>
      <c r="H140" s="180"/>
    </row>
    <row r="141" spans="1:8" hidden="1">
      <c r="A141" s="180"/>
      <c r="B141" s="180"/>
      <c r="C141" s="180" t="s">
        <v>267</v>
      </c>
      <c r="D141" s="180"/>
      <c r="E141" s="180"/>
      <c r="F141" s="180" t="s">
        <v>268</v>
      </c>
      <c r="G141" s="188">
        <f>SUM(G133:G140)</f>
        <v>74958.853000000003</v>
      </c>
      <c r="H141" s="180"/>
    </row>
    <row r="142" spans="1:8" hidden="1">
      <c r="A142" s="180"/>
      <c r="B142" s="180"/>
      <c r="C142" s="180"/>
      <c r="D142" s="180"/>
      <c r="E142" s="180"/>
      <c r="F142" s="180"/>
      <c r="G142" s="180"/>
      <c r="H142" s="180"/>
    </row>
    <row r="143" spans="1:8" hidden="1">
      <c r="A143" s="180"/>
      <c r="B143" s="180" t="s">
        <v>269</v>
      </c>
      <c r="C143" s="180"/>
      <c r="D143" s="180"/>
      <c r="E143" s="180"/>
      <c r="F143" s="180"/>
      <c r="G143" s="180"/>
      <c r="H143" s="180"/>
    </row>
    <row r="144" spans="1:8" hidden="1">
      <c r="A144" s="180"/>
      <c r="B144" s="180" t="s">
        <v>262</v>
      </c>
      <c r="C144" s="180" t="s">
        <v>270</v>
      </c>
      <c r="D144" s="180" t="s">
        <v>101</v>
      </c>
      <c r="E144" s="180" t="s">
        <v>100</v>
      </c>
      <c r="F144" s="180" t="s">
        <v>103</v>
      </c>
      <c r="G144" s="180" t="s">
        <v>264</v>
      </c>
      <c r="H144" s="180"/>
    </row>
    <row r="145" spans="1:8" hidden="1">
      <c r="A145" s="180"/>
      <c r="B145" s="180"/>
      <c r="C145" s="180"/>
      <c r="D145" s="180"/>
      <c r="E145" s="180"/>
      <c r="F145" s="180" t="s">
        <v>265</v>
      </c>
      <c r="G145" s="180" t="s">
        <v>265</v>
      </c>
      <c r="H145" s="180"/>
    </row>
    <row r="146" spans="1:8" hidden="1">
      <c r="A146" s="180"/>
      <c r="B146" s="180">
        <v>1</v>
      </c>
      <c r="C146" s="180" t="s">
        <v>320</v>
      </c>
      <c r="D146" s="180" t="s">
        <v>272</v>
      </c>
      <c r="E146" s="180">
        <v>16</v>
      </c>
      <c r="F146" s="180">
        <v>86.4</v>
      </c>
      <c r="G146" s="180">
        <f>ROUND(F146*E146,2)</f>
        <v>1382.4</v>
      </c>
      <c r="H146" s="180"/>
    </row>
    <row r="147" spans="1:8" hidden="1">
      <c r="A147" s="180"/>
      <c r="B147" s="180"/>
      <c r="C147" s="180" t="s">
        <v>273</v>
      </c>
      <c r="D147" s="180" t="s">
        <v>272</v>
      </c>
      <c r="E147" s="180">
        <v>16</v>
      </c>
      <c r="F147" s="180">
        <v>274.3</v>
      </c>
      <c r="G147" s="180">
        <f t="shared" ref="G147:G153" si="5">ROUND(F147*E147,2)</f>
        <v>4388.8</v>
      </c>
      <c r="H147" s="180"/>
    </row>
    <row r="148" spans="1:8" hidden="1">
      <c r="A148" s="180"/>
      <c r="B148" s="180">
        <v>2</v>
      </c>
      <c r="C148" s="180" t="s">
        <v>295</v>
      </c>
      <c r="D148" s="180" t="s">
        <v>272</v>
      </c>
      <c r="E148" s="180">
        <v>0.5</v>
      </c>
      <c r="F148" s="180">
        <v>9.6999999999999993</v>
      </c>
      <c r="G148" s="180">
        <f t="shared" si="5"/>
        <v>4.8499999999999996</v>
      </c>
      <c r="H148" s="180"/>
    </row>
    <row r="149" spans="1:8" hidden="1">
      <c r="A149" s="180"/>
      <c r="B149" s="180"/>
      <c r="C149" s="180" t="s">
        <v>273</v>
      </c>
      <c r="D149" s="180" t="s">
        <v>272</v>
      </c>
      <c r="E149" s="180">
        <v>0.5</v>
      </c>
      <c r="F149" s="180">
        <v>137.1</v>
      </c>
      <c r="G149" s="180">
        <f t="shared" si="5"/>
        <v>68.55</v>
      </c>
      <c r="H149" s="180"/>
    </row>
    <row r="150" spans="1:8" hidden="1">
      <c r="A150" s="180"/>
      <c r="B150" s="180">
        <v>3</v>
      </c>
      <c r="C150" s="180" t="s">
        <v>321</v>
      </c>
      <c r="D150" s="180" t="s">
        <v>272</v>
      </c>
      <c r="E150" s="180">
        <v>1</v>
      </c>
      <c r="F150" s="180">
        <v>408.3</v>
      </c>
      <c r="G150" s="180">
        <f t="shared" si="5"/>
        <v>408.3</v>
      </c>
      <c r="H150" s="180"/>
    </row>
    <row r="151" spans="1:8" hidden="1">
      <c r="A151" s="180"/>
      <c r="B151" s="180"/>
      <c r="C151" s="180" t="s">
        <v>273</v>
      </c>
      <c r="D151" s="180" t="s">
        <v>272</v>
      </c>
      <c r="E151" s="180">
        <v>1</v>
      </c>
      <c r="F151" s="180">
        <v>518.4</v>
      </c>
      <c r="G151" s="180">
        <f t="shared" si="5"/>
        <v>518.4</v>
      </c>
      <c r="H151" s="180"/>
    </row>
    <row r="152" spans="1:8" hidden="1">
      <c r="A152" s="180"/>
      <c r="B152" s="180">
        <v>4</v>
      </c>
      <c r="C152" s="180" t="s">
        <v>322</v>
      </c>
      <c r="D152" s="180" t="s">
        <v>272</v>
      </c>
      <c r="E152" s="180">
        <v>16</v>
      </c>
      <c r="F152" s="180">
        <v>7.4</v>
      </c>
      <c r="G152" s="180">
        <f t="shared" si="5"/>
        <v>118.4</v>
      </c>
      <c r="H152" s="180"/>
    </row>
    <row r="153" spans="1:8" hidden="1">
      <c r="A153" s="180"/>
      <c r="B153" s="180"/>
      <c r="C153" s="180" t="s">
        <v>273</v>
      </c>
      <c r="D153" s="180" t="s">
        <v>272</v>
      </c>
      <c r="E153" s="180">
        <v>16</v>
      </c>
      <c r="F153" s="180">
        <v>30.8</v>
      </c>
      <c r="G153" s="180">
        <f t="shared" si="5"/>
        <v>492.8</v>
      </c>
      <c r="H153" s="180"/>
    </row>
    <row r="154" spans="1:8" hidden="1">
      <c r="A154" s="180"/>
      <c r="B154" s="180"/>
      <c r="C154" s="180" t="s">
        <v>274</v>
      </c>
      <c r="D154" s="180"/>
      <c r="E154" s="180"/>
      <c r="F154" s="180" t="s">
        <v>268</v>
      </c>
      <c r="G154" s="180">
        <f>SUM(G146:G153)</f>
        <v>7382.5000000000009</v>
      </c>
      <c r="H154" s="180"/>
    </row>
    <row r="155" spans="1:8" hidden="1">
      <c r="A155" s="180"/>
      <c r="B155" s="180"/>
      <c r="C155" s="180"/>
      <c r="D155" s="180"/>
      <c r="E155" s="180"/>
      <c r="F155" s="180"/>
      <c r="G155" s="180"/>
      <c r="H155" s="180"/>
    </row>
    <row r="156" spans="1:8" hidden="1">
      <c r="A156" s="180"/>
      <c r="B156" s="180" t="s">
        <v>275</v>
      </c>
      <c r="C156" s="180"/>
      <c r="D156" s="180"/>
      <c r="E156" s="180"/>
      <c r="F156" s="180"/>
      <c r="G156" s="180"/>
      <c r="H156" s="180"/>
    </row>
    <row r="157" spans="1:8" hidden="1">
      <c r="A157" s="180"/>
      <c r="B157" s="180" t="s">
        <v>262</v>
      </c>
      <c r="C157" s="180" t="s">
        <v>270</v>
      </c>
      <c r="D157" s="180" t="s">
        <v>101</v>
      </c>
      <c r="E157" s="180" t="s">
        <v>100</v>
      </c>
      <c r="F157" s="180" t="s">
        <v>103</v>
      </c>
      <c r="G157" s="180" t="s">
        <v>264</v>
      </c>
      <c r="H157" s="180"/>
    </row>
    <row r="158" spans="1:8" hidden="1">
      <c r="A158" s="180"/>
      <c r="B158" s="180"/>
      <c r="C158" s="180"/>
      <c r="D158" s="180"/>
      <c r="E158" s="180"/>
      <c r="F158" s="180" t="s">
        <v>265</v>
      </c>
      <c r="G158" s="180" t="s">
        <v>265</v>
      </c>
      <c r="H158" s="180"/>
    </row>
    <row r="159" spans="1:8" hidden="1">
      <c r="A159" s="180"/>
      <c r="B159" s="180">
        <v>1</v>
      </c>
      <c r="C159" s="180" t="s">
        <v>323</v>
      </c>
      <c r="D159" s="180" t="s">
        <v>272</v>
      </c>
      <c r="E159" s="180">
        <v>16</v>
      </c>
      <c r="F159" s="180">
        <v>306.8</v>
      </c>
      <c r="G159" s="180">
        <f>ROUND(F159*E159,2)</f>
        <v>4908.8</v>
      </c>
      <c r="H159" s="180"/>
    </row>
    <row r="160" spans="1:8" hidden="1">
      <c r="A160" s="180"/>
      <c r="B160" s="180">
        <v>2</v>
      </c>
      <c r="C160" s="180" t="s">
        <v>324</v>
      </c>
      <c r="D160" s="180" t="s">
        <v>272</v>
      </c>
      <c r="E160" s="180">
        <v>0.5</v>
      </c>
      <c r="F160" s="180">
        <v>153.5</v>
      </c>
      <c r="G160" s="180">
        <f t="shared" ref="G160:G171" si="6">ROUND(F160*E160,2)</f>
        <v>76.75</v>
      </c>
      <c r="H160" s="180"/>
    </row>
    <row r="161" spans="1:8" hidden="1">
      <c r="A161" s="180"/>
      <c r="B161" s="180">
        <v>3</v>
      </c>
      <c r="C161" s="180" t="s">
        <v>325</v>
      </c>
      <c r="D161" s="180" t="s">
        <v>272</v>
      </c>
      <c r="E161" s="180">
        <v>1</v>
      </c>
      <c r="F161" s="180">
        <v>241.8</v>
      </c>
      <c r="G161" s="180">
        <f t="shared" si="6"/>
        <v>241.8</v>
      </c>
      <c r="H161" s="180"/>
    </row>
    <row r="162" spans="1:8" hidden="1">
      <c r="A162" s="180"/>
      <c r="B162" s="180">
        <v>4</v>
      </c>
      <c r="C162" s="180" t="s">
        <v>326</v>
      </c>
      <c r="D162" s="180" t="s">
        <v>272</v>
      </c>
      <c r="E162" s="180">
        <v>16</v>
      </c>
      <c r="F162" s="180">
        <v>220.9</v>
      </c>
      <c r="G162" s="180">
        <f t="shared" si="6"/>
        <v>3534.4</v>
      </c>
      <c r="H162" s="180"/>
    </row>
    <row r="163" spans="1:8" hidden="1">
      <c r="A163" s="180"/>
      <c r="B163" s="180">
        <v>5</v>
      </c>
      <c r="C163" s="180" t="s">
        <v>327</v>
      </c>
      <c r="D163" s="180" t="s">
        <v>278</v>
      </c>
      <c r="E163" s="180">
        <v>2</v>
      </c>
      <c r="F163" s="180">
        <v>630</v>
      </c>
      <c r="G163" s="180">
        <f t="shared" si="6"/>
        <v>1260</v>
      </c>
      <c r="H163" s="180"/>
    </row>
    <row r="164" spans="1:8" hidden="1">
      <c r="A164" s="180"/>
      <c r="B164" s="180">
        <v>6</v>
      </c>
      <c r="C164" s="180" t="s">
        <v>277</v>
      </c>
      <c r="D164" s="180" t="s">
        <v>278</v>
      </c>
      <c r="E164" s="180">
        <v>1</v>
      </c>
      <c r="F164" s="180">
        <v>685</v>
      </c>
      <c r="G164" s="180">
        <f t="shared" si="6"/>
        <v>685</v>
      </c>
      <c r="H164" s="180"/>
    </row>
    <row r="165" spans="1:8" hidden="1">
      <c r="A165" s="180"/>
      <c r="B165" s="180">
        <v>7</v>
      </c>
      <c r="C165" s="180" t="s">
        <v>328</v>
      </c>
      <c r="D165" s="180" t="s">
        <v>278</v>
      </c>
      <c r="E165" s="180">
        <v>1</v>
      </c>
      <c r="F165" s="180">
        <v>635</v>
      </c>
      <c r="G165" s="180">
        <f t="shared" si="6"/>
        <v>635</v>
      </c>
      <c r="H165" s="180"/>
    </row>
    <row r="166" spans="1:8" hidden="1">
      <c r="A166" s="180"/>
      <c r="B166" s="180">
        <v>8</v>
      </c>
      <c r="C166" s="180" t="s">
        <v>279</v>
      </c>
      <c r="D166" s="180"/>
      <c r="E166" s="180"/>
      <c r="F166" s="180"/>
      <c r="G166" s="180"/>
      <c r="H166" s="180"/>
    </row>
    <row r="167" spans="1:8" hidden="1">
      <c r="A167" s="180"/>
      <c r="B167" s="180"/>
      <c r="C167" s="180" t="s">
        <v>329</v>
      </c>
      <c r="D167" s="180" t="s">
        <v>278</v>
      </c>
      <c r="E167" s="180">
        <v>22</v>
      </c>
      <c r="F167" s="180">
        <v>525</v>
      </c>
      <c r="G167" s="180">
        <f t="shared" si="6"/>
        <v>11550</v>
      </c>
      <c r="H167" s="180"/>
    </row>
    <row r="168" spans="1:8" hidden="1">
      <c r="A168" s="180"/>
      <c r="B168" s="180"/>
      <c r="C168" s="180" t="s">
        <v>330</v>
      </c>
      <c r="D168" s="180" t="s">
        <v>278</v>
      </c>
      <c r="E168" s="180">
        <v>8</v>
      </c>
      <c r="F168" s="180">
        <v>525</v>
      </c>
      <c r="G168" s="180">
        <f t="shared" si="6"/>
        <v>4200</v>
      </c>
      <c r="H168" s="180"/>
    </row>
    <row r="169" spans="1:8" hidden="1">
      <c r="A169" s="180"/>
      <c r="B169" s="180"/>
      <c r="C169" s="180" t="s">
        <v>331</v>
      </c>
      <c r="D169" s="180" t="s">
        <v>278</v>
      </c>
      <c r="E169" s="180">
        <v>6</v>
      </c>
      <c r="F169" s="180">
        <v>525</v>
      </c>
      <c r="G169" s="180">
        <f t="shared" si="6"/>
        <v>3150</v>
      </c>
      <c r="H169" s="180"/>
    </row>
    <row r="170" spans="1:8" hidden="1">
      <c r="A170" s="180"/>
      <c r="B170" s="180"/>
      <c r="C170" s="180" t="s">
        <v>332</v>
      </c>
      <c r="D170" s="180" t="s">
        <v>278</v>
      </c>
      <c r="E170" s="180">
        <v>23.1</v>
      </c>
      <c r="F170" s="180">
        <v>525</v>
      </c>
      <c r="G170" s="180">
        <f t="shared" si="6"/>
        <v>12127.5</v>
      </c>
      <c r="H170" s="180"/>
    </row>
    <row r="171" spans="1:8" hidden="1">
      <c r="A171" s="180"/>
      <c r="B171" s="180"/>
      <c r="C171" s="180" t="s">
        <v>333</v>
      </c>
      <c r="D171" s="180" t="s">
        <v>278</v>
      </c>
      <c r="E171" s="180">
        <v>2</v>
      </c>
      <c r="F171" s="180">
        <v>525</v>
      </c>
      <c r="G171" s="180">
        <f t="shared" si="6"/>
        <v>1050</v>
      </c>
      <c r="H171" s="180"/>
    </row>
    <row r="172" spans="1:8" hidden="1">
      <c r="A172" s="180"/>
      <c r="B172" s="180"/>
      <c r="C172" s="180" t="s">
        <v>280</v>
      </c>
      <c r="D172" s="180"/>
      <c r="E172" s="180"/>
      <c r="F172" s="180" t="s">
        <v>268</v>
      </c>
      <c r="G172" s="180">
        <f>SUM(G159:G171)</f>
        <v>43419.25</v>
      </c>
      <c r="H172" s="180"/>
    </row>
    <row r="173" spans="1:8" hidden="1">
      <c r="A173" s="180"/>
      <c r="B173" s="180" t="s">
        <v>281</v>
      </c>
      <c r="C173" s="180"/>
      <c r="D173" s="180"/>
      <c r="E173" s="164">
        <v>1879.6</v>
      </c>
      <c r="F173" s="180"/>
      <c r="G173" s="180"/>
      <c r="H173" s="180"/>
    </row>
    <row r="174" spans="1:8" hidden="1">
      <c r="A174" s="180"/>
      <c r="B174" s="180" t="s">
        <v>282</v>
      </c>
      <c r="C174" s="180"/>
      <c r="D174" s="180">
        <v>0.13614999999999999</v>
      </c>
      <c r="E174" s="164">
        <v>255.9</v>
      </c>
      <c r="F174" s="180"/>
      <c r="G174" s="180"/>
      <c r="H174" s="180"/>
    </row>
    <row r="175" spans="1:8" hidden="1">
      <c r="A175" s="180"/>
      <c r="B175" s="180" t="s">
        <v>283</v>
      </c>
      <c r="C175" s="180"/>
      <c r="D175" s="180"/>
      <c r="E175" s="165">
        <f>SUM(E173:E174)</f>
        <v>2135.5</v>
      </c>
      <c r="F175" s="180"/>
      <c r="G175" s="180"/>
      <c r="H175" s="180"/>
    </row>
    <row r="176" spans="1:8" hidden="1">
      <c r="A176" s="180"/>
      <c r="B176" s="180"/>
      <c r="C176" s="180"/>
      <c r="D176" s="180"/>
      <c r="E176" s="180"/>
      <c r="F176" s="180"/>
      <c r="G176" s="180"/>
      <c r="H176" s="180"/>
    </row>
    <row r="177" spans="1:8" hidden="1">
      <c r="A177" s="180"/>
      <c r="B177" s="180" t="s">
        <v>284</v>
      </c>
      <c r="C177" s="180"/>
      <c r="D177" s="180"/>
      <c r="E177" s="180"/>
      <c r="F177" s="180"/>
      <c r="G177" s="180"/>
      <c r="H177" s="180"/>
    </row>
    <row r="178" spans="1:8" hidden="1">
      <c r="A178" s="180"/>
      <c r="B178" s="180" t="s">
        <v>285</v>
      </c>
      <c r="C178" s="180"/>
      <c r="D178" s="180"/>
      <c r="E178" s="180"/>
      <c r="F178" s="180" t="s">
        <v>268</v>
      </c>
      <c r="G178" s="180">
        <f>G141</f>
        <v>74958.853000000003</v>
      </c>
      <c r="H178" s="180"/>
    </row>
    <row r="179" spans="1:8" hidden="1">
      <c r="A179" s="180"/>
      <c r="B179" s="180" t="s">
        <v>286</v>
      </c>
      <c r="C179" s="180"/>
      <c r="D179" s="180"/>
      <c r="E179" s="180"/>
      <c r="F179" s="180" t="s">
        <v>268</v>
      </c>
      <c r="G179" s="180">
        <f>G154</f>
        <v>7382.5000000000009</v>
      </c>
      <c r="H179" s="180"/>
    </row>
    <row r="180" spans="1:8" hidden="1">
      <c r="A180" s="180"/>
      <c r="B180" s="180" t="s">
        <v>287</v>
      </c>
      <c r="C180" s="180"/>
      <c r="D180" s="180"/>
      <c r="E180" s="180"/>
      <c r="F180" s="180" t="s">
        <v>268</v>
      </c>
      <c r="G180" s="180">
        <f>G172</f>
        <v>43419.25</v>
      </c>
      <c r="H180" s="180"/>
    </row>
    <row r="181" spans="1:8" hidden="1">
      <c r="A181" s="180"/>
      <c r="B181" s="180"/>
      <c r="C181" s="180"/>
      <c r="D181" s="180"/>
      <c r="E181" s="180"/>
      <c r="F181" s="180" t="s">
        <v>288</v>
      </c>
      <c r="G181" s="180">
        <f>SUM(G178:G180)</f>
        <v>125760.603</v>
      </c>
      <c r="H181" s="180"/>
    </row>
    <row r="182" spans="1:8" hidden="1">
      <c r="A182" s="180"/>
      <c r="B182" s="180" t="s">
        <v>289</v>
      </c>
      <c r="C182" s="180"/>
      <c r="D182" s="180"/>
      <c r="E182" s="180">
        <v>0.13614999999999999</v>
      </c>
      <c r="F182" s="180" t="s">
        <v>268</v>
      </c>
      <c r="G182" s="180">
        <f>G181*E182</f>
        <v>17122.306098450001</v>
      </c>
      <c r="H182" s="180"/>
    </row>
    <row r="183" spans="1:8" hidden="1">
      <c r="A183" s="180"/>
      <c r="B183" s="180" t="s">
        <v>290</v>
      </c>
      <c r="C183" s="180"/>
      <c r="D183" s="180">
        <v>23.1</v>
      </c>
      <c r="E183" s="180" t="s">
        <v>106</v>
      </c>
      <c r="F183" s="180" t="s">
        <v>268</v>
      </c>
      <c r="G183" s="180">
        <f>SUM(G181:G182)</f>
        <v>142882.90909845001</v>
      </c>
      <c r="H183" s="180"/>
    </row>
    <row r="184" spans="1:8" hidden="1">
      <c r="A184" s="180"/>
      <c r="B184" s="181" t="s">
        <v>334</v>
      </c>
      <c r="C184" s="172"/>
      <c r="D184" s="180" t="s">
        <v>335</v>
      </c>
      <c r="E184" s="180"/>
      <c r="F184" s="180" t="s">
        <v>293</v>
      </c>
      <c r="G184" s="189">
        <f>ROUND(G183/D183,1)</f>
        <v>6185.4</v>
      </c>
      <c r="H184" s="180"/>
    </row>
    <row r="185" spans="1:8" hidden="1"/>
    <row r="186" spans="1:8" hidden="1"/>
    <row r="187" spans="1:8" hidden="1">
      <c r="B187" s="190" t="s">
        <v>336</v>
      </c>
    </row>
    <row r="188" spans="1:8" hidden="1">
      <c r="C188" s="161" t="s">
        <v>297</v>
      </c>
      <c r="D188" s="161" t="s">
        <v>101</v>
      </c>
      <c r="E188" s="161" t="s">
        <v>100</v>
      </c>
      <c r="F188" s="161" t="s">
        <v>103</v>
      </c>
      <c r="G188" s="161" t="s">
        <v>264</v>
      </c>
    </row>
    <row r="189" spans="1:8" hidden="1">
      <c r="B189" s="161">
        <v>1</v>
      </c>
      <c r="C189" s="161" t="s">
        <v>312</v>
      </c>
      <c r="D189" s="161" t="s">
        <v>106</v>
      </c>
      <c r="E189" s="180">
        <v>12.012</v>
      </c>
      <c r="F189" s="163">
        <f>Lead!G8</f>
        <v>1139.7</v>
      </c>
      <c r="G189" s="163">
        <f t="shared" ref="G189:G191" si="7">ROUND(F189*E189,2)</f>
        <v>13690.08</v>
      </c>
    </row>
    <row r="190" spans="1:8" hidden="1">
      <c r="B190" s="161">
        <v>2</v>
      </c>
      <c r="C190" s="161" t="s">
        <v>313</v>
      </c>
      <c r="D190" s="161" t="s">
        <v>106</v>
      </c>
      <c r="E190" s="180">
        <v>6.468</v>
      </c>
      <c r="F190" s="163">
        <f>F189</f>
        <v>1139.7</v>
      </c>
      <c r="G190" s="163">
        <f t="shared" si="7"/>
        <v>7371.58</v>
      </c>
    </row>
    <row r="191" spans="1:8" hidden="1">
      <c r="B191" s="161">
        <v>3</v>
      </c>
      <c r="C191" s="161" t="s">
        <v>314</v>
      </c>
      <c r="D191" s="161" t="s">
        <v>106</v>
      </c>
      <c r="E191" s="180">
        <v>10.395</v>
      </c>
      <c r="F191" s="163">
        <f>Lead!G10</f>
        <v>695.1</v>
      </c>
      <c r="G191" s="163">
        <f t="shared" si="7"/>
        <v>7225.56</v>
      </c>
    </row>
    <row r="192" spans="1:8" hidden="1">
      <c r="E192" s="191"/>
      <c r="F192" s="163"/>
      <c r="G192" s="163">
        <f>ROUND(SUM(G189:G191),1)</f>
        <v>28287.200000000001</v>
      </c>
    </row>
    <row r="193" spans="1:9" hidden="1">
      <c r="D193" s="161" t="s">
        <v>337</v>
      </c>
      <c r="E193" s="191"/>
      <c r="F193" s="163"/>
      <c r="G193" s="163">
        <f>ROUND(G192*13.615%,2)</f>
        <v>3851.3</v>
      </c>
    </row>
    <row r="194" spans="1:9" hidden="1">
      <c r="D194" s="161" t="s">
        <v>338</v>
      </c>
      <c r="E194" s="191"/>
      <c r="F194" s="163"/>
      <c r="G194" s="163">
        <f>SUM(G192:G193)</f>
        <v>32138.5</v>
      </c>
    </row>
    <row r="195" spans="1:9" hidden="1">
      <c r="D195" s="161" t="s">
        <v>339</v>
      </c>
      <c r="G195" s="163">
        <f>ROUND(G194/D183,2)</f>
        <v>1391.28</v>
      </c>
    </row>
    <row r="196" spans="1:9" hidden="1">
      <c r="B196" s="190" t="s">
        <v>340</v>
      </c>
      <c r="F196" s="192" t="s">
        <v>268</v>
      </c>
      <c r="G196" s="166">
        <f>ROUND((G184+G195),1)</f>
        <v>7576.7</v>
      </c>
    </row>
    <row r="197" spans="1:9" hidden="1"/>
    <row r="199" spans="1:9">
      <c r="A199" s="631" t="s">
        <v>792</v>
      </c>
      <c r="B199" s="180" t="s">
        <v>831</v>
      </c>
      <c r="C199" s="175"/>
      <c r="D199" s="168"/>
      <c r="E199" s="168"/>
      <c r="F199" s="168"/>
      <c r="G199" s="168"/>
      <c r="I199" s="180"/>
    </row>
    <row r="200" spans="1:9">
      <c r="A200" s="631"/>
      <c r="B200" s="180" t="s">
        <v>832</v>
      </c>
      <c r="C200" s="175"/>
      <c r="D200" s="168"/>
      <c r="E200" s="168"/>
      <c r="F200" s="168"/>
      <c r="G200" s="168"/>
    </row>
    <row r="201" spans="1:9">
      <c r="A201" s="631"/>
      <c r="B201" s="180" t="s">
        <v>833</v>
      </c>
      <c r="C201" s="175"/>
      <c r="D201" s="168"/>
      <c r="E201" s="168"/>
      <c r="F201" s="168"/>
      <c r="G201" s="168"/>
    </row>
    <row r="202" spans="1:9">
      <c r="A202" s="631"/>
      <c r="B202" s="180" t="s">
        <v>793</v>
      </c>
      <c r="C202" s="175"/>
    </row>
    <row r="203" spans="1:9">
      <c r="A203" s="631"/>
      <c r="B203" s="180" t="s">
        <v>794</v>
      </c>
      <c r="C203" s="175"/>
      <c r="F203" s="170"/>
    </row>
    <row r="204" spans="1:9">
      <c r="A204" s="631"/>
      <c r="B204" s="180" t="s">
        <v>834</v>
      </c>
      <c r="C204" s="175"/>
    </row>
    <row r="205" spans="1:9">
      <c r="A205" s="317"/>
      <c r="B205" s="181" t="s">
        <v>795</v>
      </c>
      <c r="C205" s="175"/>
    </row>
    <row r="206" spans="1:9">
      <c r="A206" s="317"/>
      <c r="B206" s="181" t="s">
        <v>796</v>
      </c>
      <c r="C206" s="168"/>
      <c r="D206" s="168"/>
      <c r="E206" s="168"/>
      <c r="F206" s="168"/>
      <c r="G206" s="168"/>
    </row>
    <row r="207" spans="1:9">
      <c r="A207" s="317"/>
      <c r="B207" s="181" t="s">
        <v>797</v>
      </c>
      <c r="C207" s="175"/>
    </row>
    <row r="208" spans="1:9">
      <c r="A208" s="317"/>
      <c r="B208" s="181" t="s">
        <v>798</v>
      </c>
      <c r="C208" s="175"/>
    </row>
    <row r="209" spans="1:7" ht="30">
      <c r="A209" s="317" t="s">
        <v>258</v>
      </c>
      <c r="B209" s="195"/>
      <c r="C209" s="193" t="s">
        <v>259</v>
      </c>
      <c r="E209" s="168" t="s">
        <v>260</v>
      </c>
      <c r="F209" s="194">
        <v>960</v>
      </c>
      <c r="G209" s="168" t="s">
        <v>317</v>
      </c>
    </row>
    <row r="210" spans="1:7">
      <c r="A210" s="196"/>
      <c r="B210" s="367" t="s">
        <v>261</v>
      </c>
      <c r="C210" s="318"/>
      <c r="D210" s="200"/>
      <c r="E210" s="200"/>
      <c r="F210" s="200"/>
      <c r="G210" s="200"/>
    </row>
    <row r="211" spans="1:7">
      <c r="A211" s="196"/>
      <c r="B211" s="324" t="s">
        <v>262</v>
      </c>
      <c r="C211" s="329" t="s">
        <v>263</v>
      </c>
      <c r="D211" s="324" t="s">
        <v>101</v>
      </c>
      <c r="E211" s="324" t="s">
        <v>100</v>
      </c>
      <c r="F211" s="324" t="s">
        <v>103</v>
      </c>
      <c r="G211" s="319" t="s">
        <v>264</v>
      </c>
    </row>
    <row r="212" spans="1:7">
      <c r="A212" s="196"/>
      <c r="B212" s="330"/>
      <c r="C212" s="331"/>
      <c r="D212" s="330"/>
      <c r="E212" s="332"/>
      <c r="F212" s="332" t="s">
        <v>265</v>
      </c>
      <c r="G212" s="321" t="s">
        <v>265</v>
      </c>
    </row>
    <row r="213" spans="1:7">
      <c r="A213" s="196"/>
      <c r="B213" s="330">
        <v>1</v>
      </c>
      <c r="C213" s="331" t="s">
        <v>800</v>
      </c>
      <c r="D213" s="330" t="s">
        <v>310</v>
      </c>
      <c r="E213" s="332">
        <v>23760</v>
      </c>
      <c r="F213" s="333">
        <v>4.22</v>
      </c>
      <c r="G213" s="216">
        <f>ROUND(F213*E213,2)</f>
        <v>100267.2</v>
      </c>
    </row>
    <row r="214" spans="1:7">
      <c r="A214" s="196"/>
      <c r="B214" s="330">
        <v>2</v>
      </c>
      <c r="C214" s="331" t="s">
        <v>312</v>
      </c>
      <c r="D214" s="330" t="s">
        <v>106</v>
      </c>
      <c r="E214" s="332">
        <v>41.184000000000005</v>
      </c>
      <c r="F214" s="333">
        <v>1445</v>
      </c>
      <c r="G214" s="216">
        <f t="shared" ref="G214:G220" si="8">ROUND(F214*E214,2)</f>
        <v>59510.879999999997</v>
      </c>
    </row>
    <row r="215" spans="1:7">
      <c r="A215" s="196"/>
      <c r="B215" s="330"/>
      <c r="C215" s="331" t="s">
        <v>801</v>
      </c>
      <c r="D215" s="330" t="s">
        <v>106</v>
      </c>
      <c r="E215" s="332">
        <v>22.176000000000002</v>
      </c>
      <c r="F215" s="333">
        <v>1052</v>
      </c>
      <c r="G215" s="216">
        <f t="shared" si="8"/>
        <v>23329.15</v>
      </c>
    </row>
    <row r="216" spans="1:7" ht="30">
      <c r="A216" s="169"/>
      <c r="B216" s="330">
        <v>3</v>
      </c>
      <c r="C216" s="331" t="s">
        <v>493</v>
      </c>
      <c r="D216" s="330" t="s">
        <v>106</v>
      </c>
      <c r="E216" s="332">
        <v>35.64</v>
      </c>
      <c r="F216" s="332">
        <v>605</v>
      </c>
      <c r="G216" s="216">
        <f t="shared" si="8"/>
        <v>21562.2</v>
      </c>
    </row>
    <row r="217" spans="1:7">
      <c r="A217" s="169"/>
      <c r="B217" s="330">
        <v>4</v>
      </c>
      <c r="C217" s="331" t="s">
        <v>802</v>
      </c>
      <c r="D217" s="330" t="s">
        <v>310</v>
      </c>
      <c r="E217" s="332">
        <v>95.04</v>
      </c>
      <c r="F217" s="332">
        <v>63</v>
      </c>
      <c r="G217" s="216">
        <f t="shared" si="8"/>
        <v>5987.52</v>
      </c>
    </row>
    <row r="218" spans="1:7">
      <c r="A218" s="196"/>
      <c r="B218" s="330">
        <v>5</v>
      </c>
      <c r="C218" s="331" t="s">
        <v>799</v>
      </c>
      <c r="D218" s="330" t="s">
        <v>436</v>
      </c>
      <c r="E218" s="332">
        <v>640</v>
      </c>
      <c r="F218" s="332">
        <v>48</v>
      </c>
      <c r="G218" s="216">
        <f t="shared" si="8"/>
        <v>30720</v>
      </c>
    </row>
    <row r="219" spans="1:7">
      <c r="A219" s="196"/>
      <c r="B219" s="330">
        <v>6</v>
      </c>
      <c r="C219" s="368" t="s">
        <v>803</v>
      </c>
      <c r="D219" s="330" t="s">
        <v>317</v>
      </c>
      <c r="E219" s="332">
        <v>960</v>
      </c>
      <c r="F219" s="332">
        <v>1.0266249999999999</v>
      </c>
      <c r="G219" s="216">
        <f t="shared" si="8"/>
        <v>985.56</v>
      </c>
    </row>
    <row r="220" spans="1:7">
      <c r="A220" s="196"/>
      <c r="B220" s="330">
        <v>7</v>
      </c>
      <c r="C220" s="331" t="s">
        <v>318</v>
      </c>
      <c r="D220" s="330" t="s">
        <v>319</v>
      </c>
      <c r="E220" s="332">
        <v>5</v>
      </c>
      <c r="F220" s="333">
        <v>41</v>
      </c>
      <c r="G220" s="216">
        <f t="shared" si="8"/>
        <v>205</v>
      </c>
    </row>
    <row r="221" spans="1:7">
      <c r="A221" s="196"/>
      <c r="B221" s="638" t="s">
        <v>267</v>
      </c>
      <c r="C221" s="639"/>
      <c r="D221" s="639"/>
      <c r="E221" s="640"/>
      <c r="F221" s="332" t="s">
        <v>268</v>
      </c>
      <c r="G221" s="336">
        <f>SUM(G213:G220)</f>
        <v>242567.50999999998</v>
      </c>
    </row>
    <row r="222" spans="1:7">
      <c r="A222" s="196"/>
      <c r="B222" s="369"/>
      <c r="C222" s="370"/>
      <c r="D222" s="371"/>
      <c r="E222" s="372"/>
      <c r="F222" s="372"/>
      <c r="G222" s="372"/>
    </row>
    <row r="223" spans="1:7">
      <c r="A223" s="196"/>
      <c r="B223" s="373" t="s">
        <v>269</v>
      </c>
      <c r="C223" s="364"/>
      <c r="D223" s="197"/>
      <c r="E223" s="374"/>
      <c r="F223" s="375"/>
      <c r="G223" s="375"/>
    </row>
    <row r="224" spans="1:7">
      <c r="A224" s="196"/>
      <c r="B224" s="376" t="s">
        <v>262</v>
      </c>
      <c r="C224" s="377" t="s">
        <v>270</v>
      </c>
      <c r="D224" s="200" t="s">
        <v>101</v>
      </c>
      <c r="E224" s="378" t="s">
        <v>100</v>
      </c>
      <c r="F224" s="378" t="s">
        <v>103</v>
      </c>
      <c r="G224" s="378" t="s">
        <v>264</v>
      </c>
    </row>
    <row r="225" spans="1:7">
      <c r="A225" s="196"/>
      <c r="B225" s="323"/>
      <c r="C225" s="379"/>
      <c r="D225" s="324"/>
      <c r="E225" s="322"/>
      <c r="F225" s="322" t="s">
        <v>265</v>
      </c>
      <c r="G225" s="322" t="s">
        <v>265</v>
      </c>
    </row>
    <row r="226" spans="1:7">
      <c r="A226" s="196"/>
      <c r="B226" s="330">
        <v>1</v>
      </c>
      <c r="C226" s="331" t="s">
        <v>804</v>
      </c>
      <c r="D226" s="330" t="s">
        <v>272</v>
      </c>
      <c r="E226" s="380">
        <v>8</v>
      </c>
      <c r="F226" s="332">
        <v>395.1</v>
      </c>
      <c r="G226" s="333">
        <f>ROUND(F226*E226,2)</f>
        <v>3160.8</v>
      </c>
    </row>
    <row r="227" spans="1:7">
      <c r="A227" s="196"/>
      <c r="B227" s="330"/>
      <c r="C227" s="331" t="s">
        <v>273</v>
      </c>
      <c r="D227" s="330" t="s">
        <v>272</v>
      </c>
      <c r="E227" s="380">
        <v>8</v>
      </c>
      <c r="F227" s="332">
        <v>380.7</v>
      </c>
      <c r="G227" s="333">
        <f t="shared" ref="G227:G242" si="9">ROUND(F227*E227,2)</f>
        <v>3045.6</v>
      </c>
    </row>
    <row r="228" spans="1:7">
      <c r="A228" s="196"/>
      <c r="B228" s="330">
        <v>2</v>
      </c>
      <c r="C228" s="331" t="s">
        <v>805</v>
      </c>
      <c r="D228" s="330" t="s">
        <v>272</v>
      </c>
      <c r="E228" s="380">
        <v>24</v>
      </c>
      <c r="F228" s="332">
        <v>762.8</v>
      </c>
      <c r="G228" s="333">
        <f t="shared" si="9"/>
        <v>18307.2</v>
      </c>
    </row>
    <row r="229" spans="1:7">
      <c r="A229" s="196"/>
      <c r="B229" s="330"/>
      <c r="C229" s="331" t="s">
        <v>273</v>
      </c>
      <c r="D229" s="330" t="s">
        <v>272</v>
      </c>
      <c r="E229" s="380">
        <v>24</v>
      </c>
      <c r="F229" s="332">
        <v>1503.9</v>
      </c>
      <c r="G229" s="333">
        <f t="shared" si="9"/>
        <v>36093.599999999999</v>
      </c>
    </row>
    <row r="230" spans="1:7">
      <c r="A230" s="196"/>
      <c r="B230" s="330">
        <v>3</v>
      </c>
      <c r="C230" s="331" t="s">
        <v>806</v>
      </c>
      <c r="D230" s="330" t="s">
        <v>272</v>
      </c>
      <c r="E230" s="380">
        <v>8</v>
      </c>
      <c r="F230" s="332">
        <v>353.9</v>
      </c>
      <c r="G230" s="333">
        <f t="shared" si="9"/>
        <v>2831.2</v>
      </c>
    </row>
    <row r="231" spans="1:7">
      <c r="A231" s="169"/>
      <c r="B231" s="330"/>
      <c r="C231" s="331" t="s">
        <v>807</v>
      </c>
      <c r="D231" s="330" t="s">
        <v>272</v>
      </c>
      <c r="E231" s="380">
        <v>8</v>
      </c>
      <c r="F231" s="332">
        <v>17.695</v>
      </c>
      <c r="G231" s="333">
        <f t="shared" si="9"/>
        <v>141.56</v>
      </c>
    </row>
    <row r="232" spans="1:7" ht="30">
      <c r="A232" s="169"/>
      <c r="B232" s="330">
        <v>4</v>
      </c>
      <c r="C232" s="331" t="s">
        <v>808</v>
      </c>
      <c r="D232" s="330" t="s">
        <v>272</v>
      </c>
      <c r="E232" s="380">
        <v>8</v>
      </c>
      <c r="F232" s="332">
        <v>83.2</v>
      </c>
      <c r="G232" s="333">
        <f t="shared" si="9"/>
        <v>665.6</v>
      </c>
    </row>
    <row r="233" spans="1:7">
      <c r="A233" s="196"/>
      <c r="B233" s="330"/>
      <c r="C233" s="331" t="s">
        <v>273</v>
      </c>
      <c r="D233" s="330" t="s">
        <v>272</v>
      </c>
      <c r="E233" s="380">
        <v>8</v>
      </c>
      <c r="F233" s="332">
        <v>1640.6</v>
      </c>
      <c r="G233" s="333">
        <f t="shared" si="9"/>
        <v>13124.8</v>
      </c>
    </row>
    <row r="234" spans="1:7">
      <c r="A234" s="196"/>
      <c r="B234" s="330">
        <v>5</v>
      </c>
      <c r="C234" s="331" t="s">
        <v>809</v>
      </c>
      <c r="D234" s="330" t="s">
        <v>272</v>
      </c>
      <c r="E234" s="380">
        <v>8</v>
      </c>
      <c r="F234" s="332">
        <v>66.599999999999994</v>
      </c>
      <c r="G234" s="333">
        <f t="shared" si="9"/>
        <v>532.79999999999995</v>
      </c>
    </row>
    <row r="235" spans="1:7">
      <c r="A235" s="196"/>
      <c r="B235" s="330"/>
      <c r="C235" s="331" t="s">
        <v>273</v>
      </c>
      <c r="D235" s="330" t="s">
        <v>272</v>
      </c>
      <c r="E235" s="380">
        <v>8</v>
      </c>
      <c r="F235" s="332">
        <v>1093.7</v>
      </c>
      <c r="G235" s="333">
        <f t="shared" si="9"/>
        <v>8749.6</v>
      </c>
    </row>
    <row r="236" spans="1:7">
      <c r="A236" s="196"/>
      <c r="B236" s="330">
        <v>6</v>
      </c>
      <c r="C236" s="331" t="s">
        <v>810</v>
      </c>
      <c r="D236" s="330" t="s">
        <v>272</v>
      </c>
      <c r="E236" s="380">
        <v>2</v>
      </c>
      <c r="F236" s="333">
        <v>1023.1</v>
      </c>
      <c r="G236" s="333">
        <f t="shared" si="9"/>
        <v>2046.2</v>
      </c>
    </row>
    <row r="237" spans="1:7">
      <c r="A237" s="196"/>
      <c r="B237" s="330"/>
      <c r="C237" s="331" t="s">
        <v>273</v>
      </c>
      <c r="D237" s="330" t="s">
        <v>272</v>
      </c>
      <c r="E237" s="380">
        <v>2</v>
      </c>
      <c r="F237" s="333">
        <v>820.3</v>
      </c>
      <c r="G237" s="333">
        <f t="shared" si="9"/>
        <v>1640.6</v>
      </c>
    </row>
    <row r="238" spans="1:7">
      <c r="A238" s="196"/>
      <c r="B238" s="330">
        <v>7</v>
      </c>
      <c r="C238" s="331" t="s">
        <v>599</v>
      </c>
      <c r="D238" s="330" t="s">
        <v>272</v>
      </c>
      <c r="E238" s="380">
        <v>8</v>
      </c>
      <c r="F238" s="332">
        <v>432.4</v>
      </c>
      <c r="G238" s="333">
        <f t="shared" si="9"/>
        <v>3459.2</v>
      </c>
    </row>
    <row r="239" spans="1:7">
      <c r="A239" s="196"/>
      <c r="B239" s="330"/>
      <c r="C239" s="368" t="s">
        <v>273</v>
      </c>
      <c r="D239" s="330" t="s">
        <v>272</v>
      </c>
      <c r="E239" s="380">
        <v>8</v>
      </c>
      <c r="F239" s="332">
        <v>516.79999999999995</v>
      </c>
      <c r="G239" s="333">
        <f t="shared" si="9"/>
        <v>4134.3999999999996</v>
      </c>
    </row>
    <row r="240" spans="1:7" ht="30">
      <c r="A240" s="196"/>
      <c r="B240" s="330">
        <v>8</v>
      </c>
      <c r="C240" s="368" t="s">
        <v>811</v>
      </c>
      <c r="D240" s="330" t="s">
        <v>272</v>
      </c>
      <c r="E240" s="380">
        <v>8</v>
      </c>
      <c r="F240" s="332">
        <v>10.3</v>
      </c>
      <c r="G240" s="333">
        <f t="shared" si="9"/>
        <v>82.4</v>
      </c>
    </row>
    <row r="241" spans="1:7">
      <c r="A241" s="196"/>
      <c r="B241" s="330"/>
      <c r="C241" s="331" t="s">
        <v>273</v>
      </c>
      <c r="D241" s="330" t="s">
        <v>272</v>
      </c>
      <c r="E241" s="380">
        <v>8</v>
      </c>
      <c r="F241" s="332">
        <v>136.69999999999999</v>
      </c>
      <c r="G241" s="333">
        <f t="shared" si="9"/>
        <v>1093.5999999999999</v>
      </c>
    </row>
    <row r="242" spans="1:7">
      <c r="A242" s="196"/>
      <c r="B242" s="330">
        <v>9</v>
      </c>
      <c r="C242" s="368" t="s">
        <v>812</v>
      </c>
      <c r="D242" s="330" t="s">
        <v>319</v>
      </c>
      <c r="E242" s="380">
        <v>5</v>
      </c>
      <c r="F242" s="333">
        <v>41</v>
      </c>
      <c r="G242" s="333">
        <f t="shared" si="9"/>
        <v>205</v>
      </c>
    </row>
    <row r="243" spans="1:7">
      <c r="A243" s="196"/>
      <c r="B243" s="643" t="s">
        <v>274</v>
      </c>
      <c r="C243" s="644"/>
      <c r="D243" s="644"/>
      <c r="E243" s="645"/>
      <c r="F243" s="381" t="s">
        <v>268</v>
      </c>
      <c r="G243" s="382">
        <f>SUM(G226:G242)</f>
        <v>99314.159999999989</v>
      </c>
    </row>
    <row r="244" spans="1:7">
      <c r="A244" s="196"/>
      <c r="B244" s="369"/>
      <c r="C244" s="370"/>
      <c r="D244" s="371"/>
      <c r="E244" s="366"/>
      <c r="F244" s="366"/>
      <c r="G244" s="366"/>
    </row>
    <row r="245" spans="1:7">
      <c r="A245" s="196"/>
      <c r="B245" s="373" t="s">
        <v>275</v>
      </c>
      <c r="C245" s="364"/>
      <c r="D245" s="197"/>
      <c r="E245" s="383"/>
      <c r="F245" s="213"/>
      <c r="G245" s="213"/>
    </row>
    <row r="246" spans="1:7">
      <c r="A246" s="196"/>
      <c r="B246" s="384" t="s">
        <v>262</v>
      </c>
      <c r="C246" s="385" t="s">
        <v>270</v>
      </c>
      <c r="D246" s="197" t="s">
        <v>101</v>
      </c>
      <c r="E246" s="213" t="s">
        <v>100</v>
      </c>
      <c r="F246" s="213" t="s">
        <v>103</v>
      </c>
      <c r="G246" s="213" t="s">
        <v>264</v>
      </c>
    </row>
    <row r="247" spans="1:7">
      <c r="A247" s="196"/>
      <c r="B247" s="386"/>
      <c r="C247" s="377"/>
      <c r="D247" s="200"/>
      <c r="E247" s="217"/>
      <c r="F247" s="217" t="s">
        <v>265</v>
      </c>
      <c r="G247" s="217" t="s">
        <v>265</v>
      </c>
    </row>
    <row r="248" spans="1:7">
      <c r="A248" s="196"/>
      <c r="B248" s="330">
        <v>1</v>
      </c>
      <c r="C248" s="331" t="s">
        <v>504</v>
      </c>
      <c r="D248" s="330" t="s">
        <v>272</v>
      </c>
      <c r="E248" s="333">
        <v>8</v>
      </c>
      <c r="F248" s="333">
        <v>505.3</v>
      </c>
      <c r="G248" s="333">
        <f>ROUND(F248*E248,2)</f>
        <v>4042.4</v>
      </c>
    </row>
    <row r="249" spans="1:7">
      <c r="A249" s="196"/>
      <c r="B249" s="330">
        <v>2</v>
      </c>
      <c r="C249" s="331" t="s">
        <v>813</v>
      </c>
      <c r="D249" s="330" t="s">
        <v>272</v>
      </c>
      <c r="E249" s="333">
        <v>24</v>
      </c>
      <c r="F249" s="332">
        <v>418.1</v>
      </c>
      <c r="G249" s="333">
        <f t="shared" ref="G249:G261" si="10">ROUND(F249*E249,2)</f>
        <v>10034.4</v>
      </c>
    </row>
    <row r="250" spans="1:7">
      <c r="A250" s="196"/>
      <c r="B250" s="330">
        <v>3</v>
      </c>
      <c r="C250" s="331" t="s">
        <v>814</v>
      </c>
      <c r="D250" s="330" t="s">
        <v>272</v>
      </c>
      <c r="E250" s="333">
        <v>8</v>
      </c>
      <c r="F250" s="333">
        <v>629</v>
      </c>
      <c r="G250" s="333">
        <f t="shared" si="10"/>
        <v>5032</v>
      </c>
    </row>
    <row r="251" spans="1:7">
      <c r="A251" s="196"/>
      <c r="B251" s="330">
        <v>4</v>
      </c>
      <c r="C251" s="331" t="s">
        <v>815</v>
      </c>
      <c r="D251" s="330" t="s">
        <v>272</v>
      </c>
      <c r="E251" s="333">
        <v>16</v>
      </c>
      <c r="F251" s="332">
        <v>196.6</v>
      </c>
      <c r="G251" s="333">
        <f t="shared" si="10"/>
        <v>3145.6</v>
      </c>
    </row>
    <row r="252" spans="1:7">
      <c r="A252" s="196"/>
      <c r="B252" s="330">
        <v>5</v>
      </c>
      <c r="C252" s="331" t="s">
        <v>276</v>
      </c>
      <c r="D252" s="330" t="s">
        <v>272</v>
      </c>
      <c r="E252" s="333">
        <v>2</v>
      </c>
      <c r="F252" s="333">
        <v>348.4</v>
      </c>
      <c r="G252" s="333">
        <f t="shared" si="10"/>
        <v>696.8</v>
      </c>
    </row>
    <row r="253" spans="1:7">
      <c r="A253" s="196"/>
      <c r="B253" s="330">
        <v>6</v>
      </c>
      <c r="C253" s="331" t="s">
        <v>325</v>
      </c>
      <c r="D253" s="330" t="s">
        <v>272</v>
      </c>
      <c r="E253" s="333">
        <v>8</v>
      </c>
      <c r="F253" s="332">
        <v>258.39999999999998</v>
      </c>
      <c r="G253" s="333">
        <f t="shared" si="10"/>
        <v>2067.1999999999998</v>
      </c>
    </row>
    <row r="254" spans="1:7">
      <c r="A254" s="196"/>
      <c r="B254" s="330">
        <v>7</v>
      </c>
      <c r="C254" s="331" t="s">
        <v>324</v>
      </c>
      <c r="D254" s="330" t="s">
        <v>272</v>
      </c>
      <c r="E254" s="387">
        <v>16</v>
      </c>
      <c r="F254" s="333">
        <v>163.5</v>
      </c>
      <c r="G254" s="333">
        <f t="shared" si="10"/>
        <v>2616</v>
      </c>
    </row>
    <row r="255" spans="1:7">
      <c r="A255" s="196"/>
      <c r="B255" s="330">
        <v>8</v>
      </c>
      <c r="C255" s="368" t="s">
        <v>816</v>
      </c>
      <c r="D255" s="330" t="s">
        <v>278</v>
      </c>
      <c r="E255" s="387">
        <v>2</v>
      </c>
      <c r="F255" s="333">
        <v>670</v>
      </c>
      <c r="G255" s="333">
        <f t="shared" si="10"/>
        <v>1340</v>
      </c>
    </row>
    <row r="256" spans="1:7">
      <c r="A256" s="196"/>
      <c r="B256" s="330">
        <v>9</v>
      </c>
      <c r="C256" s="368" t="s">
        <v>817</v>
      </c>
      <c r="D256" s="330" t="s">
        <v>278</v>
      </c>
      <c r="E256" s="387">
        <v>1</v>
      </c>
      <c r="F256" s="333">
        <v>680</v>
      </c>
      <c r="G256" s="333">
        <f t="shared" si="10"/>
        <v>680</v>
      </c>
    </row>
    <row r="257" spans="1:7">
      <c r="A257" s="196"/>
      <c r="B257" s="330">
        <v>10</v>
      </c>
      <c r="C257" s="368" t="s">
        <v>328</v>
      </c>
      <c r="D257" s="330" t="s">
        <v>278</v>
      </c>
      <c r="E257" s="387">
        <v>1</v>
      </c>
      <c r="F257" s="332">
        <v>680</v>
      </c>
      <c r="G257" s="333">
        <f t="shared" si="10"/>
        <v>680</v>
      </c>
    </row>
    <row r="258" spans="1:7">
      <c r="A258" s="196"/>
      <c r="B258" s="330">
        <v>11</v>
      </c>
      <c r="C258" s="368" t="s">
        <v>818</v>
      </c>
      <c r="D258" s="330" t="s">
        <v>278</v>
      </c>
      <c r="E258" s="387">
        <v>1</v>
      </c>
      <c r="F258" s="333">
        <v>745</v>
      </c>
      <c r="G258" s="333">
        <f t="shared" si="10"/>
        <v>745</v>
      </c>
    </row>
    <row r="259" spans="1:7">
      <c r="A259" s="196"/>
      <c r="B259" s="330">
        <v>12</v>
      </c>
      <c r="C259" s="368" t="s">
        <v>277</v>
      </c>
      <c r="D259" s="330" t="s">
        <v>278</v>
      </c>
      <c r="E259" s="387">
        <v>2</v>
      </c>
      <c r="F259" s="333">
        <v>730</v>
      </c>
      <c r="G259" s="333">
        <f t="shared" si="10"/>
        <v>1460</v>
      </c>
    </row>
    <row r="260" spans="1:7">
      <c r="A260" s="196"/>
      <c r="B260" s="330">
        <v>13</v>
      </c>
      <c r="C260" s="368" t="s">
        <v>819</v>
      </c>
      <c r="D260" s="330" t="s">
        <v>278</v>
      </c>
      <c r="E260" s="387">
        <v>5</v>
      </c>
      <c r="F260" s="333">
        <v>560</v>
      </c>
      <c r="G260" s="333">
        <f t="shared" si="10"/>
        <v>2800</v>
      </c>
    </row>
    <row r="261" spans="1:7">
      <c r="A261" s="196"/>
      <c r="B261" s="330">
        <v>14</v>
      </c>
      <c r="C261" s="368" t="s">
        <v>820</v>
      </c>
      <c r="D261" s="330" t="s">
        <v>278</v>
      </c>
      <c r="E261" s="387">
        <v>10</v>
      </c>
      <c r="F261" s="333">
        <v>560</v>
      </c>
      <c r="G261" s="333">
        <f t="shared" si="10"/>
        <v>5600</v>
      </c>
    </row>
    <row r="262" spans="1:7">
      <c r="A262" s="196"/>
      <c r="B262" s="638" t="s">
        <v>280</v>
      </c>
      <c r="C262" s="639"/>
      <c r="D262" s="639"/>
      <c r="E262" s="640"/>
      <c r="F262" s="387" t="s">
        <v>268</v>
      </c>
      <c r="G262" s="388">
        <f>SUM(G248:G261)</f>
        <v>40939.399999999994</v>
      </c>
    </row>
    <row r="263" spans="1:7">
      <c r="A263" s="196"/>
      <c r="B263" s="177" t="s">
        <v>281</v>
      </c>
      <c r="C263" s="175"/>
      <c r="D263" s="178"/>
      <c r="E263" s="337">
        <v>42.6</v>
      </c>
    </row>
    <row r="264" spans="1:7">
      <c r="A264" s="196"/>
      <c r="B264" s="177" t="s">
        <v>282</v>
      </c>
      <c r="C264" s="175"/>
      <c r="D264" s="179">
        <v>0.13615000000000002</v>
      </c>
      <c r="E264" s="337">
        <v>5.8</v>
      </c>
    </row>
    <row r="265" spans="1:7">
      <c r="A265" s="196"/>
      <c r="B265" s="177" t="s">
        <v>283</v>
      </c>
      <c r="C265" s="175"/>
      <c r="D265" s="178"/>
      <c r="E265" s="357">
        <f>SUM(E263:E264)</f>
        <v>48.4</v>
      </c>
    </row>
    <row r="266" spans="1:7">
      <c r="A266" s="196"/>
      <c r="C266" s="175"/>
    </row>
    <row r="267" spans="1:7">
      <c r="A267" s="196"/>
      <c r="B267" s="181" t="s">
        <v>284</v>
      </c>
      <c r="C267" s="175"/>
    </row>
    <row r="268" spans="1:7">
      <c r="A268" s="196"/>
      <c r="B268" s="180" t="s">
        <v>285</v>
      </c>
      <c r="C268" s="175"/>
      <c r="F268" s="168" t="s">
        <v>268</v>
      </c>
      <c r="G268" s="182">
        <f>G221</f>
        <v>242567.50999999998</v>
      </c>
    </row>
    <row r="269" spans="1:7">
      <c r="A269" s="196"/>
      <c r="B269" s="180" t="s">
        <v>286</v>
      </c>
      <c r="C269" s="175"/>
      <c r="F269" s="168" t="s">
        <v>268</v>
      </c>
      <c r="G269" s="182">
        <f>G243</f>
        <v>99314.159999999989</v>
      </c>
    </row>
    <row r="270" spans="1:7">
      <c r="A270" s="196"/>
      <c r="B270" s="180" t="s">
        <v>287</v>
      </c>
      <c r="C270" s="175"/>
      <c r="F270" s="168" t="s">
        <v>268</v>
      </c>
      <c r="G270" s="182">
        <f>G262</f>
        <v>40939.399999999994</v>
      </c>
    </row>
    <row r="271" spans="1:7">
      <c r="A271" s="196"/>
      <c r="C271" s="175"/>
      <c r="F271" s="168" t="s">
        <v>288</v>
      </c>
      <c r="G271" s="220">
        <f>SUM(G268:G270)</f>
        <v>382821.06999999995</v>
      </c>
    </row>
    <row r="272" spans="1:7">
      <c r="A272" s="169"/>
      <c r="B272" s="180" t="s">
        <v>821</v>
      </c>
      <c r="C272" s="175"/>
      <c r="D272" s="389">
        <v>0.02</v>
      </c>
      <c r="E272" s="168"/>
      <c r="F272" s="168" t="s">
        <v>268</v>
      </c>
      <c r="G272" s="168">
        <f>G271*D272</f>
        <v>7656.4213999999993</v>
      </c>
    </row>
    <row r="273" spans="1:7">
      <c r="A273" s="169"/>
      <c r="B273" s="180" t="s">
        <v>822</v>
      </c>
      <c r="C273" s="175"/>
      <c r="D273" s="390">
        <v>5.0000000000000001E-3</v>
      </c>
      <c r="E273" s="168"/>
      <c r="F273" s="168" t="s">
        <v>268</v>
      </c>
      <c r="G273" s="168">
        <f>G271*D273</f>
        <v>1914.1053499999998</v>
      </c>
    </row>
    <row r="274" spans="1:7">
      <c r="A274" s="169"/>
      <c r="B274" s="180" t="s">
        <v>823</v>
      </c>
      <c r="C274" s="175"/>
      <c r="D274" s="389">
        <v>0.01</v>
      </c>
      <c r="E274" s="168"/>
      <c r="F274" s="168" t="s">
        <v>268</v>
      </c>
      <c r="G274" s="168">
        <f>G271*D274</f>
        <v>3828.2106999999996</v>
      </c>
    </row>
    <row r="275" spans="1:7">
      <c r="A275" s="196"/>
      <c r="B275" s="170"/>
      <c r="C275" s="175"/>
      <c r="E275" s="184"/>
      <c r="F275" s="172" t="s">
        <v>288</v>
      </c>
      <c r="G275" s="584">
        <f>ROUND(SUM(G271:G274),2)</f>
        <v>396219.81</v>
      </c>
    </row>
    <row r="276" spans="1:7">
      <c r="A276" s="196"/>
      <c r="B276" s="628" t="s">
        <v>824</v>
      </c>
      <c r="C276" s="628"/>
      <c r="D276" s="628"/>
      <c r="E276" s="179">
        <v>0.13615000000000002</v>
      </c>
      <c r="F276" s="172" t="s">
        <v>268</v>
      </c>
      <c r="G276" s="178">
        <f>ROUND(G275*E276,2)</f>
        <v>53945.33</v>
      </c>
    </row>
    <row r="277" spans="1:7">
      <c r="A277" s="196"/>
      <c r="B277" s="195" t="s">
        <v>825</v>
      </c>
      <c r="C277" s="391"/>
      <c r="D277" s="392">
        <v>35.64</v>
      </c>
      <c r="E277" s="389" t="s">
        <v>826</v>
      </c>
      <c r="F277" s="182" t="s">
        <v>827</v>
      </c>
      <c r="G277" s="343">
        <v>0</v>
      </c>
    </row>
    <row r="278" spans="1:7">
      <c r="A278" s="196"/>
      <c r="B278" s="195" t="s">
        <v>828</v>
      </c>
      <c r="C278" s="391"/>
      <c r="D278" s="392">
        <v>63.360000000000007</v>
      </c>
      <c r="E278" s="389" t="s">
        <v>826</v>
      </c>
      <c r="F278" s="182" t="s">
        <v>829</v>
      </c>
      <c r="G278" s="344">
        <v>0</v>
      </c>
    </row>
    <row r="279" spans="1:7">
      <c r="A279" s="196"/>
      <c r="B279" s="628"/>
      <c r="C279" s="628"/>
      <c r="D279" s="392"/>
      <c r="E279" s="389"/>
      <c r="F279" s="182"/>
      <c r="G279" s="343"/>
    </row>
    <row r="280" spans="1:7">
      <c r="A280" s="196"/>
      <c r="B280" s="180" t="s">
        <v>835</v>
      </c>
      <c r="C280" s="175"/>
      <c r="D280" s="182">
        <v>960</v>
      </c>
      <c r="E280" s="182" t="s">
        <v>317</v>
      </c>
      <c r="F280" s="172" t="s">
        <v>268</v>
      </c>
      <c r="G280" s="185">
        <f>G275+G276</f>
        <v>450165.14</v>
      </c>
    </row>
    <row r="281" spans="1:7">
      <c r="A281" s="196"/>
      <c r="B281" s="174" t="s">
        <v>291</v>
      </c>
      <c r="C281" s="340" t="s">
        <v>317</v>
      </c>
      <c r="D281" s="168" t="s">
        <v>830</v>
      </c>
      <c r="F281" s="172" t="s">
        <v>293</v>
      </c>
      <c r="G281" s="185">
        <f>ROUND(G280/960,2)</f>
        <v>468.92</v>
      </c>
    </row>
    <row r="284" spans="1:7">
      <c r="B284" s="190" t="s">
        <v>336</v>
      </c>
    </row>
    <row r="285" spans="1:7">
      <c r="C285" s="161" t="s">
        <v>297</v>
      </c>
      <c r="D285" s="161" t="s">
        <v>101</v>
      </c>
      <c r="E285" s="161" t="s">
        <v>100</v>
      </c>
      <c r="F285" s="161" t="s">
        <v>103</v>
      </c>
      <c r="G285" s="161" t="s">
        <v>264</v>
      </c>
    </row>
    <row r="286" spans="1:7">
      <c r="C286" s="365" t="s">
        <v>312</v>
      </c>
      <c r="D286" s="341" t="s">
        <v>106</v>
      </c>
      <c r="E286" s="344">
        <v>41.184000000000005</v>
      </c>
      <c r="F286" s="163">
        <f>Lead!G8</f>
        <v>1139.7</v>
      </c>
      <c r="G286" s="161">
        <f>ROUND(F286*E286,2)</f>
        <v>46937.4</v>
      </c>
    </row>
    <row r="287" spans="1:7">
      <c r="C287" s="365" t="s">
        <v>801</v>
      </c>
      <c r="D287" s="341" t="s">
        <v>106</v>
      </c>
      <c r="E287" s="344">
        <v>22.176000000000002</v>
      </c>
      <c r="F287" s="163">
        <f>F286</f>
        <v>1139.7</v>
      </c>
      <c r="G287" s="161">
        <f t="shared" ref="G287:G288" si="11">ROUND(F287*E287,2)</f>
        <v>25273.99</v>
      </c>
    </row>
    <row r="288" spans="1:7" ht="30">
      <c r="C288" s="365" t="s">
        <v>493</v>
      </c>
      <c r="D288" s="341" t="s">
        <v>106</v>
      </c>
      <c r="E288" s="344">
        <v>35.64</v>
      </c>
      <c r="F288" s="163">
        <f>Lead!G11</f>
        <v>695.1</v>
      </c>
      <c r="G288" s="163">
        <f t="shared" si="11"/>
        <v>24773.360000000001</v>
      </c>
    </row>
    <row r="289" spans="1:7">
      <c r="F289" s="161" t="s">
        <v>230</v>
      </c>
      <c r="G289" s="163">
        <f>SUM(G286:G288)</f>
        <v>96984.75</v>
      </c>
    </row>
    <row r="290" spans="1:7">
      <c r="D290" s="161" t="s">
        <v>337</v>
      </c>
      <c r="G290" s="163">
        <f>ROUND(G289*13.615%,2)</f>
        <v>13204.47</v>
      </c>
    </row>
    <row r="291" spans="1:7">
      <c r="D291" s="161" t="s">
        <v>338</v>
      </c>
      <c r="G291" s="163">
        <f>SUM(G289:G290)</f>
        <v>110189.22</v>
      </c>
    </row>
    <row r="293" spans="1:7">
      <c r="C293" s="161" t="s">
        <v>1152</v>
      </c>
      <c r="G293" s="166">
        <f>ROUND((G280+G291)/960,1)</f>
        <v>583.70000000000005</v>
      </c>
    </row>
    <row r="295" spans="1:7" ht="18.75" customHeight="1">
      <c r="A295" s="631" t="s">
        <v>341</v>
      </c>
      <c r="B295" s="167" t="s">
        <v>342</v>
      </c>
      <c r="C295" s="175"/>
    </row>
    <row r="296" spans="1:7">
      <c r="A296" s="631"/>
      <c r="B296" s="167" t="s">
        <v>343</v>
      </c>
      <c r="C296" s="175"/>
    </row>
    <row r="297" spans="1:7">
      <c r="A297" s="631"/>
      <c r="B297" s="167" t="s">
        <v>344</v>
      </c>
      <c r="C297" s="175"/>
    </row>
    <row r="298" spans="1:7">
      <c r="A298" s="631"/>
      <c r="B298" s="167" t="s">
        <v>345</v>
      </c>
      <c r="C298" s="175"/>
      <c r="E298" s="161" t="s">
        <v>346</v>
      </c>
    </row>
    <row r="299" spans="1:7" ht="30">
      <c r="A299" s="169" t="s">
        <v>258</v>
      </c>
      <c r="C299" s="175"/>
    </row>
    <row r="300" spans="1:7" ht="30">
      <c r="A300" s="169" t="s">
        <v>252</v>
      </c>
      <c r="C300" s="193" t="s">
        <v>347</v>
      </c>
      <c r="E300" s="168" t="s">
        <v>101</v>
      </c>
      <c r="F300" s="194">
        <v>1</v>
      </c>
      <c r="G300" s="195" t="s">
        <v>348</v>
      </c>
    </row>
    <row r="301" spans="1:7">
      <c r="A301" s="196"/>
      <c r="C301" s="175"/>
    </row>
    <row r="302" spans="1:7">
      <c r="A302" s="196"/>
      <c r="B302" s="181" t="s">
        <v>261</v>
      </c>
      <c r="C302" s="175"/>
    </row>
    <row r="303" spans="1:7">
      <c r="A303" s="196"/>
      <c r="B303" s="197" t="s">
        <v>232</v>
      </c>
      <c r="C303" s="198" t="s">
        <v>297</v>
      </c>
      <c r="D303" s="199" t="s">
        <v>101</v>
      </c>
      <c r="E303" s="198" t="s">
        <v>349</v>
      </c>
      <c r="F303" s="198" t="s">
        <v>350</v>
      </c>
      <c r="G303" s="198" t="s">
        <v>105</v>
      </c>
    </row>
    <row r="304" spans="1:7">
      <c r="A304" s="196"/>
      <c r="B304" s="200">
        <v>1</v>
      </c>
      <c r="C304" s="201" t="s">
        <v>351</v>
      </c>
      <c r="D304" s="200" t="s">
        <v>132</v>
      </c>
      <c r="E304" s="202">
        <v>0.122</v>
      </c>
      <c r="F304" s="202">
        <v>1445</v>
      </c>
      <c r="G304" s="203">
        <f>ROUND(F304*E304,2)</f>
        <v>176.29</v>
      </c>
    </row>
    <row r="305" spans="1:7">
      <c r="A305" s="169"/>
      <c r="B305" s="197">
        <v>2</v>
      </c>
      <c r="C305" s="204" t="s">
        <v>352</v>
      </c>
      <c r="D305" s="197" t="s">
        <v>106</v>
      </c>
      <c r="E305" s="205">
        <v>0.187821428571429</v>
      </c>
      <c r="F305" s="202">
        <v>605</v>
      </c>
      <c r="G305" s="203">
        <f t="shared" ref="G305:G306" si="12">ROUND(F305*E305,2)</f>
        <v>113.63</v>
      </c>
    </row>
    <row r="306" spans="1:7">
      <c r="A306" s="196"/>
      <c r="B306" s="197">
        <v>3</v>
      </c>
      <c r="C306" s="204" t="s">
        <v>353</v>
      </c>
      <c r="D306" s="197" t="s">
        <v>354</v>
      </c>
      <c r="E306" s="206">
        <v>0.78700000000000003</v>
      </c>
      <c r="F306" s="202">
        <v>4.22</v>
      </c>
      <c r="G306" s="203">
        <f t="shared" si="12"/>
        <v>3.32</v>
      </c>
    </row>
    <row r="307" spans="1:7">
      <c r="A307" s="196"/>
      <c r="B307" s="207"/>
      <c r="C307" s="635" t="s">
        <v>355</v>
      </c>
      <c r="D307" s="635"/>
      <c r="E307" s="635"/>
      <c r="F307" s="208" t="s">
        <v>293</v>
      </c>
      <c r="G307" s="209">
        <f>SUM(G304:G306)</f>
        <v>293.23999999999995</v>
      </c>
    </row>
    <row r="308" spans="1:7">
      <c r="A308" s="196"/>
      <c r="B308" s="177"/>
      <c r="C308" s="210"/>
      <c r="D308" s="178"/>
      <c r="E308" s="178"/>
      <c r="F308" s="178"/>
      <c r="G308" s="178"/>
    </row>
    <row r="309" spans="1:7" ht="18" customHeight="1">
      <c r="A309" s="196"/>
      <c r="B309" s="180" t="s">
        <v>356</v>
      </c>
      <c r="C309" s="175"/>
    </row>
    <row r="310" spans="1:7">
      <c r="A310" s="196"/>
      <c r="B310" s="211" t="s">
        <v>232</v>
      </c>
      <c r="C310" s="212" t="s">
        <v>270</v>
      </c>
      <c r="D310" s="212" t="s">
        <v>101</v>
      </c>
      <c r="E310" s="212" t="s">
        <v>100</v>
      </c>
      <c r="F310" s="212" t="s">
        <v>357</v>
      </c>
      <c r="G310" s="212" t="s">
        <v>105</v>
      </c>
    </row>
    <row r="311" spans="1:7" ht="30">
      <c r="A311" s="196"/>
      <c r="B311" s="197">
        <v>1</v>
      </c>
      <c r="C311" s="204" t="s">
        <v>358</v>
      </c>
      <c r="D311" s="206" t="s">
        <v>132</v>
      </c>
      <c r="E311" s="213">
        <v>0.27</v>
      </c>
      <c r="F311" s="213">
        <v>47</v>
      </c>
      <c r="G311" s="203">
        <f>ROUND(F311*E311,2)</f>
        <v>12.69</v>
      </c>
    </row>
    <row r="312" spans="1:7">
      <c r="A312" s="196"/>
      <c r="B312" s="197">
        <v>2</v>
      </c>
      <c r="C312" s="204" t="s">
        <v>359</v>
      </c>
      <c r="D312" s="206" t="s">
        <v>132</v>
      </c>
      <c r="E312" s="205">
        <v>2E-3</v>
      </c>
      <c r="F312" s="213">
        <v>518.20000000000005</v>
      </c>
      <c r="G312" s="203">
        <f>ROUND(F312*E312,2)</f>
        <v>1.04</v>
      </c>
    </row>
    <row r="313" spans="1:7" ht="30">
      <c r="A313" s="196"/>
      <c r="B313" s="214"/>
      <c r="C313" s="204" t="s">
        <v>274</v>
      </c>
      <c r="D313" s="206"/>
      <c r="E313" s="206"/>
      <c r="F313" s="206" t="s">
        <v>360</v>
      </c>
      <c r="G313" s="209">
        <f>SUM(G311:G312)</f>
        <v>13.73</v>
      </c>
    </row>
    <row r="314" spans="1:7">
      <c r="A314" s="196"/>
      <c r="C314" s="175"/>
    </row>
    <row r="315" spans="1:7">
      <c r="A315" s="196"/>
      <c r="B315" s="180" t="s">
        <v>361</v>
      </c>
      <c r="C315" s="175"/>
    </row>
    <row r="316" spans="1:7">
      <c r="A316" s="196"/>
      <c r="B316" s="197" t="s">
        <v>232</v>
      </c>
      <c r="C316" s="198" t="s">
        <v>297</v>
      </c>
      <c r="D316" s="199" t="s">
        <v>101</v>
      </c>
      <c r="E316" s="198" t="s">
        <v>349</v>
      </c>
      <c r="F316" s="198" t="s">
        <v>350</v>
      </c>
      <c r="G316" s="198" t="s">
        <v>105</v>
      </c>
    </row>
    <row r="317" spans="1:7">
      <c r="A317" s="196"/>
      <c r="B317" s="200">
        <v>1</v>
      </c>
      <c r="C317" s="201" t="s">
        <v>362</v>
      </c>
      <c r="D317" s="215" t="s">
        <v>278</v>
      </c>
      <c r="E317" s="216">
        <v>0.3</v>
      </c>
      <c r="F317" s="203">
        <v>560</v>
      </c>
      <c r="G317" s="217">
        <f>F317*E317</f>
        <v>168</v>
      </c>
    </row>
    <row r="318" spans="1:7">
      <c r="A318" s="196"/>
      <c r="B318" s="207"/>
      <c r="C318" s="218" t="s">
        <v>280</v>
      </c>
      <c r="D318" s="208"/>
      <c r="E318" s="208"/>
      <c r="F318" s="208" t="s">
        <v>293</v>
      </c>
      <c r="G318" s="219">
        <f>G317</f>
        <v>168</v>
      </c>
    </row>
    <row r="319" spans="1:7">
      <c r="A319" s="196"/>
      <c r="B319" s="177" t="s">
        <v>281</v>
      </c>
      <c r="C319" s="175"/>
      <c r="D319" s="178"/>
      <c r="E319" s="164">
        <v>168</v>
      </c>
    </row>
    <row r="320" spans="1:7">
      <c r="A320" s="196"/>
      <c r="B320" s="177" t="s">
        <v>282</v>
      </c>
      <c r="C320" s="175"/>
      <c r="D320" s="179">
        <v>0.13614999999999999</v>
      </c>
      <c r="E320" s="164">
        <v>22.87</v>
      </c>
    </row>
    <row r="321" spans="1:7">
      <c r="A321" s="196"/>
      <c r="B321" s="177" t="s">
        <v>283</v>
      </c>
      <c r="C321" s="175"/>
      <c r="D321" s="178"/>
      <c r="E321" s="165">
        <f>SUM(E319:E320)</f>
        <v>190.87</v>
      </c>
    </row>
    <row r="322" spans="1:7">
      <c r="A322" s="196"/>
      <c r="C322" s="175"/>
    </row>
    <row r="323" spans="1:7" ht="18" customHeight="1">
      <c r="A323" s="196"/>
      <c r="B323" s="180" t="s">
        <v>363</v>
      </c>
      <c r="C323" s="175"/>
    </row>
    <row r="324" spans="1:7">
      <c r="A324" s="196"/>
      <c r="B324" s="180" t="s">
        <v>285</v>
      </c>
      <c r="C324" s="175"/>
      <c r="F324" s="168" t="s">
        <v>293</v>
      </c>
      <c r="G324" s="182">
        <f>G307</f>
        <v>293.23999999999995</v>
      </c>
    </row>
    <row r="325" spans="1:7">
      <c r="A325" s="196"/>
      <c r="B325" s="180" t="s">
        <v>286</v>
      </c>
      <c r="C325" s="175"/>
      <c r="F325" s="168" t="s">
        <v>293</v>
      </c>
      <c r="G325" s="182">
        <f>G313</f>
        <v>13.73</v>
      </c>
    </row>
    <row r="326" spans="1:7">
      <c r="A326" s="196"/>
      <c r="B326" s="180" t="s">
        <v>287</v>
      </c>
      <c r="C326" s="175"/>
      <c r="F326" s="168" t="s">
        <v>293</v>
      </c>
      <c r="G326" s="183">
        <f>G318</f>
        <v>168</v>
      </c>
    </row>
    <row r="327" spans="1:7">
      <c r="A327" s="196"/>
      <c r="B327" s="170"/>
      <c r="C327" s="175"/>
      <c r="E327" s="184"/>
      <c r="F327" s="172" t="s">
        <v>288</v>
      </c>
      <c r="G327" s="220">
        <f>SUM(G324:G326)</f>
        <v>474.96999999999997</v>
      </c>
    </row>
    <row r="328" spans="1:7" ht="15" customHeight="1">
      <c r="A328" s="196"/>
      <c r="B328" s="628" t="s">
        <v>289</v>
      </c>
      <c r="C328" s="628"/>
      <c r="D328" s="628"/>
      <c r="E328" s="179">
        <v>0.13614999999999999</v>
      </c>
      <c r="F328" s="172" t="s">
        <v>268</v>
      </c>
      <c r="G328" s="178">
        <f>G327*E328</f>
        <v>64.667165499999996</v>
      </c>
    </row>
    <row r="329" spans="1:7">
      <c r="A329" s="196"/>
      <c r="B329" s="180" t="s">
        <v>290</v>
      </c>
      <c r="C329" s="175"/>
      <c r="D329" s="182">
        <v>1</v>
      </c>
      <c r="E329" s="182" t="s">
        <v>348</v>
      </c>
      <c r="F329" s="172" t="s">
        <v>268</v>
      </c>
      <c r="G329" s="182">
        <f>SUM(G327:G328)</f>
        <v>539.63716549999992</v>
      </c>
    </row>
    <row r="330" spans="1:7">
      <c r="A330" s="196"/>
      <c r="B330" s="174" t="s">
        <v>291</v>
      </c>
      <c r="C330" s="221" t="s">
        <v>364</v>
      </c>
      <c r="D330" s="168" t="s">
        <v>365</v>
      </c>
      <c r="F330" s="172" t="s">
        <v>293</v>
      </c>
      <c r="G330" s="185">
        <f>ROUND(G329/D329,2)</f>
        <v>539.64</v>
      </c>
    </row>
    <row r="333" spans="1:7" ht="15" customHeight="1">
      <c r="A333" s="629" t="s">
        <v>753</v>
      </c>
      <c r="B333" s="180" t="s">
        <v>761</v>
      </c>
      <c r="C333" s="175"/>
    </row>
    <row r="334" spans="1:7">
      <c r="A334" s="629"/>
      <c r="B334" s="181" t="s">
        <v>762</v>
      </c>
      <c r="C334" s="175"/>
    </row>
    <row r="335" spans="1:7">
      <c r="A335" s="629"/>
      <c r="B335" s="181" t="s">
        <v>754</v>
      </c>
      <c r="C335" s="175"/>
    </row>
    <row r="337" spans="1:7" ht="30">
      <c r="A337" s="317" t="s">
        <v>258</v>
      </c>
      <c r="B337" s="180" t="s">
        <v>755</v>
      </c>
      <c r="C337" s="175"/>
    </row>
    <row r="338" spans="1:7">
      <c r="A338" s="317"/>
      <c r="B338" s="180" t="s">
        <v>756</v>
      </c>
      <c r="C338" s="175"/>
      <c r="E338" s="170" t="s">
        <v>2</v>
      </c>
      <c r="F338" s="168">
        <v>35</v>
      </c>
      <c r="G338" s="168" t="s">
        <v>310</v>
      </c>
    </row>
    <row r="339" spans="1:7">
      <c r="A339" s="317"/>
      <c r="B339" s="180" t="s">
        <v>757</v>
      </c>
      <c r="C339" s="175"/>
      <c r="E339" s="170" t="s">
        <v>2</v>
      </c>
      <c r="F339" s="168">
        <v>0.04</v>
      </c>
      <c r="G339" s="168" t="s">
        <v>106</v>
      </c>
    </row>
    <row r="340" spans="1:7">
      <c r="A340" s="196"/>
      <c r="B340" s="170"/>
      <c r="C340" s="175"/>
    </row>
    <row r="341" spans="1:7" ht="30">
      <c r="A341" s="169" t="s">
        <v>258</v>
      </c>
      <c r="B341" s="170"/>
      <c r="C341" s="171" t="s">
        <v>259</v>
      </c>
      <c r="E341" s="172" t="s">
        <v>260</v>
      </c>
      <c r="F341" s="173">
        <v>100</v>
      </c>
      <c r="G341" s="168" t="s">
        <v>436</v>
      </c>
    </row>
    <row r="342" spans="1:7">
      <c r="A342" s="196"/>
      <c r="B342" s="174" t="s">
        <v>261</v>
      </c>
      <c r="C342" s="175"/>
    </row>
    <row r="343" spans="1:7">
      <c r="A343" s="196"/>
      <c r="B343" s="200" t="s">
        <v>262</v>
      </c>
      <c r="C343" s="318" t="s">
        <v>263</v>
      </c>
      <c r="D343" s="200" t="s">
        <v>101</v>
      </c>
      <c r="E343" s="200" t="s">
        <v>100</v>
      </c>
      <c r="F343" s="200" t="s">
        <v>103</v>
      </c>
      <c r="G343" s="200" t="s">
        <v>264</v>
      </c>
    </row>
    <row r="344" spans="1:7">
      <c r="A344" s="196"/>
      <c r="B344" s="319"/>
      <c r="C344" s="320"/>
      <c r="D344" s="319"/>
      <c r="E344" s="319"/>
      <c r="F344" s="319" t="s">
        <v>265</v>
      </c>
      <c r="G344" s="319" t="s">
        <v>265</v>
      </c>
    </row>
    <row r="345" spans="1:7">
      <c r="A345" s="196"/>
      <c r="B345" s="200">
        <v>1</v>
      </c>
      <c r="C345" s="311" t="s">
        <v>756</v>
      </c>
      <c r="D345" s="200" t="s">
        <v>310</v>
      </c>
      <c r="E345" s="321">
        <v>35</v>
      </c>
      <c r="F345" s="322">
        <v>49</v>
      </c>
      <c r="G345" s="350">
        <f>F345*E345</f>
        <v>1715</v>
      </c>
    </row>
    <row r="346" spans="1:7">
      <c r="A346" s="169"/>
      <c r="B346" s="351"/>
      <c r="C346" s="311" t="s">
        <v>758</v>
      </c>
      <c r="D346" s="319" t="s">
        <v>106</v>
      </c>
      <c r="E346" s="321">
        <v>0.04</v>
      </c>
      <c r="F346" s="322">
        <v>721</v>
      </c>
      <c r="G346" s="350">
        <f>F346*E346</f>
        <v>28.84</v>
      </c>
    </row>
    <row r="347" spans="1:7">
      <c r="A347" s="196"/>
      <c r="B347" s="325"/>
      <c r="C347" s="326" t="s">
        <v>267</v>
      </c>
      <c r="D347" s="208"/>
      <c r="E347" s="327"/>
      <c r="F347" s="328" t="s">
        <v>268</v>
      </c>
      <c r="G347" s="219">
        <f>SUM(G345:G346)</f>
        <v>1743.84</v>
      </c>
    </row>
    <row r="348" spans="1:7">
      <c r="A348" s="196"/>
      <c r="B348" s="170"/>
      <c r="C348" s="175"/>
    </row>
    <row r="349" spans="1:7">
      <c r="A349" s="196"/>
      <c r="B349" s="174" t="s">
        <v>269</v>
      </c>
      <c r="C349" s="175"/>
    </row>
    <row r="350" spans="1:7">
      <c r="A350" s="196"/>
      <c r="B350" s="200" t="s">
        <v>262</v>
      </c>
      <c r="C350" s="318" t="s">
        <v>270</v>
      </c>
      <c r="D350" s="200" t="s">
        <v>101</v>
      </c>
      <c r="E350" s="200" t="s">
        <v>100</v>
      </c>
      <c r="F350" s="200" t="s">
        <v>103</v>
      </c>
      <c r="G350" s="200" t="s">
        <v>264</v>
      </c>
    </row>
    <row r="351" spans="1:7">
      <c r="A351" s="196"/>
      <c r="B351" s="319"/>
      <c r="C351" s="320"/>
      <c r="D351" s="319"/>
      <c r="E351" s="319"/>
      <c r="F351" s="319" t="s">
        <v>265</v>
      </c>
      <c r="G351" s="319" t="s">
        <v>265</v>
      </c>
    </row>
    <row r="352" spans="1:7">
      <c r="A352" s="196"/>
      <c r="B352" s="200">
        <v>1</v>
      </c>
      <c r="C352" s="210" t="s">
        <v>398</v>
      </c>
      <c r="D352" s="200"/>
      <c r="E352" s="321">
        <v>0</v>
      </c>
      <c r="F352" s="322">
        <v>0</v>
      </c>
      <c r="G352" s="350">
        <v>0</v>
      </c>
    </row>
    <row r="353" spans="1:7">
      <c r="A353" s="196"/>
      <c r="B353" s="323"/>
      <c r="C353" s="176"/>
      <c r="D353" s="324"/>
      <c r="E353" s="321">
        <v>0</v>
      </c>
      <c r="F353" s="322">
        <v>0</v>
      </c>
      <c r="G353" s="350">
        <v>0</v>
      </c>
    </row>
    <row r="354" spans="1:7" ht="30">
      <c r="A354" s="196"/>
      <c r="B354" s="352"/>
      <c r="C354" s="353" t="s">
        <v>274</v>
      </c>
      <c r="D354" s="354"/>
      <c r="E354" s="355"/>
      <c r="F354" s="328" t="s">
        <v>268</v>
      </c>
      <c r="G354" s="219">
        <v>0</v>
      </c>
    </row>
    <row r="355" spans="1:7">
      <c r="A355" s="196"/>
      <c r="B355" s="170"/>
      <c r="C355" s="175"/>
    </row>
    <row r="356" spans="1:7">
      <c r="A356" s="196"/>
      <c r="B356" s="174" t="s">
        <v>275</v>
      </c>
      <c r="C356" s="175"/>
    </row>
    <row r="357" spans="1:7">
      <c r="A357" s="196"/>
      <c r="B357" s="200" t="s">
        <v>262</v>
      </c>
      <c r="C357" s="318" t="s">
        <v>270</v>
      </c>
      <c r="D357" s="200" t="s">
        <v>101</v>
      </c>
      <c r="E357" s="200" t="s">
        <v>100</v>
      </c>
      <c r="F357" s="200" t="s">
        <v>103</v>
      </c>
      <c r="G357" s="200" t="s">
        <v>264</v>
      </c>
    </row>
    <row r="358" spans="1:7">
      <c r="A358" s="196"/>
      <c r="B358" s="319"/>
      <c r="C358" s="320"/>
      <c r="D358" s="324"/>
      <c r="E358" s="319"/>
      <c r="F358" s="319" t="s">
        <v>265</v>
      </c>
      <c r="G358" s="319" t="s">
        <v>265</v>
      </c>
    </row>
    <row r="359" spans="1:7">
      <c r="A359" s="196"/>
      <c r="B359" s="324">
        <v>1</v>
      </c>
      <c r="C359" s="311" t="s">
        <v>759</v>
      </c>
      <c r="D359" s="200" t="s">
        <v>278</v>
      </c>
      <c r="E359" s="356">
        <v>0.5</v>
      </c>
      <c r="F359" s="203">
        <v>605</v>
      </c>
      <c r="G359" s="350">
        <f>F359*E359</f>
        <v>302.5</v>
      </c>
    </row>
    <row r="360" spans="1:7">
      <c r="A360" s="196"/>
      <c r="B360" s="324">
        <v>2</v>
      </c>
      <c r="C360" s="311" t="s">
        <v>279</v>
      </c>
      <c r="D360" s="324" t="s">
        <v>278</v>
      </c>
      <c r="E360" s="356">
        <v>1</v>
      </c>
      <c r="F360" s="203">
        <v>560</v>
      </c>
      <c r="G360" s="350">
        <f>F360*E360</f>
        <v>560</v>
      </c>
    </row>
    <row r="361" spans="1:7">
      <c r="A361" s="196"/>
      <c r="B361" s="325"/>
      <c r="C361" s="326" t="s">
        <v>280</v>
      </c>
      <c r="D361" s="208"/>
      <c r="E361" s="327"/>
      <c r="F361" s="328" t="s">
        <v>268</v>
      </c>
      <c r="G361" s="219">
        <f>SUM(G359:G360)</f>
        <v>862.5</v>
      </c>
    </row>
    <row r="362" spans="1:7">
      <c r="A362" s="196"/>
      <c r="B362" s="177" t="s">
        <v>281</v>
      </c>
      <c r="C362" s="176"/>
      <c r="D362" s="178"/>
      <c r="E362" s="337">
        <v>8.6</v>
      </c>
    </row>
    <row r="363" spans="1:7">
      <c r="A363" s="196"/>
      <c r="B363" s="177" t="s">
        <v>282</v>
      </c>
      <c r="C363" s="176"/>
      <c r="D363" s="179">
        <v>0.13615000000000002</v>
      </c>
      <c r="E363" s="337">
        <v>1.2</v>
      </c>
    </row>
    <row r="364" spans="1:7">
      <c r="A364" s="196"/>
      <c r="B364" s="177" t="s">
        <v>283</v>
      </c>
      <c r="C364" s="176"/>
      <c r="D364" s="178"/>
      <c r="E364" s="357">
        <f>SUM(E362:E363)</f>
        <v>9.7999999999999989</v>
      </c>
    </row>
    <row r="365" spans="1:7">
      <c r="A365" s="196"/>
      <c r="C365" s="175"/>
    </row>
    <row r="366" spans="1:7">
      <c r="A366" s="196"/>
      <c r="B366" s="181" t="s">
        <v>284</v>
      </c>
      <c r="C366" s="175"/>
    </row>
    <row r="367" spans="1:7">
      <c r="A367" s="196"/>
      <c r="B367" s="180" t="s">
        <v>285</v>
      </c>
      <c r="C367" s="175"/>
      <c r="F367" s="172" t="s">
        <v>268</v>
      </c>
      <c r="G367" s="182">
        <f>G347</f>
        <v>1743.84</v>
      </c>
    </row>
    <row r="368" spans="1:7">
      <c r="A368" s="196"/>
      <c r="B368" s="180" t="s">
        <v>286</v>
      </c>
      <c r="C368" s="175"/>
      <c r="F368" s="172" t="s">
        <v>268</v>
      </c>
      <c r="G368" s="182">
        <v>0</v>
      </c>
    </row>
    <row r="369" spans="1:7">
      <c r="A369" s="196"/>
      <c r="B369" s="180" t="s">
        <v>287</v>
      </c>
      <c r="C369" s="175"/>
      <c r="F369" s="172" t="s">
        <v>268</v>
      </c>
      <c r="G369" s="183">
        <f>G361</f>
        <v>862.5</v>
      </c>
    </row>
    <row r="370" spans="1:7">
      <c r="A370" s="196"/>
      <c r="B370" s="170"/>
      <c r="C370" s="175"/>
      <c r="E370" s="172" t="s">
        <v>230</v>
      </c>
      <c r="F370" s="172" t="s">
        <v>268</v>
      </c>
      <c r="G370" s="220">
        <f>SUM(G367:G369)</f>
        <v>2606.34</v>
      </c>
    </row>
    <row r="371" spans="1:7">
      <c r="A371" s="196"/>
      <c r="B371" s="628" t="s">
        <v>289</v>
      </c>
      <c r="C371" s="628"/>
      <c r="D371" s="628"/>
      <c r="E371" s="179">
        <v>0.13615000000000002</v>
      </c>
      <c r="F371" s="172" t="s">
        <v>268</v>
      </c>
      <c r="G371" s="178">
        <f>G370*E371</f>
        <v>354.85319100000009</v>
      </c>
    </row>
    <row r="372" spans="1:7">
      <c r="A372" s="196"/>
      <c r="B372" s="180" t="s">
        <v>290</v>
      </c>
      <c r="C372" s="175"/>
      <c r="D372" s="182">
        <v>100</v>
      </c>
      <c r="E372" s="182" t="s">
        <v>436</v>
      </c>
      <c r="F372" s="172" t="s">
        <v>268</v>
      </c>
      <c r="G372" s="185">
        <f>G370+G371</f>
        <v>2961.1931910000003</v>
      </c>
    </row>
    <row r="373" spans="1:7">
      <c r="A373" s="196"/>
      <c r="B373" s="174" t="s">
        <v>751</v>
      </c>
      <c r="C373" s="340" t="s">
        <v>436</v>
      </c>
      <c r="D373" s="168" t="s">
        <v>760</v>
      </c>
      <c r="F373" s="172" t="s">
        <v>293</v>
      </c>
      <c r="G373" s="185">
        <f>ROUND(G372/D372,1)</f>
        <v>29.6</v>
      </c>
    </row>
    <row r="376" spans="1:7">
      <c r="B376" s="190" t="s">
        <v>336</v>
      </c>
    </row>
    <row r="377" spans="1:7">
      <c r="C377" s="161" t="s">
        <v>297</v>
      </c>
      <c r="D377" s="161" t="s">
        <v>101</v>
      </c>
      <c r="E377" s="161" t="s">
        <v>100</v>
      </c>
      <c r="F377" s="161" t="s">
        <v>103</v>
      </c>
      <c r="G377" s="161" t="s">
        <v>264</v>
      </c>
    </row>
    <row r="378" spans="1:7">
      <c r="B378" s="161">
        <v>1</v>
      </c>
      <c r="C378" s="161" t="s">
        <v>397</v>
      </c>
      <c r="D378" s="161" t="s">
        <v>106</v>
      </c>
      <c r="E378" s="163">
        <f>E346</f>
        <v>0.04</v>
      </c>
      <c r="F378" s="163">
        <f>Lead!G10</f>
        <v>695.1</v>
      </c>
      <c r="G378" s="163">
        <f>ROUND(F378*E378,2)</f>
        <v>27.8</v>
      </c>
    </row>
    <row r="379" spans="1:7">
      <c r="D379" s="161" t="s">
        <v>299</v>
      </c>
      <c r="E379" s="163"/>
      <c r="F379" s="163"/>
      <c r="G379" s="163">
        <f>ROUND(G378*13.615%,2)</f>
        <v>3.78</v>
      </c>
    </row>
    <row r="380" spans="1:7">
      <c r="D380" s="161" t="s">
        <v>401</v>
      </c>
      <c r="E380" s="163"/>
      <c r="F380" s="163"/>
      <c r="G380" s="163">
        <f>SUM(G378:G379)</f>
        <v>31.580000000000002</v>
      </c>
    </row>
    <row r="381" spans="1:7">
      <c r="D381" s="161" t="s">
        <v>763</v>
      </c>
      <c r="G381" s="163">
        <f>ROUND(G380/D372,2)</f>
        <v>0.32</v>
      </c>
    </row>
    <row r="382" spans="1:7">
      <c r="G382" s="163"/>
    </row>
    <row r="383" spans="1:7">
      <c r="B383" s="190" t="s">
        <v>838</v>
      </c>
      <c r="F383" s="192" t="s">
        <v>268</v>
      </c>
      <c r="G383" s="166">
        <f>ROUND((G373+G381),1)</f>
        <v>29.9</v>
      </c>
    </row>
    <row r="385" spans="1:7" ht="76.5" customHeight="1">
      <c r="A385" s="358" t="s">
        <v>779</v>
      </c>
      <c r="B385" s="630" t="s">
        <v>764</v>
      </c>
      <c r="C385" s="630"/>
      <c r="D385" s="630"/>
      <c r="E385" s="630"/>
      <c r="F385" s="630"/>
      <c r="G385" s="630"/>
    </row>
    <row r="387" spans="1:7">
      <c r="A387" s="161" t="s">
        <v>258</v>
      </c>
      <c r="E387" s="161" t="s">
        <v>259</v>
      </c>
    </row>
    <row r="388" spans="1:7">
      <c r="F388" s="161" t="s">
        <v>433</v>
      </c>
    </row>
    <row r="389" spans="1:7">
      <c r="B389" s="161" t="s">
        <v>261</v>
      </c>
      <c r="F389" s="161">
        <v>7.5</v>
      </c>
      <c r="G389" s="161" t="s">
        <v>436</v>
      </c>
    </row>
    <row r="390" spans="1:7">
      <c r="B390" s="161" t="s">
        <v>262</v>
      </c>
      <c r="C390" s="161" t="s">
        <v>297</v>
      </c>
      <c r="D390" s="161" t="s">
        <v>101</v>
      </c>
      <c r="E390" s="161" t="s">
        <v>100</v>
      </c>
      <c r="F390" s="161" t="s">
        <v>103</v>
      </c>
      <c r="G390" s="161" t="s">
        <v>264</v>
      </c>
    </row>
    <row r="391" spans="1:7">
      <c r="F391" s="161" t="s">
        <v>265</v>
      </c>
      <c r="G391" s="161" t="s">
        <v>492</v>
      </c>
    </row>
    <row r="392" spans="1:7">
      <c r="B392" s="161">
        <v>1</v>
      </c>
      <c r="C392" s="161" t="s">
        <v>765</v>
      </c>
      <c r="D392" s="161" t="s">
        <v>310</v>
      </c>
      <c r="E392" s="161">
        <v>50.7</v>
      </c>
      <c r="F392" s="161">
        <v>67</v>
      </c>
      <c r="G392" s="161">
        <f>F392*E392</f>
        <v>3396.9</v>
      </c>
    </row>
    <row r="393" spans="1:7">
      <c r="B393" s="161">
        <v>2</v>
      </c>
      <c r="C393" s="161" t="s">
        <v>766</v>
      </c>
      <c r="D393" s="161" t="s">
        <v>310</v>
      </c>
      <c r="E393" s="161">
        <v>104.5</v>
      </c>
      <c r="F393" s="161">
        <v>61.5</v>
      </c>
      <c r="G393" s="161">
        <f t="shared" ref="G393:G397" si="13">F393*E393</f>
        <v>6426.75</v>
      </c>
    </row>
    <row r="394" spans="1:7">
      <c r="B394" s="161">
        <v>3</v>
      </c>
      <c r="C394" s="161" t="s">
        <v>767</v>
      </c>
      <c r="D394" s="161" t="s">
        <v>310</v>
      </c>
      <c r="E394" s="161">
        <v>27.4</v>
      </c>
      <c r="F394" s="161">
        <v>61</v>
      </c>
      <c r="G394" s="161">
        <f t="shared" si="13"/>
        <v>1671.3999999999999</v>
      </c>
    </row>
    <row r="395" spans="1:7">
      <c r="B395" s="161">
        <v>4</v>
      </c>
      <c r="C395" s="161" t="s">
        <v>768</v>
      </c>
      <c r="D395" s="161" t="s">
        <v>108</v>
      </c>
      <c r="E395" s="161">
        <v>70</v>
      </c>
      <c r="F395" s="161">
        <v>17</v>
      </c>
      <c r="G395" s="161">
        <f t="shared" si="13"/>
        <v>1190</v>
      </c>
    </row>
    <row r="396" spans="1:7">
      <c r="B396" s="161">
        <v>5</v>
      </c>
      <c r="C396" s="161" t="s">
        <v>769</v>
      </c>
      <c r="D396" s="161" t="s">
        <v>317</v>
      </c>
      <c r="E396" s="161">
        <v>1</v>
      </c>
      <c r="F396" s="161">
        <v>656</v>
      </c>
      <c r="G396" s="161">
        <f t="shared" si="13"/>
        <v>656</v>
      </c>
    </row>
    <row r="397" spans="1:7">
      <c r="B397" s="161">
        <v>6</v>
      </c>
      <c r="C397" s="161" t="s">
        <v>770</v>
      </c>
      <c r="D397" s="161" t="s">
        <v>319</v>
      </c>
      <c r="E397" s="161">
        <v>1.5</v>
      </c>
      <c r="F397" s="161">
        <v>41</v>
      </c>
      <c r="G397" s="161">
        <f t="shared" si="13"/>
        <v>61.5</v>
      </c>
    </row>
    <row r="398" spans="1:7">
      <c r="B398" s="161" t="s">
        <v>267</v>
      </c>
      <c r="F398" s="161" t="s">
        <v>268</v>
      </c>
      <c r="G398" s="161">
        <f>SUM(G392:G397)</f>
        <v>13402.55</v>
      </c>
    </row>
    <row r="400" spans="1:7">
      <c r="B400" s="161" t="s">
        <v>269</v>
      </c>
    </row>
    <row r="401" spans="2:7">
      <c r="B401" s="161" t="s">
        <v>262</v>
      </c>
      <c r="C401" s="161" t="s">
        <v>270</v>
      </c>
      <c r="D401" s="161" t="s">
        <v>101</v>
      </c>
      <c r="E401" s="161" t="s">
        <v>100</v>
      </c>
      <c r="F401" s="161" t="s">
        <v>103</v>
      </c>
      <c r="G401" s="161" t="s">
        <v>264</v>
      </c>
    </row>
    <row r="402" spans="2:7">
      <c r="F402" s="161" t="s">
        <v>265</v>
      </c>
      <c r="G402" s="161" t="s">
        <v>492</v>
      </c>
    </row>
    <row r="403" spans="2:7">
      <c r="B403" s="161">
        <v>1</v>
      </c>
      <c r="C403" s="161" t="s">
        <v>771</v>
      </c>
      <c r="D403" s="161" t="s">
        <v>272</v>
      </c>
      <c r="E403" s="161">
        <v>8</v>
      </c>
      <c r="F403" s="161">
        <v>17</v>
      </c>
      <c r="G403" s="161">
        <f>F403*E403</f>
        <v>136</v>
      </c>
    </row>
    <row r="404" spans="2:7">
      <c r="C404" s="161" t="s">
        <v>273</v>
      </c>
      <c r="D404" s="161" t="s">
        <v>272</v>
      </c>
      <c r="E404" s="161">
        <v>8</v>
      </c>
      <c r="F404" s="161">
        <v>101.5</v>
      </c>
      <c r="G404" s="161">
        <f t="shared" ref="G404:G405" si="14">F404*E404</f>
        <v>812</v>
      </c>
    </row>
    <row r="405" spans="2:7">
      <c r="B405" s="161">
        <v>2</v>
      </c>
      <c r="C405" s="161" t="s">
        <v>772</v>
      </c>
      <c r="D405" s="161" t="s">
        <v>319</v>
      </c>
      <c r="E405" s="161">
        <v>2</v>
      </c>
      <c r="F405" s="161">
        <v>41</v>
      </c>
      <c r="G405" s="161">
        <f t="shared" si="14"/>
        <v>82</v>
      </c>
    </row>
    <row r="406" spans="2:7">
      <c r="B406" s="161" t="s">
        <v>274</v>
      </c>
      <c r="F406" s="161" t="s">
        <v>268</v>
      </c>
      <c r="G406" s="161">
        <f>SUM(G403:G405)</f>
        <v>1030</v>
      </c>
    </row>
    <row r="408" spans="2:7">
      <c r="B408" s="161" t="s">
        <v>275</v>
      </c>
    </row>
    <row r="409" spans="2:7">
      <c r="B409" s="161" t="s">
        <v>262</v>
      </c>
      <c r="C409" s="161" t="s">
        <v>270</v>
      </c>
      <c r="D409" s="161" t="s">
        <v>101</v>
      </c>
      <c r="E409" s="161" t="s">
        <v>100</v>
      </c>
      <c r="F409" s="161" t="s">
        <v>103</v>
      </c>
      <c r="G409" s="161" t="s">
        <v>264</v>
      </c>
    </row>
    <row r="410" spans="2:7">
      <c r="F410" s="161" t="s">
        <v>265</v>
      </c>
      <c r="G410" s="161" t="s">
        <v>492</v>
      </c>
    </row>
    <row r="411" spans="2:7">
      <c r="B411" s="161">
        <v>1</v>
      </c>
      <c r="C411" s="161" t="s">
        <v>773</v>
      </c>
      <c r="D411" s="161" t="s">
        <v>278</v>
      </c>
      <c r="E411" s="161">
        <v>1.5</v>
      </c>
      <c r="F411" s="161">
        <v>800</v>
      </c>
      <c r="G411" s="161">
        <f>F411*E411</f>
        <v>1200</v>
      </c>
    </row>
    <row r="412" spans="2:7">
      <c r="B412" s="161">
        <v>2</v>
      </c>
      <c r="C412" s="161" t="s">
        <v>774</v>
      </c>
      <c r="D412" s="161" t="s">
        <v>278</v>
      </c>
      <c r="E412" s="161">
        <v>1.5</v>
      </c>
      <c r="F412" s="161">
        <v>655</v>
      </c>
      <c r="G412" s="161">
        <f t="shared" ref="G412:G413" si="15">F412*E412</f>
        <v>982.5</v>
      </c>
    </row>
    <row r="413" spans="2:7">
      <c r="B413" s="161">
        <v>3</v>
      </c>
      <c r="C413" s="161" t="s">
        <v>279</v>
      </c>
      <c r="D413" s="161" t="s">
        <v>278</v>
      </c>
      <c r="E413" s="161">
        <v>2</v>
      </c>
      <c r="F413" s="161">
        <v>560</v>
      </c>
      <c r="G413" s="161">
        <f t="shared" si="15"/>
        <v>1120</v>
      </c>
    </row>
    <row r="414" spans="2:7">
      <c r="B414" s="161" t="s">
        <v>280</v>
      </c>
      <c r="F414" s="161" t="s">
        <v>268</v>
      </c>
      <c r="G414" s="161">
        <f>SUM(G411:G413)</f>
        <v>3302.5</v>
      </c>
    </row>
    <row r="415" spans="2:7">
      <c r="B415" s="161" t="s">
        <v>281</v>
      </c>
      <c r="E415" s="161">
        <v>440.3</v>
      </c>
    </row>
    <row r="416" spans="2:7">
      <c r="B416" s="161" t="s">
        <v>282</v>
      </c>
      <c r="D416" s="161">
        <v>0.13615000000000002</v>
      </c>
      <c r="E416" s="161">
        <v>59.9</v>
      </c>
    </row>
    <row r="417" spans="1:7">
      <c r="B417" s="161" t="s">
        <v>283</v>
      </c>
      <c r="E417" s="161">
        <f>SUM(E415:E416)</f>
        <v>500.2</v>
      </c>
    </row>
    <row r="419" spans="1:7">
      <c r="B419" s="161" t="s">
        <v>284</v>
      </c>
    </row>
    <row r="420" spans="1:7">
      <c r="B420" s="161" t="s">
        <v>285</v>
      </c>
      <c r="F420" s="161" t="s">
        <v>268</v>
      </c>
      <c r="G420" s="161">
        <f>G398</f>
        <v>13402.55</v>
      </c>
    </row>
    <row r="421" spans="1:7">
      <c r="B421" s="161" t="s">
        <v>286</v>
      </c>
      <c r="F421" s="161" t="s">
        <v>268</v>
      </c>
      <c r="G421" s="161">
        <f>G406</f>
        <v>1030</v>
      </c>
    </row>
    <row r="422" spans="1:7">
      <c r="B422" s="161" t="s">
        <v>287</v>
      </c>
      <c r="F422" s="161" t="s">
        <v>268</v>
      </c>
      <c r="G422" s="161">
        <f>G414</f>
        <v>3302.5</v>
      </c>
    </row>
    <row r="423" spans="1:7">
      <c r="E423" s="161" t="s">
        <v>230</v>
      </c>
      <c r="F423" s="161" t="s">
        <v>268</v>
      </c>
      <c r="G423" s="161">
        <f>SUM(G420:G422)</f>
        <v>17735.05</v>
      </c>
    </row>
    <row r="424" spans="1:7">
      <c r="B424" s="161" t="s">
        <v>775</v>
      </c>
      <c r="E424" s="161">
        <v>0.13615000000000002</v>
      </c>
      <c r="F424" s="161" t="s">
        <v>293</v>
      </c>
      <c r="G424" s="161">
        <f>G423*E424</f>
        <v>2414.6270575000003</v>
      </c>
    </row>
    <row r="425" spans="1:7">
      <c r="B425" s="161" t="s">
        <v>776</v>
      </c>
      <c r="D425" s="161">
        <v>0.18259999999999998</v>
      </c>
      <c r="E425" s="161" t="s">
        <v>777</v>
      </c>
      <c r="F425" s="161">
        <v>264.04126000000002</v>
      </c>
      <c r="G425" s="161">
        <f>F425*D425</f>
        <v>48.213934076000001</v>
      </c>
    </row>
    <row r="426" spans="1:7">
      <c r="B426" s="161" t="s">
        <v>290</v>
      </c>
      <c r="D426" s="161">
        <v>7.5</v>
      </c>
      <c r="E426" s="161" t="s">
        <v>436</v>
      </c>
      <c r="F426" s="161" t="s">
        <v>268</v>
      </c>
      <c r="G426" s="161">
        <f>G425+G424+G423</f>
        <v>20197.890991576001</v>
      </c>
    </row>
    <row r="427" spans="1:7">
      <c r="B427" s="161" t="s">
        <v>291</v>
      </c>
      <c r="D427" s="161" t="s">
        <v>778</v>
      </c>
      <c r="F427" s="161" t="s">
        <v>268</v>
      </c>
      <c r="G427" s="166">
        <f>ROUND(G426/7.5,1)</f>
        <v>2693.1</v>
      </c>
    </row>
    <row r="431" spans="1:7">
      <c r="A431" s="623" t="s">
        <v>366</v>
      </c>
      <c r="B431" s="13" t="s">
        <v>367</v>
      </c>
      <c r="D431" s="161" t="s">
        <v>368</v>
      </c>
    </row>
    <row r="432" spans="1:7">
      <c r="A432" s="623"/>
      <c r="B432" s="13" t="s">
        <v>369</v>
      </c>
    </row>
    <row r="433" spans="1:7">
      <c r="A433" s="623"/>
      <c r="B433" s="13" t="s">
        <v>370</v>
      </c>
    </row>
    <row r="434" spans="1:7">
      <c r="A434" s="623"/>
      <c r="B434" s="13" t="s">
        <v>371</v>
      </c>
    </row>
    <row r="435" spans="1:7">
      <c r="B435" s="13" t="s">
        <v>372</v>
      </c>
    </row>
    <row r="436" spans="1:7">
      <c r="B436" s="161" t="s">
        <v>373</v>
      </c>
    </row>
    <row r="437" spans="1:7">
      <c r="A437" s="161" t="s">
        <v>258</v>
      </c>
      <c r="B437" s="161" t="s">
        <v>374</v>
      </c>
      <c r="D437" s="161" t="s">
        <v>101</v>
      </c>
      <c r="E437" s="161">
        <v>240</v>
      </c>
      <c r="F437" s="161" t="s">
        <v>106</v>
      </c>
    </row>
    <row r="438" spans="1:7">
      <c r="B438" s="161" t="s">
        <v>375</v>
      </c>
    </row>
    <row r="439" spans="1:7">
      <c r="B439" s="161" t="s">
        <v>262</v>
      </c>
      <c r="C439" s="161" t="s">
        <v>270</v>
      </c>
      <c r="D439" s="161" t="s">
        <v>101</v>
      </c>
      <c r="E439" s="161" t="s">
        <v>100</v>
      </c>
      <c r="F439" s="161" t="s">
        <v>103</v>
      </c>
      <c r="G439" s="161" t="s">
        <v>264</v>
      </c>
    </row>
    <row r="440" spans="1:7">
      <c r="F440" s="161" t="s">
        <v>265</v>
      </c>
      <c r="G440" s="161" t="s">
        <v>265</v>
      </c>
    </row>
    <row r="441" spans="1:7">
      <c r="C441" s="161" t="s">
        <v>266</v>
      </c>
      <c r="E441" s="161">
        <v>0</v>
      </c>
      <c r="F441" s="161">
        <v>0</v>
      </c>
      <c r="G441" s="161">
        <v>0</v>
      </c>
    </row>
    <row r="443" spans="1:7">
      <c r="B443" s="161" t="s">
        <v>376</v>
      </c>
    </row>
    <row r="444" spans="1:7">
      <c r="B444" s="161" t="s">
        <v>262</v>
      </c>
      <c r="C444" s="161" t="s">
        <v>270</v>
      </c>
      <c r="D444" s="161" t="s">
        <v>101</v>
      </c>
      <c r="E444" s="161" t="s">
        <v>100</v>
      </c>
      <c r="F444" s="161" t="s">
        <v>103</v>
      </c>
      <c r="G444" s="161" t="s">
        <v>264</v>
      </c>
    </row>
    <row r="445" spans="1:7">
      <c r="F445" s="161" t="s">
        <v>265</v>
      </c>
      <c r="G445" s="161" t="s">
        <v>265</v>
      </c>
    </row>
    <row r="446" spans="1:7">
      <c r="B446" s="161">
        <v>1</v>
      </c>
      <c r="C446" s="161" t="s">
        <v>377</v>
      </c>
      <c r="D446" s="161" t="s">
        <v>378</v>
      </c>
      <c r="E446" s="161">
        <v>6</v>
      </c>
      <c r="F446" s="161">
        <v>1709.2</v>
      </c>
      <c r="G446" s="163">
        <f>ROUND(F446*E446,2)</f>
        <v>10255.200000000001</v>
      </c>
    </row>
    <row r="447" spans="1:7">
      <c r="C447" s="161" t="s">
        <v>379</v>
      </c>
      <c r="D447" s="161" t="s">
        <v>378</v>
      </c>
      <c r="E447" s="161">
        <v>6</v>
      </c>
      <c r="F447" s="161">
        <v>1503.9</v>
      </c>
      <c r="G447" s="163">
        <f>ROUND(F447*E447,2)</f>
        <v>9023.4</v>
      </c>
    </row>
    <row r="448" spans="1:7">
      <c r="C448" s="161" t="s">
        <v>380</v>
      </c>
      <c r="G448" s="163">
        <f>SUM(G446:G447)</f>
        <v>19278.599999999999</v>
      </c>
    </row>
    <row r="450" spans="2:7">
      <c r="B450" s="161" t="s">
        <v>381</v>
      </c>
    </row>
    <row r="451" spans="2:7">
      <c r="B451" s="161" t="s">
        <v>262</v>
      </c>
      <c r="C451" s="161" t="s">
        <v>270</v>
      </c>
      <c r="D451" s="161" t="s">
        <v>101</v>
      </c>
      <c r="E451" s="161" t="s">
        <v>100</v>
      </c>
      <c r="F451" s="161" t="s">
        <v>103</v>
      </c>
      <c r="G451" s="161" t="s">
        <v>264</v>
      </c>
    </row>
    <row r="452" spans="2:7">
      <c r="F452" s="161" t="s">
        <v>265</v>
      </c>
      <c r="G452" s="161" t="s">
        <v>265</v>
      </c>
    </row>
    <row r="453" spans="2:7">
      <c r="B453" s="161">
        <v>1</v>
      </c>
      <c r="C453" s="161" t="s">
        <v>277</v>
      </c>
      <c r="D453" s="161" t="s">
        <v>382</v>
      </c>
      <c r="E453" s="161">
        <v>0.32</v>
      </c>
      <c r="F453" s="161">
        <v>730</v>
      </c>
      <c r="G453" s="163">
        <f>ROUND(F453*E453,2)</f>
        <v>233.6</v>
      </c>
    </row>
    <row r="454" spans="2:7">
      <c r="B454" s="161">
        <v>2</v>
      </c>
      <c r="C454" s="161" t="s">
        <v>362</v>
      </c>
      <c r="D454" s="161" t="s">
        <v>382</v>
      </c>
      <c r="E454" s="161">
        <v>8</v>
      </c>
      <c r="F454" s="161">
        <v>560</v>
      </c>
      <c r="G454" s="163">
        <f t="shared" ref="G454:G455" si="16">ROUND(F454*E454,2)</f>
        <v>4480</v>
      </c>
    </row>
    <row r="455" spans="2:7">
      <c r="B455" s="161">
        <v>3</v>
      </c>
      <c r="C455" s="161" t="s">
        <v>383</v>
      </c>
      <c r="D455" s="161" t="s">
        <v>378</v>
      </c>
      <c r="E455" s="161">
        <v>6</v>
      </c>
      <c r="F455" s="161">
        <v>348.4</v>
      </c>
      <c r="G455" s="163">
        <f t="shared" si="16"/>
        <v>2090.4</v>
      </c>
    </row>
    <row r="456" spans="2:7">
      <c r="C456" s="161" t="s">
        <v>380</v>
      </c>
      <c r="G456" s="163">
        <f>SUM(G453:G455)</f>
        <v>6804</v>
      </c>
    </row>
    <row r="457" spans="2:7">
      <c r="B457" s="161" t="s">
        <v>281</v>
      </c>
      <c r="E457" s="164">
        <v>28.4</v>
      </c>
    </row>
    <row r="458" spans="2:7">
      <c r="B458" s="161" t="s">
        <v>282</v>
      </c>
      <c r="D458" s="161">
        <v>0.13614999999999999</v>
      </c>
      <c r="E458" s="164">
        <v>3.9</v>
      </c>
    </row>
    <row r="459" spans="2:7">
      <c r="B459" s="161" t="s">
        <v>283</v>
      </c>
      <c r="E459" s="165">
        <f>SUM(E457:E458)</f>
        <v>32.299999999999997</v>
      </c>
    </row>
    <row r="461" spans="2:7">
      <c r="B461" s="161" t="s">
        <v>384</v>
      </c>
    </row>
    <row r="462" spans="2:7">
      <c r="B462" s="161" t="s">
        <v>385</v>
      </c>
      <c r="F462" s="161" t="s">
        <v>386</v>
      </c>
      <c r="G462" s="163">
        <f>G441</f>
        <v>0</v>
      </c>
    </row>
    <row r="463" spans="2:7">
      <c r="B463" s="161" t="s">
        <v>387</v>
      </c>
      <c r="F463" s="161" t="s">
        <v>386</v>
      </c>
      <c r="G463" s="163">
        <f>G448</f>
        <v>19278.599999999999</v>
      </c>
    </row>
    <row r="464" spans="2:7">
      <c r="B464" s="161" t="s">
        <v>388</v>
      </c>
      <c r="F464" s="161" t="s">
        <v>386</v>
      </c>
      <c r="G464" s="163">
        <f>G456</f>
        <v>6804</v>
      </c>
    </row>
    <row r="465" spans="1:7">
      <c r="B465" s="161" t="s">
        <v>230</v>
      </c>
      <c r="F465" s="161" t="s">
        <v>386</v>
      </c>
      <c r="G465" s="163">
        <f>SUM(G462:G464)</f>
        <v>26082.6</v>
      </c>
    </row>
    <row r="466" spans="1:7">
      <c r="B466" s="161" t="s">
        <v>289</v>
      </c>
      <c r="E466" s="161">
        <v>0.13614999999999999</v>
      </c>
      <c r="F466" s="161" t="s">
        <v>268</v>
      </c>
      <c r="G466" s="161">
        <f>ROUND(G465*E466,2)</f>
        <v>3551.15</v>
      </c>
    </row>
    <row r="467" spans="1:7">
      <c r="B467" s="161" t="s">
        <v>290</v>
      </c>
      <c r="D467" s="161">
        <v>240</v>
      </c>
      <c r="E467" s="161" t="s">
        <v>106</v>
      </c>
      <c r="F467" s="161" t="s">
        <v>268</v>
      </c>
      <c r="G467" s="163">
        <f>G465+G466</f>
        <v>29633.75</v>
      </c>
    </row>
    <row r="468" spans="1:7">
      <c r="B468" s="161" t="s">
        <v>291</v>
      </c>
      <c r="C468" s="161" t="s">
        <v>106</v>
      </c>
      <c r="D468" s="161" t="s">
        <v>389</v>
      </c>
      <c r="F468" s="161" t="s">
        <v>293</v>
      </c>
      <c r="G468" s="166">
        <f>ROUND(G467/D467,1)</f>
        <v>123.5</v>
      </c>
    </row>
    <row r="471" spans="1:7" ht="21.75" customHeight="1">
      <c r="A471" s="623" t="s">
        <v>390</v>
      </c>
      <c r="B471" s="161" t="s">
        <v>391</v>
      </c>
    </row>
    <row r="472" spans="1:7" ht="21.75" customHeight="1">
      <c r="A472" s="623"/>
      <c r="B472" s="161" t="s">
        <v>392</v>
      </c>
    </row>
    <row r="473" spans="1:7" ht="22.5" customHeight="1">
      <c r="A473" s="623"/>
      <c r="B473" s="161" t="s">
        <v>393</v>
      </c>
    </row>
    <row r="475" spans="1:7">
      <c r="A475" s="161" t="s">
        <v>258</v>
      </c>
      <c r="B475" s="161" t="s">
        <v>394</v>
      </c>
    </row>
    <row r="476" spans="1:7">
      <c r="B476" s="161" t="s">
        <v>395</v>
      </c>
      <c r="E476" s="161" t="s">
        <v>2</v>
      </c>
      <c r="F476" s="161">
        <v>7.5</v>
      </c>
      <c r="G476" s="161" t="s">
        <v>106</v>
      </c>
    </row>
    <row r="477" spans="1:7">
      <c r="B477" s="161" t="s">
        <v>396</v>
      </c>
    </row>
    <row r="479" spans="1:7">
      <c r="A479" s="161" t="s">
        <v>258</v>
      </c>
      <c r="C479" s="161" t="s">
        <v>259</v>
      </c>
      <c r="E479" s="161" t="s">
        <v>260</v>
      </c>
      <c r="F479" s="161">
        <v>15</v>
      </c>
      <c r="G479" s="161" t="s">
        <v>106</v>
      </c>
    </row>
    <row r="480" spans="1:7">
      <c r="B480" s="161" t="s">
        <v>261</v>
      </c>
    </row>
    <row r="481" spans="2:7">
      <c r="B481" s="161" t="s">
        <v>262</v>
      </c>
      <c r="C481" s="161" t="s">
        <v>297</v>
      </c>
      <c r="D481" s="161" t="s">
        <v>101</v>
      </c>
      <c r="E481" s="161" t="s">
        <v>100</v>
      </c>
      <c r="F481" s="161" t="s">
        <v>103</v>
      </c>
      <c r="G481" s="161" t="s">
        <v>264</v>
      </c>
    </row>
    <row r="482" spans="2:7">
      <c r="F482" s="161" t="s">
        <v>265</v>
      </c>
      <c r="G482" s="161" t="s">
        <v>265</v>
      </c>
    </row>
    <row r="483" spans="2:7">
      <c r="B483" s="161">
        <v>1</v>
      </c>
      <c r="C483" s="161" t="s">
        <v>397</v>
      </c>
      <c r="D483" s="161" t="s">
        <v>106</v>
      </c>
      <c r="E483" s="161">
        <v>15.75</v>
      </c>
      <c r="F483" s="161">
        <v>460</v>
      </c>
      <c r="G483" s="161">
        <f>F483*E483</f>
        <v>7245</v>
      </c>
    </row>
    <row r="484" spans="2:7">
      <c r="F484" s="161">
        <v>0</v>
      </c>
      <c r="G484" s="161">
        <v>0</v>
      </c>
    </row>
    <row r="485" spans="2:7">
      <c r="C485" s="161" t="s">
        <v>267</v>
      </c>
      <c r="F485" s="161" t="s">
        <v>268</v>
      </c>
      <c r="G485" s="161">
        <f>SUM(G483:G484)</f>
        <v>7245</v>
      </c>
    </row>
    <row r="487" spans="2:7">
      <c r="B487" s="161" t="s">
        <v>269</v>
      </c>
    </row>
    <row r="488" spans="2:7">
      <c r="B488" s="161" t="s">
        <v>262</v>
      </c>
      <c r="C488" s="161" t="s">
        <v>270</v>
      </c>
      <c r="D488" s="161" t="s">
        <v>101</v>
      </c>
      <c r="E488" s="161" t="s">
        <v>100</v>
      </c>
      <c r="F488" s="161" t="s">
        <v>103</v>
      </c>
      <c r="G488" s="161" t="s">
        <v>264</v>
      </c>
    </row>
    <row r="489" spans="2:7">
      <c r="F489" s="161" t="s">
        <v>265</v>
      </c>
      <c r="G489" s="161" t="s">
        <v>265</v>
      </c>
    </row>
    <row r="490" spans="2:7">
      <c r="B490" s="161">
        <v>1</v>
      </c>
      <c r="C490" s="161" t="s">
        <v>398</v>
      </c>
      <c r="E490" s="161">
        <v>0</v>
      </c>
      <c r="F490" s="161">
        <v>0</v>
      </c>
      <c r="G490" s="161">
        <v>0</v>
      </c>
    </row>
    <row r="491" spans="2:7">
      <c r="E491" s="161">
        <v>0</v>
      </c>
      <c r="F491" s="161">
        <v>0</v>
      </c>
      <c r="G491" s="161">
        <v>0</v>
      </c>
    </row>
    <row r="492" spans="2:7">
      <c r="C492" s="161" t="s">
        <v>274</v>
      </c>
      <c r="F492" s="161" t="s">
        <v>268</v>
      </c>
      <c r="G492" s="161">
        <v>0</v>
      </c>
    </row>
    <row r="494" spans="2:7">
      <c r="B494" s="161" t="s">
        <v>275</v>
      </c>
    </row>
    <row r="495" spans="2:7">
      <c r="B495" s="161" t="s">
        <v>262</v>
      </c>
      <c r="C495" s="161" t="s">
        <v>270</v>
      </c>
      <c r="D495" s="161" t="s">
        <v>101</v>
      </c>
      <c r="E495" s="161" t="s">
        <v>100</v>
      </c>
      <c r="F495" s="161" t="s">
        <v>103</v>
      </c>
      <c r="G495" s="161" t="s">
        <v>264</v>
      </c>
    </row>
    <row r="496" spans="2:7">
      <c r="F496" s="161" t="s">
        <v>265</v>
      </c>
      <c r="G496" s="161" t="s">
        <v>265</v>
      </c>
    </row>
    <row r="497" spans="2:7">
      <c r="B497" s="161">
        <v>1</v>
      </c>
      <c r="C497" s="161" t="s">
        <v>277</v>
      </c>
      <c r="D497" s="161" t="s">
        <v>278</v>
      </c>
      <c r="E497" s="161">
        <v>0.25</v>
      </c>
      <c r="F497" s="161">
        <v>730</v>
      </c>
      <c r="G497" s="161">
        <f>F497*E497</f>
        <v>182.5</v>
      </c>
    </row>
    <row r="498" spans="2:7">
      <c r="B498" s="161">
        <v>2</v>
      </c>
      <c r="C498" s="161" t="s">
        <v>279</v>
      </c>
      <c r="D498" s="161" t="s">
        <v>278</v>
      </c>
      <c r="E498" s="161">
        <v>4</v>
      </c>
      <c r="F498" s="161">
        <v>560</v>
      </c>
      <c r="G498" s="161">
        <f>F498*E498</f>
        <v>2240</v>
      </c>
    </row>
    <row r="499" spans="2:7">
      <c r="C499" s="161" t="s">
        <v>280</v>
      </c>
      <c r="F499" s="161" t="s">
        <v>268</v>
      </c>
      <c r="G499" s="161">
        <f>SUM(G497:G498)</f>
        <v>2422.5</v>
      </c>
    </row>
    <row r="500" spans="2:7">
      <c r="B500" s="161" t="s">
        <v>281</v>
      </c>
      <c r="E500" s="164">
        <v>161.5</v>
      </c>
    </row>
    <row r="501" spans="2:7">
      <c r="B501" s="161" t="s">
        <v>282</v>
      </c>
      <c r="D501" s="161">
        <v>0.13614999999999999</v>
      </c>
      <c r="E501" s="164">
        <v>22</v>
      </c>
    </row>
    <row r="502" spans="2:7">
      <c r="B502" s="161" t="s">
        <v>283</v>
      </c>
      <c r="E502" s="165">
        <f>SUM(E500:E501)</f>
        <v>183.5</v>
      </c>
    </row>
    <row r="504" spans="2:7">
      <c r="B504" s="161" t="s">
        <v>284</v>
      </c>
    </row>
    <row r="505" spans="2:7">
      <c r="B505" s="161" t="s">
        <v>285</v>
      </c>
      <c r="F505" s="161" t="s">
        <v>268</v>
      </c>
      <c r="G505" s="161">
        <f>G485</f>
        <v>7245</v>
      </c>
    </row>
    <row r="506" spans="2:7">
      <c r="B506" s="161" t="s">
        <v>286</v>
      </c>
      <c r="F506" s="161" t="s">
        <v>268</v>
      </c>
      <c r="G506" s="161">
        <v>0</v>
      </c>
    </row>
    <row r="507" spans="2:7">
      <c r="B507" s="161" t="s">
        <v>287</v>
      </c>
      <c r="F507" s="161" t="s">
        <v>268</v>
      </c>
      <c r="G507" s="161">
        <f>G499</f>
        <v>2422.5</v>
      </c>
    </row>
    <row r="508" spans="2:7">
      <c r="F508" s="161" t="s">
        <v>288</v>
      </c>
      <c r="G508" s="161">
        <f>SUM(G505:G507)</f>
        <v>9667.5</v>
      </c>
    </row>
    <row r="509" spans="2:7">
      <c r="B509" s="190" t="s">
        <v>289</v>
      </c>
      <c r="E509" s="161">
        <v>0.13614999999999999</v>
      </c>
      <c r="F509" s="161" t="s">
        <v>268</v>
      </c>
      <c r="G509" s="161">
        <f>G508*E509</f>
        <v>1316.230125</v>
      </c>
    </row>
    <row r="510" spans="2:7">
      <c r="B510" s="161" t="s">
        <v>290</v>
      </c>
      <c r="D510" s="161">
        <v>15</v>
      </c>
      <c r="E510" s="161" t="s">
        <v>106</v>
      </c>
      <c r="F510" s="161" t="s">
        <v>268</v>
      </c>
      <c r="G510" s="161">
        <f>SUM(G508:G509)</f>
        <v>10983.730125</v>
      </c>
    </row>
    <row r="511" spans="2:7">
      <c r="B511" s="190" t="s">
        <v>399</v>
      </c>
      <c r="D511" s="161" t="s">
        <v>400</v>
      </c>
      <c r="F511" s="161" t="s">
        <v>293</v>
      </c>
      <c r="G511" s="166">
        <f>ROUND(G510/D510,1)</f>
        <v>732.2</v>
      </c>
    </row>
    <row r="513" spans="1:7">
      <c r="B513" s="190" t="s">
        <v>336</v>
      </c>
    </row>
    <row r="514" spans="1:7" ht="20.25" customHeight="1">
      <c r="C514" s="161" t="s">
        <v>297</v>
      </c>
      <c r="D514" s="161" t="s">
        <v>101</v>
      </c>
      <c r="E514" s="161" t="s">
        <v>100</v>
      </c>
      <c r="F514" s="161" t="s">
        <v>103</v>
      </c>
      <c r="G514" s="161" t="s">
        <v>264</v>
      </c>
    </row>
    <row r="515" spans="1:7" ht="21" customHeight="1">
      <c r="B515" s="161">
        <v>1</v>
      </c>
      <c r="C515" s="161" t="s">
        <v>397</v>
      </c>
      <c r="D515" s="161" t="s">
        <v>106</v>
      </c>
      <c r="E515" s="163">
        <f>E483</f>
        <v>15.75</v>
      </c>
      <c r="F515" s="163">
        <f>Lead!G10</f>
        <v>695.1</v>
      </c>
      <c r="G515" s="163">
        <f>ROUND(F515*E515,2)</f>
        <v>10947.83</v>
      </c>
    </row>
    <row r="516" spans="1:7" ht="21" customHeight="1">
      <c r="D516" s="161" t="s">
        <v>299</v>
      </c>
      <c r="E516" s="163"/>
      <c r="F516" s="163"/>
      <c r="G516" s="163">
        <f>ROUND(G515*13.615%,2)</f>
        <v>1490.55</v>
      </c>
    </row>
    <row r="517" spans="1:7" ht="21" customHeight="1">
      <c r="D517" s="161" t="s">
        <v>401</v>
      </c>
      <c r="E517" s="163"/>
      <c r="F517" s="163"/>
      <c r="G517" s="163">
        <f>SUM(G515:G516)</f>
        <v>12438.38</v>
      </c>
    </row>
    <row r="518" spans="1:7">
      <c r="D518" s="161" t="s">
        <v>339</v>
      </c>
      <c r="G518" s="163">
        <f>ROUND(G517/D510,1)</f>
        <v>829.2</v>
      </c>
    </row>
    <row r="519" spans="1:7">
      <c r="G519" s="163"/>
    </row>
    <row r="520" spans="1:7">
      <c r="B520" s="190" t="s">
        <v>340</v>
      </c>
      <c r="F520" s="192" t="s">
        <v>268</v>
      </c>
      <c r="G520" s="166">
        <f>G511+G518</f>
        <v>1561.4</v>
      </c>
    </row>
    <row r="521" spans="1:7">
      <c r="G521" s="191"/>
    </row>
    <row r="522" spans="1:7">
      <c r="G522" s="191"/>
    </row>
    <row r="523" spans="1:7">
      <c r="A523" s="626" t="s">
        <v>839</v>
      </c>
      <c r="B523" s="157" t="s">
        <v>842</v>
      </c>
      <c r="C523" s="154"/>
      <c r="D523" s="154"/>
      <c r="E523" s="154"/>
      <c r="F523" s="154"/>
      <c r="G523" s="154"/>
    </row>
    <row r="524" spans="1:7">
      <c r="A524" s="626"/>
      <c r="B524" s="157" t="s">
        <v>843</v>
      </c>
      <c r="C524" s="154"/>
      <c r="D524" s="154"/>
      <c r="E524" s="154"/>
      <c r="F524" s="154"/>
      <c r="G524" s="154"/>
    </row>
    <row r="525" spans="1:7">
      <c r="A525" s="626"/>
      <c r="B525" s="157" t="s">
        <v>405</v>
      </c>
      <c r="C525" s="154"/>
      <c r="D525" s="154"/>
      <c r="E525" s="154"/>
      <c r="F525" s="154"/>
      <c r="G525" s="154"/>
    </row>
    <row r="526" spans="1:7">
      <c r="A526" s="626"/>
      <c r="B526" s="157" t="s">
        <v>305</v>
      </c>
      <c r="C526" s="154"/>
      <c r="D526" s="154"/>
      <c r="E526" s="154"/>
      <c r="F526" s="154"/>
      <c r="G526" s="154"/>
    </row>
    <row r="527" spans="1:7">
      <c r="A527" s="626"/>
      <c r="B527" s="155" t="s">
        <v>406</v>
      </c>
      <c r="C527" s="154"/>
      <c r="D527" s="154"/>
      <c r="E527" s="154"/>
      <c r="F527" s="154"/>
      <c r="G527" s="154"/>
    </row>
    <row r="528" spans="1:7">
      <c r="A528" s="626"/>
      <c r="B528" s="155" t="s">
        <v>840</v>
      </c>
      <c r="C528" s="154"/>
      <c r="D528" s="154"/>
      <c r="E528" s="154"/>
      <c r="F528" s="154"/>
      <c r="G528" s="154"/>
    </row>
    <row r="529" spans="1:7">
      <c r="A529" s="626"/>
      <c r="B529" s="155" t="s">
        <v>408</v>
      </c>
      <c r="C529" s="157"/>
      <c r="D529" s="157"/>
      <c r="E529" s="157"/>
      <c r="F529" s="157"/>
      <c r="G529" s="157"/>
    </row>
    <row r="530" spans="1:7">
      <c r="A530" s="393"/>
      <c r="B530" s="157"/>
      <c r="C530" s="157"/>
      <c r="D530" s="154"/>
      <c r="E530" s="154"/>
      <c r="F530" s="154"/>
      <c r="G530" s="154"/>
    </row>
    <row r="531" spans="1:7">
      <c r="A531" s="154"/>
      <c r="B531" s="160"/>
      <c r="C531" s="154"/>
      <c r="D531" s="154"/>
      <c r="E531" s="154"/>
      <c r="F531" s="154"/>
      <c r="G531" s="154"/>
    </row>
    <row r="532" spans="1:7">
      <c r="A532" s="393" t="s">
        <v>258</v>
      </c>
      <c r="B532" s="160"/>
      <c r="C532" s="394" t="s">
        <v>259</v>
      </c>
      <c r="D532" s="154"/>
      <c r="E532" s="395" t="s">
        <v>260</v>
      </c>
      <c r="F532" s="396">
        <v>16.36</v>
      </c>
      <c r="G532" s="157" t="s">
        <v>106</v>
      </c>
    </row>
    <row r="533" spans="1:7">
      <c r="A533" s="154"/>
      <c r="B533" s="397" t="s">
        <v>261</v>
      </c>
      <c r="C533" s="157"/>
      <c r="D533" s="154"/>
      <c r="E533" s="154"/>
      <c r="F533" s="154"/>
      <c r="G533" s="154"/>
    </row>
    <row r="534" spans="1:7">
      <c r="A534" s="154"/>
      <c r="B534" s="398" t="s">
        <v>262</v>
      </c>
      <c r="C534" s="399" t="s">
        <v>297</v>
      </c>
      <c r="D534" s="398" t="s">
        <v>101</v>
      </c>
      <c r="E534" s="398" t="s">
        <v>100</v>
      </c>
      <c r="F534" s="398" t="s">
        <v>103</v>
      </c>
      <c r="G534" s="398" t="s">
        <v>264</v>
      </c>
    </row>
    <row r="535" spans="1:7">
      <c r="A535" s="154"/>
      <c r="B535" s="400"/>
      <c r="C535" s="401"/>
      <c r="D535" s="400"/>
      <c r="E535" s="400"/>
      <c r="F535" s="400" t="s">
        <v>265</v>
      </c>
      <c r="G535" s="400" t="s">
        <v>265</v>
      </c>
    </row>
    <row r="536" spans="1:7">
      <c r="A536" s="154"/>
      <c r="B536" s="398">
        <v>1</v>
      </c>
      <c r="C536" s="402" t="s">
        <v>309</v>
      </c>
      <c r="D536" s="398" t="s">
        <v>310</v>
      </c>
      <c r="E536" s="403">
        <v>3599.2</v>
      </c>
      <c r="F536" s="404">
        <v>4.22</v>
      </c>
      <c r="G536" s="403">
        <f>ROUND(F536*E536,2)</f>
        <v>15188.62</v>
      </c>
    </row>
    <row r="537" spans="1:7">
      <c r="A537" s="154"/>
      <c r="B537" s="405"/>
      <c r="C537" s="402" t="s">
        <v>410</v>
      </c>
      <c r="D537" s="406" t="s">
        <v>310</v>
      </c>
      <c r="E537" s="403">
        <v>49.08</v>
      </c>
      <c r="F537" s="404">
        <v>4.22</v>
      </c>
      <c r="G537" s="403">
        <f t="shared" ref="G537:G545" si="17">ROUND(F537*E537,2)</f>
        <v>207.12</v>
      </c>
    </row>
    <row r="538" spans="1:7">
      <c r="A538" s="154"/>
      <c r="B538" s="406">
        <v>2</v>
      </c>
      <c r="C538" s="402" t="s">
        <v>411</v>
      </c>
      <c r="D538" s="406" t="s">
        <v>106</v>
      </c>
      <c r="E538" s="403">
        <v>7.3620000000000001</v>
      </c>
      <c r="F538" s="404">
        <v>1380</v>
      </c>
      <c r="G538" s="403">
        <f t="shared" si="17"/>
        <v>10159.56</v>
      </c>
    </row>
    <row r="539" spans="1:7">
      <c r="A539" s="154"/>
      <c r="B539" s="405"/>
      <c r="C539" s="402" t="s">
        <v>312</v>
      </c>
      <c r="D539" s="406" t="s">
        <v>106</v>
      </c>
      <c r="E539" s="403">
        <v>4.4172000000000011</v>
      </c>
      <c r="F539" s="404">
        <v>1445</v>
      </c>
      <c r="G539" s="403">
        <f t="shared" si="17"/>
        <v>6382.85</v>
      </c>
    </row>
    <row r="540" spans="1:7">
      <c r="A540" s="154"/>
      <c r="B540" s="405"/>
      <c r="C540" s="402" t="s">
        <v>313</v>
      </c>
      <c r="D540" s="406" t="s">
        <v>106</v>
      </c>
      <c r="E540" s="403">
        <v>2.9448000000000003</v>
      </c>
      <c r="F540" s="404">
        <v>1052</v>
      </c>
      <c r="G540" s="403">
        <f t="shared" si="17"/>
        <v>3097.93</v>
      </c>
    </row>
    <row r="541" spans="1:7">
      <c r="A541" s="407"/>
      <c r="B541" s="406">
        <v>3</v>
      </c>
      <c r="C541" s="402" t="s">
        <v>314</v>
      </c>
      <c r="D541" s="406" t="s">
        <v>106</v>
      </c>
      <c r="E541" s="403">
        <v>6.5440000000000005</v>
      </c>
      <c r="F541" s="404">
        <v>605</v>
      </c>
      <c r="G541" s="403">
        <f t="shared" si="17"/>
        <v>3959.12</v>
      </c>
    </row>
    <row r="542" spans="1:7">
      <c r="A542" s="407"/>
      <c r="B542" s="406">
        <v>4</v>
      </c>
      <c r="C542" s="402" t="s">
        <v>315</v>
      </c>
      <c r="D542" s="406" t="s">
        <v>310</v>
      </c>
      <c r="E542" s="403">
        <v>14.396799999999999</v>
      </c>
      <c r="F542" s="404">
        <v>63</v>
      </c>
      <c r="G542" s="403">
        <f t="shared" si="17"/>
        <v>907</v>
      </c>
    </row>
    <row r="543" spans="1:7">
      <c r="A543" s="154"/>
      <c r="B543" s="406">
        <v>5</v>
      </c>
      <c r="C543" s="402" t="s">
        <v>412</v>
      </c>
      <c r="D543" s="406" t="s">
        <v>317</v>
      </c>
      <c r="E543" s="403">
        <v>16.36</v>
      </c>
      <c r="F543" s="404">
        <v>338.35635696821521</v>
      </c>
      <c r="G543" s="403">
        <f t="shared" si="17"/>
        <v>5535.51</v>
      </c>
    </row>
    <row r="544" spans="1:7">
      <c r="A544" s="154"/>
      <c r="B544" s="405"/>
      <c r="C544" s="402" t="s">
        <v>413</v>
      </c>
      <c r="D544" s="408">
        <v>0.1</v>
      </c>
      <c r="E544" s="403"/>
      <c r="F544" s="404"/>
      <c r="G544" s="403">
        <f>G543*D544</f>
        <v>553.55100000000004</v>
      </c>
    </row>
    <row r="545" spans="1:7">
      <c r="A545" s="154"/>
      <c r="B545" s="400">
        <v>6</v>
      </c>
      <c r="C545" s="409" t="s">
        <v>318</v>
      </c>
      <c r="D545" s="400" t="s">
        <v>319</v>
      </c>
      <c r="E545" s="410">
        <v>0.5</v>
      </c>
      <c r="F545" s="411">
        <v>41</v>
      </c>
      <c r="G545" s="403">
        <f t="shared" si="17"/>
        <v>20.5</v>
      </c>
    </row>
    <row r="546" spans="1:7">
      <c r="A546" s="154"/>
      <c r="B546" s="412"/>
      <c r="C546" s="413" t="s">
        <v>267</v>
      </c>
      <c r="D546" s="414"/>
      <c r="E546" s="415"/>
      <c r="F546" s="416" t="s">
        <v>268</v>
      </c>
      <c r="G546" s="417">
        <f>SUM(G536:G545)+0.01</f>
        <v>46011.771000000008</v>
      </c>
    </row>
    <row r="547" spans="1:7">
      <c r="A547" s="154"/>
      <c r="B547" s="160"/>
      <c r="C547" s="157"/>
      <c r="D547" s="154"/>
      <c r="E547" s="154"/>
      <c r="F547" s="154"/>
      <c r="G547" s="154"/>
    </row>
    <row r="548" spans="1:7">
      <c r="A548" s="154"/>
      <c r="B548" s="397" t="s">
        <v>269</v>
      </c>
      <c r="C548" s="154"/>
      <c r="D548" s="154"/>
      <c r="E548" s="154"/>
      <c r="F548" s="154"/>
      <c r="G548" s="154"/>
    </row>
    <row r="549" spans="1:7">
      <c r="A549" s="154"/>
      <c r="B549" s="398" t="s">
        <v>262</v>
      </c>
      <c r="C549" s="399" t="s">
        <v>270</v>
      </c>
      <c r="D549" s="398" t="s">
        <v>101</v>
      </c>
      <c r="E549" s="398" t="s">
        <v>100</v>
      </c>
      <c r="F549" s="398" t="s">
        <v>103</v>
      </c>
      <c r="G549" s="398" t="s">
        <v>264</v>
      </c>
    </row>
    <row r="550" spans="1:7">
      <c r="A550" s="154"/>
      <c r="B550" s="400"/>
      <c r="C550" s="401"/>
      <c r="D550" s="400"/>
      <c r="E550" s="400"/>
      <c r="F550" s="400" t="s">
        <v>265</v>
      </c>
      <c r="G550" s="400" t="s">
        <v>265</v>
      </c>
    </row>
    <row r="551" spans="1:7">
      <c r="A551" s="154"/>
      <c r="B551" s="398">
        <v>1</v>
      </c>
      <c r="C551" s="402" t="s">
        <v>414</v>
      </c>
      <c r="D551" s="398" t="s">
        <v>272</v>
      </c>
      <c r="E551" s="403">
        <v>8</v>
      </c>
      <c r="F551" s="403">
        <v>53.9</v>
      </c>
      <c r="G551" s="403">
        <f>ROUND(F551*E551,2)</f>
        <v>431.2</v>
      </c>
    </row>
    <row r="552" spans="1:7">
      <c r="A552" s="154"/>
      <c r="B552" s="405"/>
      <c r="C552" s="402" t="s">
        <v>273</v>
      </c>
      <c r="D552" s="406" t="s">
        <v>272</v>
      </c>
      <c r="E552" s="403">
        <v>8</v>
      </c>
      <c r="F552" s="403">
        <v>136.69999999999999</v>
      </c>
      <c r="G552" s="403">
        <f t="shared" ref="G552:G558" si="18">ROUND(F552*E552,2)</f>
        <v>1093.5999999999999</v>
      </c>
    </row>
    <row r="553" spans="1:7">
      <c r="A553" s="154"/>
      <c r="B553" s="406">
        <v>2</v>
      </c>
      <c r="C553" s="402" t="s">
        <v>295</v>
      </c>
      <c r="D553" s="406" t="s">
        <v>272</v>
      </c>
      <c r="E553" s="403">
        <v>0.5</v>
      </c>
      <c r="F553" s="403">
        <v>10.3</v>
      </c>
      <c r="G553" s="403">
        <f t="shared" si="18"/>
        <v>5.15</v>
      </c>
    </row>
    <row r="554" spans="1:7">
      <c r="A554" s="154"/>
      <c r="B554" s="405"/>
      <c r="C554" s="402" t="s">
        <v>273</v>
      </c>
      <c r="D554" s="406" t="s">
        <v>272</v>
      </c>
      <c r="E554" s="403">
        <v>0.5</v>
      </c>
      <c r="F554" s="403">
        <v>136.69999999999999</v>
      </c>
      <c r="G554" s="403">
        <f t="shared" si="18"/>
        <v>68.349999999999994</v>
      </c>
    </row>
    <row r="555" spans="1:7">
      <c r="A555" s="154"/>
      <c r="B555" s="406">
        <v>3</v>
      </c>
      <c r="C555" s="402" t="s">
        <v>321</v>
      </c>
      <c r="D555" s="406" t="s">
        <v>272</v>
      </c>
      <c r="E555" s="403">
        <v>1</v>
      </c>
      <c r="F555" s="403">
        <v>432.4</v>
      </c>
      <c r="G555" s="403">
        <f t="shared" si="18"/>
        <v>432.4</v>
      </c>
    </row>
    <row r="556" spans="1:7">
      <c r="A556" s="154"/>
      <c r="B556" s="405"/>
      <c r="C556" s="402" t="s">
        <v>273</v>
      </c>
      <c r="D556" s="406" t="s">
        <v>272</v>
      </c>
      <c r="E556" s="403">
        <v>1</v>
      </c>
      <c r="F556" s="403">
        <v>516.79999999999995</v>
      </c>
      <c r="G556" s="403">
        <f t="shared" si="18"/>
        <v>516.79999999999995</v>
      </c>
    </row>
    <row r="557" spans="1:7">
      <c r="A557" s="154"/>
      <c r="B557" s="406">
        <v>4</v>
      </c>
      <c r="C557" s="402" t="s">
        <v>322</v>
      </c>
      <c r="D557" s="406" t="s">
        <v>272</v>
      </c>
      <c r="E557" s="403">
        <v>8</v>
      </c>
      <c r="F557" s="403">
        <v>7.9</v>
      </c>
      <c r="G557" s="403">
        <f t="shared" si="18"/>
        <v>63.2</v>
      </c>
    </row>
    <row r="558" spans="1:7">
      <c r="A558" s="154"/>
      <c r="B558" s="418"/>
      <c r="C558" s="409" t="s">
        <v>273</v>
      </c>
      <c r="D558" s="400" t="s">
        <v>272</v>
      </c>
      <c r="E558" s="410">
        <v>8</v>
      </c>
      <c r="F558" s="410">
        <v>30.7</v>
      </c>
      <c r="G558" s="403">
        <f t="shared" si="18"/>
        <v>245.6</v>
      </c>
    </row>
    <row r="559" spans="1:7">
      <c r="A559" s="154"/>
      <c r="B559" s="419"/>
      <c r="C559" s="420" t="s">
        <v>274</v>
      </c>
      <c r="D559" s="421"/>
      <c r="E559" s="422"/>
      <c r="F559" s="418" t="s">
        <v>268</v>
      </c>
      <c r="G559" s="417">
        <f>SUM(G551:G558)</f>
        <v>2856.2999999999997</v>
      </c>
    </row>
    <row r="560" spans="1:7">
      <c r="A560" s="154"/>
      <c r="B560" s="160"/>
      <c r="C560" s="157"/>
      <c r="D560" s="154"/>
      <c r="E560" s="154"/>
      <c r="F560" s="154"/>
      <c r="G560" s="154"/>
    </row>
    <row r="561" spans="1:7">
      <c r="A561" s="154"/>
      <c r="B561" s="397" t="s">
        <v>275</v>
      </c>
      <c r="C561" s="154"/>
      <c r="D561" s="154"/>
      <c r="E561" s="154"/>
      <c r="F561" s="154"/>
      <c r="G561" s="154"/>
    </row>
    <row r="562" spans="1:7">
      <c r="A562" s="154"/>
      <c r="B562" s="398" t="s">
        <v>262</v>
      </c>
      <c r="C562" s="399" t="s">
        <v>270</v>
      </c>
      <c r="D562" s="398" t="s">
        <v>101</v>
      </c>
      <c r="E562" s="398" t="s">
        <v>100</v>
      </c>
      <c r="F562" s="398" t="s">
        <v>103</v>
      </c>
      <c r="G562" s="398" t="s">
        <v>264</v>
      </c>
    </row>
    <row r="563" spans="1:7">
      <c r="A563" s="154"/>
      <c r="B563" s="400"/>
      <c r="C563" s="401"/>
      <c r="D563" s="400"/>
      <c r="E563" s="400"/>
      <c r="F563" s="400" t="s">
        <v>265</v>
      </c>
      <c r="G563" s="400" t="s">
        <v>265</v>
      </c>
    </row>
    <row r="564" spans="1:7">
      <c r="A564" s="154"/>
      <c r="B564" s="406">
        <v>1</v>
      </c>
      <c r="C564" s="423" t="s">
        <v>323</v>
      </c>
      <c r="D564" s="406" t="s">
        <v>272</v>
      </c>
      <c r="E564" s="424">
        <v>8</v>
      </c>
      <c r="F564" s="403">
        <v>327.60000000000002</v>
      </c>
      <c r="G564" s="403">
        <f>ROUND(F564*E564,2)</f>
        <v>2620.8000000000002</v>
      </c>
    </row>
    <row r="565" spans="1:7">
      <c r="A565" s="154"/>
      <c r="B565" s="406">
        <v>2</v>
      </c>
      <c r="C565" s="423" t="s">
        <v>324</v>
      </c>
      <c r="D565" s="406" t="s">
        <v>272</v>
      </c>
      <c r="E565" s="424">
        <v>0.5</v>
      </c>
      <c r="F565" s="403">
        <v>163.5</v>
      </c>
      <c r="G565" s="403">
        <f t="shared" ref="G565:G576" si="19">ROUND(F565*E565,2)</f>
        <v>81.75</v>
      </c>
    </row>
    <row r="566" spans="1:7">
      <c r="A566" s="154"/>
      <c r="B566" s="406">
        <v>3</v>
      </c>
      <c r="C566" s="423" t="s">
        <v>325</v>
      </c>
      <c r="D566" s="406" t="s">
        <v>272</v>
      </c>
      <c r="E566" s="424">
        <v>1</v>
      </c>
      <c r="F566" s="403">
        <v>258.39999999999998</v>
      </c>
      <c r="G566" s="403">
        <f t="shared" si="19"/>
        <v>258.39999999999998</v>
      </c>
    </row>
    <row r="567" spans="1:7">
      <c r="A567" s="154"/>
      <c r="B567" s="406">
        <v>4</v>
      </c>
      <c r="C567" s="423" t="s">
        <v>326</v>
      </c>
      <c r="D567" s="406" t="s">
        <v>272</v>
      </c>
      <c r="E567" s="424">
        <v>8</v>
      </c>
      <c r="F567" s="403">
        <v>235.8</v>
      </c>
      <c r="G567" s="403">
        <f t="shared" si="19"/>
        <v>1886.4</v>
      </c>
    </row>
    <row r="568" spans="1:7">
      <c r="A568" s="154"/>
      <c r="B568" s="406">
        <v>5</v>
      </c>
      <c r="C568" s="423" t="s">
        <v>327</v>
      </c>
      <c r="D568" s="406" t="s">
        <v>278</v>
      </c>
      <c r="E568" s="424">
        <v>1</v>
      </c>
      <c r="F568" s="403">
        <v>670</v>
      </c>
      <c r="G568" s="403">
        <f t="shared" si="19"/>
        <v>670</v>
      </c>
    </row>
    <row r="569" spans="1:7">
      <c r="A569" s="154"/>
      <c r="B569" s="406">
        <v>6</v>
      </c>
      <c r="C569" s="423" t="s">
        <v>277</v>
      </c>
      <c r="D569" s="406" t="s">
        <v>278</v>
      </c>
      <c r="E569" s="424">
        <v>1</v>
      </c>
      <c r="F569" s="403">
        <v>730</v>
      </c>
      <c r="G569" s="403">
        <f t="shared" si="19"/>
        <v>730</v>
      </c>
    </row>
    <row r="570" spans="1:7">
      <c r="A570" s="154"/>
      <c r="B570" s="406">
        <v>7</v>
      </c>
      <c r="C570" s="423" t="s">
        <v>279</v>
      </c>
      <c r="D570" s="406"/>
      <c r="E570" s="424"/>
      <c r="F570" s="403"/>
      <c r="G570" s="403"/>
    </row>
    <row r="571" spans="1:7">
      <c r="A571" s="154"/>
      <c r="B571" s="405"/>
      <c r="C571" s="423" t="s">
        <v>329</v>
      </c>
      <c r="D571" s="406" t="s">
        <v>278</v>
      </c>
      <c r="E571" s="424">
        <v>11</v>
      </c>
      <c r="F571" s="403">
        <v>560</v>
      </c>
      <c r="G571" s="403">
        <f t="shared" si="19"/>
        <v>6160</v>
      </c>
    </row>
    <row r="572" spans="1:7">
      <c r="A572" s="154"/>
      <c r="B572" s="405"/>
      <c r="C572" s="423" t="s">
        <v>330</v>
      </c>
      <c r="D572" s="406" t="s">
        <v>278</v>
      </c>
      <c r="E572" s="424">
        <v>4</v>
      </c>
      <c r="F572" s="403">
        <v>560</v>
      </c>
      <c r="G572" s="403">
        <f t="shared" si="19"/>
        <v>2240</v>
      </c>
    </row>
    <row r="573" spans="1:7">
      <c r="A573" s="154"/>
      <c r="B573" s="405"/>
      <c r="C573" s="423" t="s">
        <v>416</v>
      </c>
      <c r="D573" s="406" t="s">
        <v>278</v>
      </c>
      <c r="E573" s="424">
        <v>3</v>
      </c>
      <c r="F573" s="403">
        <v>560</v>
      </c>
      <c r="G573" s="403">
        <f t="shared" si="19"/>
        <v>1680</v>
      </c>
    </row>
    <row r="574" spans="1:7">
      <c r="A574" s="154"/>
      <c r="B574" s="405"/>
      <c r="C574" s="423" t="s">
        <v>332</v>
      </c>
      <c r="D574" s="406" t="s">
        <v>278</v>
      </c>
      <c r="E574" s="424">
        <v>16.36</v>
      </c>
      <c r="F574" s="403">
        <v>560</v>
      </c>
      <c r="G574" s="403">
        <f t="shared" si="19"/>
        <v>9161.6</v>
      </c>
    </row>
    <row r="575" spans="1:7">
      <c r="A575" s="154"/>
      <c r="B575" s="406">
        <v>8</v>
      </c>
      <c r="C575" s="423" t="s">
        <v>333</v>
      </c>
      <c r="D575" s="406" t="s">
        <v>278</v>
      </c>
      <c r="E575" s="424">
        <v>1</v>
      </c>
      <c r="F575" s="403">
        <v>560</v>
      </c>
      <c r="G575" s="403">
        <f t="shared" si="19"/>
        <v>560</v>
      </c>
    </row>
    <row r="576" spans="1:7">
      <c r="A576" s="154"/>
      <c r="B576" s="406">
        <v>9</v>
      </c>
      <c r="C576" s="423" t="s">
        <v>417</v>
      </c>
      <c r="D576" s="406" t="s">
        <v>317</v>
      </c>
      <c r="E576" s="424">
        <v>16.36</v>
      </c>
      <c r="F576" s="403">
        <v>138.44999999999999</v>
      </c>
      <c r="G576" s="403">
        <f t="shared" si="19"/>
        <v>2265.04</v>
      </c>
    </row>
    <row r="577" spans="1:7">
      <c r="A577" s="154"/>
      <c r="B577" s="425">
        <v>10</v>
      </c>
      <c r="C577" s="423" t="s">
        <v>418</v>
      </c>
      <c r="D577" s="426">
        <v>0.1</v>
      </c>
      <c r="E577" s="424"/>
      <c r="F577" s="403"/>
      <c r="G577" s="403">
        <f>G576*D577</f>
        <v>226.50400000000002</v>
      </c>
    </row>
    <row r="578" spans="1:7">
      <c r="A578" s="154"/>
      <c r="B578" s="412"/>
      <c r="C578" s="413" t="s">
        <v>280</v>
      </c>
      <c r="D578" s="414"/>
      <c r="E578" s="415"/>
      <c r="F578" s="416" t="s">
        <v>268</v>
      </c>
      <c r="G578" s="417">
        <f>SUM(G564:G577)+0.01</f>
        <v>28540.504000000001</v>
      </c>
    </row>
    <row r="579" spans="1:7">
      <c r="A579" s="154"/>
      <c r="B579" s="156" t="s">
        <v>281</v>
      </c>
      <c r="C579" s="156"/>
      <c r="D579" s="156"/>
      <c r="E579" s="427">
        <v>1744.5</v>
      </c>
      <c r="F579" s="154"/>
      <c r="G579" s="154"/>
    </row>
    <row r="580" spans="1:7">
      <c r="A580" s="154"/>
      <c r="B580" s="156" t="s">
        <v>282</v>
      </c>
      <c r="C580" s="156"/>
      <c r="D580" s="428">
        <v>0.13615000000000002</v>
      </c>
      <c r="E580" s="427">
        <v>237.5</v>
      </c>
      <c r="F580" s="154"/>
      <c r="G580" s="154"/>
    </row>
    <row r="581" spans="1:7">
      <c r="A581" s="154"/>
      <c r="B581" s="156" t="s">
        <v>283</v>
      </c>
      <c r="C581" s="156"/>
      <c r="D581" s="156"/>
      <c r="E581" s="429">
        <f>SUM(E579:E580)</f>
        <v>1982</v>
      </c>
      <c r="F581" s="430"/>
      <c r="G581" s="154"/>
    </row>
    <row r="582" spans="1:7">
      <c r="A582" s="154"/>
      <c r="B582" s="160"/>
      <c r="C582" s="157"/>
      <c r="D582" s="154"/>
      <c r="E582" s="154"/>
      <c r="F582" s="154"/>
      <c r="G582" s="154"/>
    </row>
    <row r="583" spans="1:7">
      <c r="A583" s="154"/>
      <c r="B583" s="155" t="s">
        <v>284</v>
      </c>
      <c r="C583" s="157"/>
      <c r="D583" s="154"/>
      <c r="E583" s="154"/>
      <c r="F583" s="154"/>
      <c r="G583" s="154"/>
    </row>
    <row r="584" spans="1:7">
      <c r="A584" s="154"/>
      <c r="B584" s="157" t="s">
        <v>285</v>
      </c>
      <c r="C584" s="154"/>
      <c r="D584" s="154"/>
      <c r="E584" s="154"/>
      <c r="F584" s="395" t="s">
        <v>268</v>
      </c>
      <c r="G584" s="158">
        <f>G546</f>
        <v>46011.771000000008</v>
      </c>
    </row>
    <row r="585" spans="1:7">
      <c r="A585" s="154"/>
      <c r="B585" s="157" t="s">
        <v>286</v>
      </c>
      <c r="C585" s="154"/>
      <c r="D585" s="154"/>
      <c r="E585" s="154"/>
      <c r="F585" s="395" t="s">
        <v>268</v>
      </c>
      <c r="G585" s="158">
        <f>G559</f>
        <v>2856.2999999999997</v>
      </c>
    </row>
    <row r="586" spans="1:7">
      <c r="A586" s="154"/>
      <c r="B586" s="157" t="s">
        <v>287</v>
      </c>
      <c r="C586" s="154"/>
      <c r="D586" s="154"/>
      <c r="E586" s="154"/>
      <c r="F586" s="395" t="s">
        <v>268</v>
      </c>
      <c r="G586" s="431">
        <f>G578</f>
        <v>28540.504000000001</v>
      </c>
    </row>
    <row r="587" spans="1:7">
      <c r="A587" s="154"/>
      <c r="B587" s="160"/>
      <c r="C587" s="154"/>
      <c r="D587" s="154"/>
      <c r="E587" s="395"/>
      <c r="F587" s="395" t="s">
        <v>288</v>
      </c>
      <c r="G587" s="432">
        <f>SUM(G584:G586)</f>
        <v>77408.575000000012</v>
      </c>
    </row>
    <row r="588" spans="1:7">
      <c r="A588" s="154"/>
      <c r="B588" s="622" t="s">
        <v>289</v>
      </c>
      <c r="C588" s="622"/>
      <c r="D588" s="154"/>
      <c r="E588" s="428">
        <v>0.13615000000000002</v>
      </c>
      <c r="F588" s="157" t="s">
        <v>268</v>
      </c>
      <c r="G588" s="157">
        <f>G587*E588</f>
        <v>10539.177486250002</v>
      </c>
    </row>
    <row r="589" spans="1:7">
      <c r="A589" s="154"/>
      <c r="B589" s="157" t="s">
        <v>290</v>
      </c>
      <c r="C589" s="157"/>
      <c r="D589" s="158">
        <v>16.36</v>
      </c>
      <c r="E589" s="158" t="s">
        <v>106</v>
      </c>
      <c r="F589" s="157" t="s">
        <v>268</v>
      </c>
      <c r="G589" s="158">
        <f>G587+G588</f>
        <v>87947.752486250014</v>
      </c>
    </row>
    <row r="590" spans="1:7">
      <c r="A590" s="154"/>
      <c r="B590" s="155" t="s">
        <v>291</v>
      </c>
      <c r="C590" s="433" t="s">
        <v>106</v>
      </c>
      <c r="D590" s="157" t="s">
        <v>841</v>
      </c>
      <c r="E590" s="154"/>
      <c r="F590" s="157" t="s">
        <v>293</v>
      </c>
      <c r="G590" s="433">
        <f>ROUND(G589/D589,1)</f>
        <v>5375.8</v>
      </c>
    </row>
    <row r="591" spans="1:7">
      <c r="G591" s="191"/>
    </row>
    <row r="592" spans="1:7">
      <c r="G592" s="191"/>
    </row>
    <row r="593" spans="1:7">
      <c r="B593" s="190" t="s">
        <v>336</v>
      </c>
      <c r="G593" s="191"/>
    </row>
    <row r="594" spans="1:7">
      <c r="B594" s="190"/>
      <c r="G594" s="191"/>
    </row>
    <row r="595" spans="1:7">
      <c r="B595" s="159" t="s">
        <v>262</v>
      </c>
      <c r="C595" s="159" t="s">
        <v>297</v>
      </c>
      <c r="D595" s="159" t="s">
        <v>101</v>
      </c>
      <c r="E595" s="159" t="s">
        <v>100</v>
      </c>
      <c r="F595" s="342" t="s">
        <v>103</v>
      </c>
      <c r="G595" s="434" t="s">
        <v>264</v>
      </c>
    </row>
    <row r="596" spans="1:7">
      <c r="B596" s="159">
        <v>1</v>
      </c>
      <c r="C596" s="423" t="s">
        <v>411</v>
      </c>
      <c r="D596" s="159" t="s">
        <v>106</v>
      </c>
      <c r="E596" s="431">
        <v>7.3620000000000001</v>
      </c>
      <c r="F596" s="436">
        <f>Lead!G8</f>
        <v>1139.7</v>
      </c>
      <c r="G596" s="436">
        <f>ROUND(F596*E596,2)</f>
        <v>8390.4699999999993</v>
      </c>
    </row>
    <row r="597" spans="1:7">
      <c r="B597" s="435" t="s">
        <v>844</v>
      </c>
      <c r="C597" s="423" t="s">
        <v>312</v>
      </c>
      <c r="D597" s="159" t="s">
        <v>106</v>
      </c>
      <c r="E597" s="431">
        <v>4.4172000000000011</v>
      </c>
      <c r="F597" s="436">
        <f>F596</f>
        <v>1139.7</v>
      </c>
      <c r="G597" s="436">
        <f t="shared" ref="G597:G599" si="20">ROUND(F597*E597,2)</f>
        <v>5034.28</v>
      </c>
    </row>
    <row r="598" spans="1:7">
      <c r="B598" s="435" t="s">
        <v>845</v>
      </c>
      <c r="C598" s="423" t="s">
        <v>313</v>
      </c>
      <c r="D598" s="159" t="s">
        <v>106</v>
      </c>
      <c r="E598" s="431">
        <v>2.9448000000000003</v>
      </c>
      <c r="F598" s="436">
        <f>F597</f>
        <v>1139.7</v>
      </c>
      <c r="G598" s="436">
        <f t="shared" si="20"/>
        <v>3356.19</v>
      </c>
    </row>
    <row r="599" spans="1:7">
      <c r="B599" s="159">
        <v>4</v>
      </c>
      <c r="C599" s="423" t="s">
        <v>314</v>
      </c>
      <c r="D599" s="159" t="s">
        <v>106</v>
      </c>
      <c r="E599" s="431">
        <v>6.5440000000000005</v>
      </c>
      <c r="F599" s="436">
        <f>Lead!G10</f>
        <v>695.1</v>
      </c>
      <c r="G599" s="436">
        <f t="shared" si="20"/>
        <v>4548.7299999999996</v>
      </c>
    </row>
    <row r="600" spans="1:7">
      <c r="G600" s="191">
        <f>SUM(G596:G599)</f>
        <v>21329.67</v>
      </c>
    </row>
    <row r="601" spans="1:7">
      <c r="D601" s="161" t="s">
        <v>337</v>
      </c>
      <c r="G601" s="163">
        <f>ROUND(G600*13.615%,2)</f>
        <v>2904.03</v>
      </c>
    </row>
    <row r="602" spans="1:7">
      <c r="D602" s="161" t="s">
        <v>401</v>
      </c>
      <c r="G602" s="163">
        <f>G601+G600</f>
        <v>24233.699999999997</v>
      </c>
    </row>
    <row r="603" spans="1:7">
      <c r="D603" s="161" t="s">
        <v>339</v>
      </c>
      <c r="G603" s="166">
        <f>ROUND(G602/16.36,1)</f>
        <v>1481.3</v>
      </c>
    </row>
    <row r="604" spans="1:7">
      <c r="G604" s="191"/>
    </row>
    <row r="605" spans="1:7">
      <c r="C605" s="190" t="s">
        <v>340</v>
      </c>
      <c r="G605" s="166">
        <f>G603+G590</f>
        <v>6857.1</v>
      </c>
    </row>
    <row r="606" spans="1:7">
      <c r="G606" s="191"/>
    </row>
    <row r="607" spans="1:7">
      <c r="G607" s="163"/>
    </row>
    <row r="608" spans="1:7">
      <c r="A608" s="624" t="s">
        <v>402</v>
      </c>
      <c r="B608" s="161" t="s">
        <v>403</v>
      </c>
    </row>
    <row r="609" spans="1:7">
      <c r="A609" s="624"/>
      <c r="B609" s="161" t="s">
        <v>404</v>
      </c>
    </row>
    <row r="610" spans="1:7">
      <c r="A610" s="624"/>
      <c r="B610" s="161" t="s">
        <v>405</v>
      </c>
    </row>
    <row r="611" spans="1:7">
      <c r="A611" s="624"/>
      <c r="B611" s="161" t="s">
        <v>305</v>
      </c>
    </row>
    <row r="612" spans="1:7">
      <c r="A612" s="624"/>
      <c r="B612" s="161" t="s">
        <v>406</v>
      </c>
    </row>
    <row r="613" spans="1:7">
      <c r="A613" s="624"/>
      <c r="B613" s="161" t="s">
        <v>407</v>
      </c>
    </row>
    <row r="614" spans="1:7">
      <c r="A614" s="624"/>
      <c r="B614" s="161" t="s">
        <v>408</v>
      </c>
    </row>
    <row r="617" spans="1:7">
      <c r="A617" s="161" t="s">
        <v>409</v>
      </c>
      <c r="C617" s="161" t="s">
        <v>259</v>
      </c>
      <c r="E617" s="161" t="s">
        <v>260</v>
      </c>
      <c r="F617" s="161">
        <v>15.38</v>
      </c>
      <c r="G617" s="161" t="s">
        <v>106</v>
      </c>
    </row>
    <row r="618" spans="1:7">
      <c r="B618" s="161" t="s">
        <v>261</v>
      </c>
    </row>
    <row r="619" spans="1:7">
      <c r="B619" s="161" t="s">
        <v>262</v>
      </c>
      <c r="C619" s="161" t="s">
        <v>297</v>
      </c>
      <c r="D619" s="161" t="s">
        <v>101</v>
      </c>
      <c r="E619" s="161" t="s">
        <v>100</v>
      </c>
      <c r="F619" s="161" t="s">
        <v>103</v>
      </c>
      <c r="G619" s="161" t="s">
        <v>264</v>
      </c>
    </row>
    <row r="620" spans="1:7">
      <c r="F620" s="161" t="s">
        <v>265</v>
      </c>
      <c r="G620" s="161" t="s">
        <v>265</v>
      </c>
    </row>
    <row r="621" spans="1:7">
      <c r="B621" s="161">
        <v>1</v>
      </c>
      <c r="C621" s="161" t="s">
        <v>309</v>
      </c>
      <c r="D621" s="161" t="s">
        <v>310</v>
      </c>
      <c r="E621" s="161">
        <v>3998.8</v>
      </c>
      <c r="F621" s="161">
        <v>4.22</v>
      </c>
      <c r="G621" s="161">
        <f>ROUND(F621*E621,2)</f>
        <v>16874.939999999999</v>
      </c>
    </row>
    <row r="622" spans="1:7">
      <c r="C622" s="161" t="s">
        <v>410</v>
      </c>
      <c r="D622" s="161" t="s">
        <v>310</v>
      </c>
      <c r="E622" s="161">
        <v>46.14</v>
      </c>
      <c r="F622" s="161">
        <v>4.22</v>
      </c>
      <c r="G622" s="161">
        <f t="shared" ref="G622:G630" si="21">ROUND(F622*E622,2)</f>
        <v>194.71</v>
      </c>
    </row>
    <row r="623" spans="1:7">
      <c r="B623" s="161">
        <v>2</v>
      </c>
      <c r="C623" s="161" t="s">
        <v>411</v>
      </c>
      <c r="D623" s="161" t="s">
        <v>106</v>
      </c>
      <c r="E623" s="161">
        <v>6.9210000000000003</v>
      </c>
      <c r="F623" s="161">
        <v>1380</v>
      </c>
      <c r="G623" s="161">
        <f t="shared" si="21"/>
        <v>9550.98</v>
      </c>
    </row>
    <row r="624" spans="1:7">
      <c r="C624" s="161" t="s">
        <v>312</v>
      </c>
      <c r="D624" s="161" t="s">
        <v>106</v>
      </c>
      <c r="E624" s="161">
        <v>4.1525999999999996</v>
      </c>
      <c r="F624" s="161">
        <v>1445</v>
      </c>
      <c r="G624" s="161">
        <f t="shared" si="21"/>
        <v>6000.51</v>
      </c>
    </row>
    <row r="625" spans="2:7">
      <c r="C625" s="161" t="s">
        <v>313</v>
      </c>
      <c r="D625" s="161" t="s">
        <v>106</v>
      </c>
      <c r="E625" s="161">
        <v>2.7684000000000002</v>
      </c>
      <c r="F625" s="161">
        <v>1052</v>
      </c>
      <c r="G625" s="161">
        <f t="shared" si="21"/>
        <v>2912.36</v>
      </c>
    </row>
    <row r="626" spans="2:7">
      <c r="B626" s="161">
        <v>3</v>
      </c>
      <c r="C626" s="161" t="s">
        <v>314</v>
      </c>
      <c r="D626" s="161" t="s">
        <v>106</v>
      </c>
      <c r="E626" s="161">
        <v>6.1520000000000001</v>
      </c>
      <c r="F626" s="161">
        <v>605</v>
      </c>
      <c r="G626" s="161">
        <f t="shared" si="21"/>
        <v>3721.96</v>
      </c>
    </row>
    <row r="627" spans="2:7">
      <c r="B627" s="161">
        <v>4</v>
      </c>
      <c r="C627" s="161" t="s">
        <v>315</v>
      </c>
      <c r="D627" s="161" t="s">
        <v>310</v>
      </c>
      <c r="E627" s="161">
        <v>15.995200000000001</v>
      </c>
      <c r="F627" s="161">
        <v>63</v>
      </c>
      <c r="G627" s="161">
        <f t="shared" si="21"/>
        <v>1007.7</v>
      </c>
    </row>
    <row r="628" spans="2:7">
      <c r="B628" s="161">
        <v>5</v>
      </c>
      <c r="C628" s="161" t="s">
        <v>412</v>
      </c>
      <c r="D628" s="161" t="s">
        <v>317</v>
      </c>
      <c r="E628" s="161">
        <v>15.38</v>
      </c>
      <c r="F628" s="161">
        <v>338.36</v>
      </c>
      <c r="G628" s="161">
        <v>5203.92</v>
      </c>
    </row>
    <row r="629" spans="2:7">
      <c r="C629" s="161" t="s">
        <v>413</v>
      </c>
      <c r="D629" s="161">
        <v>0.1</v>
      </c>
      <c r="G629" s="161">
        <f>G628*D629</f>
        <v>520.39200000000005</v>
      </c>
    </row>
    <row r="630" spans="2:7">
      <c r="B630" s="161">
        <v>6</v>
      </c>
      <c r="C630" s="161" t="s">
        <v>318</v>
      </c>
      <c r="D630" s="161" t="s">
        <v>319</v>
      </c>
      <c r="E630" s="161">
        <v>0.5</v>
      </c>
      <c r="F630" s="161">
        <v>41</v>
      </c>
      <c r="G630" s="161">
        <f t="shared" si="21"/>
        <v>20.5</v>
      </c>
    </row>
    <row r="631" spans="2:7">
      <c r="C631" s="161" t="s">
        <v>267</v>
      </c>
      <c r="F631" s="161" t="s">
        <v>268</v>
      </c>
      <c r="G631" s="163">
        <f>SUM(G621:G630)-0.01</f>
        <v>46007.961999999992</v>
      </c>
    </row>
    <row r="633" spans="2:7">
      <c r="B633" s="161" t="s">
        <v>269</v>
      </c>
    </row>
    <row r="634" spans="2:7">
      <c r="B634" s="161" t="s">
        <v>262</v>
      </c>
      <c r="C634" s="161" t="s">
        <v>270</v>
      </c>
      <c r="D634" s="161" t="s">
        <v>101</v>
      </c>
      <c r="E634" s="161" t="s">
        <v>100</v>
      </c>
      <c r="F634" s="161" t="s">
        <v>103</v>
      </c>
      <c r="G634" s="161" t="s">
        <v>264</v>
      </c>
    </row>
    <row r="635" spans="2:7">
      <c r="F635" s="161" t="s">
        <v>265</v>
      </c>
      <c r="G635" s="161" t="s">
        <v>265</v>
      </c>
    </row>
    <row r="636" spans="2:7">
      <c r="B636" s="161">
        <v>1</v>
      </c>
      <c r="C636" s="161" t="s">
        <v>414</v>
      </c>
      <c r="D636" s="161" t="s">
        <v>272</v>
      </c>
      <c r="E636" s="161">
        <v>8</v>
      </c>
      <c r="F636" s="161">
        <v>53.9</v>
      </c>
      <c r="G636" s="161">
        <f>ROUND(F636*E636,2)</f>
        <v>431.2</v>
      </c>
    </row>
    <row r="637" spans="2:7">
      <c r="C637" s="161" t="s">
        <v>273</v>
      </c>
      <c r="D637" s="161" t="s">
        <v>272</v>
      </c>
      <c r="E637" s="161">
        <v>8</v>
      </c>
      <c r="F637" s="161">
        <v>136.69999999999999</v>
      </c>
      <c r="G637" s="161">
        <f t="shared" ref="G637:G643" si="22">ROUND(F637*E637,2)</f>
        <v>1093.5999999999999</v>
      </c>
    </row>
    <row r="638" spans="2:7">
      <c r="B638" s="161">
        <v>2</v>
      </c>
      <c r="C638" s="161" t="s">
        <v>295</v>
      </c>
      <c r="D638" s="161" t="s">
        <v>272</v>
      </c>
      <c r="E638" s="161">
        <v>0.5</v>
      </c>
      <c r="F638" s="161">
        <v>10.3</v>
      </c>
      <c r="G638" s="161">
        <f t="shared" si="22"/>
        <v>5.15</v>
      </c>
    </row>
    <row r="639" spans="2:7">
      <c r="C639" s="161" t="s">
        <v>273</v>
      </c>
      <c r="D639" s="161" t="s">
        <v>272</v>
      </c>
      <c r="E639" s="161">
        <v>0.5</v>
      </c>
      <c r="F639" s="161">
        <v>136.69999999999999</v>
      </c>
      <c r="G639" s="161">
        <f t="shared" si="22"/>
        <v>68.349999999999994</v>
      </c>
    </row>
    <row r="640" spans="2:7">
      <c r="B640" s="161">
        <v>3</v>
      </c>
      <c r="C640" s="161" t="s">
        <v>321</v>
      </c>
      <c r="D640" s="161" t="s">
        <v>272</v>
      </c>
      <c r="E640" s="161">
        <v>1</v>
      </c>
      <c r="F640" s="161">
        <v>432.4</v>
      </c>
      <c r="G640" s="161">
        <f t="shared" si="22"/>
        <v>432.4</v>
      </c>
    </row>
    <row r="641" spans="2:7">
      <c r="C641" s="161" t="s">
        <v>273</v>
      </c>
      <c r="D641" s="161" t="s">
        <v>272</v>
      </c>
      <c r="E641" s="161">
        <v>1</v>
      </c>
      <c r="F641" s="161">
        <v>516.79999999999995</v>
      </c>
      <c r="G641" s="161">
        <f t="shared" si="22"/>
        <v>516.79999999999995</v>
      </c>
    </row>
    <row r="642" spans="2:7">
      <c r="B642" s="161">
        <v>4</v>
      </c>
      <c r="C642" s="161" t="s">
        <v>322</v>
      </c>
      <c r="D642" s="161" t="s">
        <v>272</v>
      </c>
      <c r="E642" s="161">
        <v>8</v>
      </c>
      <c r="F642" s="161">
        <v>7.9</v>
      </c>
      <c r="G642" s="161">
        <f t="shared" si="22"/>
        <v>63.2</v>
      </c>
    </row>
    <row r="643" spans="2:7">
      <c r="C643" s="161" t="s">
        <v>273</v>
      </c>
      <c r="D643" s="161" t="s">
        <v>272</v>
      </c>
      <c r="E643" s="161">
        <v>8</v>
      </c>
      <c r="F643" s="161">
        <v>30.7</v>
      </c>
      <c r="G643" s="161">
        <f t="shared" si="22"/>
        <v>245.6</v>
      </c>
    </row>
    <row r="644" spans="2:7">
      <c r="C644" s="161" t="s">
        <v>274</v>
      </c>
      <c r="F644" s="161" t="s">
        <v>268</v>
      </c>
      <c r="G644" s="161">
        <f>SUM(G636:G643)</f>
        <v>2856.2999999999997</v>
      </c>
    </row>
    <row r="646" spans="2:7">
      <c r="B646" s="161" t="s">
        <v>275</v>
      </c>
    </row>
    <row r="647" spans="2:7">
      <c r="B647" s="161" t="s">
        <v>262</v>
      </c>
      <c r="C647" s="161" t="s">
        <v>270</v>
      </c>
      <c r="D647" s="161" t="s">
        <v>101</v>
      </c>
      <c r="E647" s="161" t="s">
        <v>100</v>
      </c>
      <c r="F647" s="161" t="s">
        <v>103</v>
      </c>
      <c r="G647" s="161" t="s">
        <v>264</v>
      </c>
    </row>
    <row r="648" spans="2:7">
      <c r="F648" s="161" t="s">
        <v>265</v>
      </c>
      <c r="G648" s="161" t="s">
        <v>265</v>
      </c>
    </row>
    <row r="649" spans="2:7">
      <c r="B649" s="161">
        <v>1</v>
      </c>
      <c r="C649" s="161" t="s">
        <v>323</v>
      </c>
      <c r="D649" s="161" t="s">
        <v>272</v>
      </c>
      <c r="E649" s="161">
        <v>8</v>
      </c>
      <c r="F649" s="161">
        <v>327.60000000000002</v>
      </c>
      <c r="G649" s="161">
        <f>ROUND(F649*E649,2)</f>
        <v>2620.8000000000002</v>
      </c>
    </row>
    <row r="650" spans="2:7">
      <c r="B650" s="161">
        <v>2</v>
      </c>
      <c r="C650" s="161" t="s">
        <v>324</v>
      </c>
      <c r="D650" s="161" t="s">
        <v>272</v>
      </c>
      <c r="E650" s="161">
        <v>0.5</v>
      </c>
      <c r="F650" s="161">
        <v>163.5</v>
      </c>
      <c r="G650" s="161">
        <f t="shared" ref="G650:G661" si="23">ROUND(F650*E650,2)</f>
        <v>81.75</v>
      </c>
    </row>
    <row r="651" spans="2:7">
      <c r="B651" s="161">
        <v>3</v>
      </c>
      <c r="C651" s="161" t="s">
        <v>325</v>
      </c>
      <c r="D651" s="161" t="s">
        <v>272</v>
      </c>
      <c r="E651" s="161">
        <v>1</v>
      </c>
      <c r="F651" s="161">
        <v>258.39999999999998</v>
      </c>
      <c r="G651" s="161">
        <f t="shared" si="23"/>
        <v>258.39999999999998</v>
      </c>
    </row>
    <row r="652" spans="2:7">
      <c r="B652" s="161">
        <v>4</v>
      </c>
      <c r="C652" s="161" t="s">
        <v>415</v>
      </c>
      <c r="D652" s="161" t="s">
        <v>272</v>
      </c>
      <c r="E652" s="161">
        <v>8</v>
      </c>
      <c r="F652" s="161">
        <v>235.8</v>
      </c>
      <c r="G652" s="161">
        <f t="shared" si="23"/>
        <v>1886.4</v>
      </c>
    </row>
    <row r="653" spans="2:7">
      <c r="B653" s="161">
        <v>5</v>
      </c>
      <c r="C653" s="161" t="s">
        <v>277</v>
      </c>
      <c r="D653" s="161" t="s">
        <v>278</v>
      </c>
      <c r="E653" s="161">
        <v>1</v>
      </c>
      <c r="F653" s="161">
        <v>730</v>
      </c>
      <c r="G653" s="161">
        <f t="shared" si="23"/>
        <v>730</v>
      </c>
    </row>
    <row r="654" spans="2:7">
      <c r="B654" s="161">
        <v>6</v>
      </c>
      <c r="C654" s="161" t="s">
        <v>327</v>
      </c>
      <c r="D654" s="161" t="s">
        <v>278</v>
      </c>
      <c r="E654" s="161">
        <v>1</v>
      </c>
      <c r="F654" s="161">
        <v>670</v>
      </c>
      <c r="G654" s="161">
        <f t="shared" si="23"/>
        <v>670</v>
      </c>
    </row>
    <row r="655" spans="2:7">
      <c r="B655" s="161">
        <v>7</v>
      </c>
      <c r="C655" s="161" t="s">
        <v>279</v>
      </c>
      <c r="G655" s="161">
        <f t="shared" si="23"/>
        <v>0</v>
      </c>
    </row>
    <row r="656" spans="2:7">
      <c r="C656" s="161" t="s">
        <v>329</v>
      </c>
      <c r="D656" s="161" t="s">
        <v>278</v>
      </c>
      <c r="E656" s="161">
        <v>11</v>
      </c>
      <c r="F656" s="161">
        <v>560</v>
      </c>
      <c r="G656" s="161">
        <f t="shared" si="23"/>
        <v>6160</v>
      </c>
    </row>
    <row r="657" spans="2:7">
      <c r="C657" s="161" t="s">
        <v>330</v>
      </c>
      <c r="D657" s="161" t="s">
        <v>278</v>
      </c>
      <c r="E657" s="161">
        <v>4</v>
      </c>
      <c r="F657" s="161">
        <v>560</v>
      </c>
      <c r="G657" s="161">
        <f t="shared" si="23"/>
        <v>2240</v>
      </c>
    </row>
    <row r="658" spans="2:7">
      <c r="C658" s="161" t="s">
        <v>416</v>
      </c>
      <c r="D658" s="161" t="s">
        <v>278</v>
      </c>
      <c r="E658" s="161">
        <v>3</v>
      </c>
      <c r="F658" s="161">
        <v>560</v>
      </c>
      <c r="G658" s="161">
        <f t="shared" si="23"/>
        <v>1680</v>
      </c>
    </row>
    <row r="659" spans="2:7">
      <c r="C659" s="161" t="s">
        <v>332</v>
      </c>
      <c r="D659" s="161" t="s">
        <v>278</v>
      </c>
      <c r="E659" s="161">
        <v>15.38</v>
      </c>
      <c r="F659" s="161">
        <v>560</v>
      </c>
      <c r="G659" s="161">
        <f t="shared" si="23"/>
        <v>8612.7999999999993</v>
      </c>
    </row>
    <row r="660" spans="2:7">
      <c r="C660" s="161" t="s">
        <v>333</v>
      </c>
      <c r="D660" s="161" t="s">
        <v>278</v>
      </c>
      <c r="E660" s="161">
        <v>1</v>
      </c>
      <c r="F660" s="161">
        <v>560</v>
      </c>
      <c r="G660" s="161">
        <f t="shared" si="23"/>
        <v>560</v>
      </c>
    </row>
    <row r="661" spans="2:7">
      <c r="B661" s="161">
        <v>8</v>
      </c>
      <c r="C661" s="161" t="s">
        <v>417</v>
      </c>
      <c r="D661" s="161" t="s">
        <v>317</v>
      </c>
      <c r="E661" s="161">
        <v>15.38</v>
      </c>
      <c r="F661" s="161">
        <v>138.44999999999999</v>
      </c>
      <c r="G661" s="161">
        <f t="shared" si="23"/>
        <v>2129.36</v>
      </c>
    </row>
    <row r="662" spans="2:7">
      <c r="C662" s="161" t="s">
        <v>418</v>
      </c>
      <c r="D662" s="161">
        <v>0.1</v>
      </c>
      <c r="G662" s="161">
        <f>G661*D662</f>
        <v>212.93600000000004</v>
      </c>
    </row>
    <row r="663" spans="2:7">
      <c r="C663" s="161" t="s">
        <v>280</v>
      </c>
      <c r="F663" s="161" t="s">
        <v>268</v>
      </c>
      <c r="G663" s="163">
        <f>SUM(G649:G662)</f>
        <v>27842.446000000004</v>
      </c>
    </row>
    <row r="664" spans="2:7">
      <c r="B664" s="161" t="s">
        <v>281</v>
      </c>
      <c r="E664" s="164">
        <v>1810.3</v>
      </c>
    </row>
    <row r="665" spans="2:7">
      <c r="B665" s="161" t="s">
        <v>282</v>
      </c>
      <c r="D665" s="161">
        <v>0.13614999999999999</v>
      </c>
      <c r="E665" s="164">
        <v>246.5</v>
      </c>
    </row>
    <row r="666" spans="2:7">
      <c r="B666" s="161" t="s">
        <v>283</v>
      </c>
      <c r="E666" s="165">
        <f>SUM(E664:E665)</f>
        <v>2056.8000000000002</v>
      </c>
    </row>
    <row r="668" spans="2:7">
      <c r="B668" s="161" t="s">
        <v>284</v>
      </c>
    </row>
    <row r="669" spans="2:7">
      <c r="B669" s="161" t="s">
        <v>285</v>
      </c>
      <c r="F669" s="161" t="s">
        <v>268</v>
      </c>
      <c r="G669" s="163">
        <f>G631</f>
        <v>46007.961999999992</v>
      </c>
    </row>
    <row r="670" spans="2:7">
      <c r="B670" s="161" t="s">
        <v>286</v>
      </c>
      <c r="F670" s="161" t="s">
        <v>268</v>
      </c>
      <c r="G670" s="161">
        <f>G644</f>
        <v>2856.2999999999997</v>
      </c>
    </row>
    <row r="671" spans="2:7">
      <c r="B671" s="161" t="s">
        <v>287</v>
      </c>
      <c r="F671" s="161" t="s">
        <v>268</v>
      </c>
      <c r="G671" s="163">
        <f>G663</f>
        <v>27842.446000000004</v>
      </c>
    </row>
    <row r="672" spans="2:7">
      <c r="F672" s="161" t="s">
        <v>288</v>
      </c>
      <c r="G672" s="163">
        <f>SUM(G669:G671)</f>
        <v>76706.707999999999</v>
      </c>
    </row>
    <row r="673" spans="2:7">
      <c r="B673" s="161" t="s">
        <v>289</v>
      </c>
      <c r="E673" s="161">
        <v>0.13614999999999999</v>
      </c>
      <c r="F673" s="161" t="s">
        <v>268</v>
      </c>
      <c r="G673" s="161">
        <f>G672*E673</f>
        <v>10443.6182942</v>
      </c>
    </row>
    <row r="674" spans="2:7">
      <c r="B674" s="161" t="s">
        <v>290</v>
      </c>
      <c r="D674" s="161">
        <v>15.38</v>
      </c>
      <c r="E674" s="161" t="s">
        <v>106</v>
      </c>
      <c r="F674" s="161" t="s">
        <v>268</v>
      </c>
      <c r="G674" s="161">
        <f>SUM(G672:G673)</f>
        <v>87150.3262942</v>
      </c>
    </row>
    <row r="675" spans="2:7">
      <c r="B675" s="190" t="s">
        <v>334</v>
      </c>
      <c r="D675" s="161" t="s">
        <v>419</v>
      </c>
      <c r="F675" s="161" t="s">
        <v>293</v>
      </c>
      <c r="G675" s="166">
        <f>ROUND(G674/D674,1)</f>
        <v>5666.5</v>
      </c>
    </row>
    <row r="679" spans="2:7">
      <c r="B679" s="190" t="s">
        <v>336</v>
      </c>
    </row>
    <row r="680" spans="2:7">
      <c r="C680" s="161" t="s">
        <v>297</v>
      </c>
      <c r="D680" s="161" t="s">
        <v>101</v>
      </c>
      <c r="E680" s="161" t="s">
        <v>100</v>
      </c>
      <c r="F680" s="161" t="s">
        <v>103</v>
      </c>
      <c r="G680" s="161" t="s">
        <v>264</v>
      </c>
    </row>
    <row r="681" spans="2:7">
      <c r="B681" s="161">
        <v>1</v>
      </c>
      <c r="C681" s="161" t="s">
        <v>411</v>
      </c>
      <c r="D681" s="161" t="s">
        <v>106</v>
      </c>
      <c r="E681" s="161">
        <v>6.9210000000000003</v>
      </c>
      <c r="F681" s="163">
        <f>Lead!G6</f>
        <v>1139.7</v>
      </c>
      <c r="G681" s="163">
        <f t="shared" ref="G681:G684" si="24">ROUND(F681*E681,2)</f>
        <v>7887.86</v>
      </c>
    </row>
    <row r="682" spans="2:7">
      <c r="B682" s="161">
        <v>2</v>
      </c>
      <c r="C682" s="161" t="s">
        <v>312</v>
      </c>
      <c r="D682" s="161" t="s">
        <v>106</v>
      </c>
      <c r="E682" s="161">
        <v>4.1525999999999996</v>
      </c>
      <c r="F682" s="163">
        <f>Lead!G7</f>
        <v>1139.7</v>
      </c>
      <c r="G682" s="163">
        <f t="shared" si="24"/>
        <v>4732.72</v>
      </c>
    </row>
    <row r="683" spans="2:7">
      <c r="B683" s="161">
        <v>3</v>
      </c>
      <c r="C683" s="161" t="s">
        <v>313</v>
      </c>
      <c r="D683" s="161" t="s">
        <v>106</v>
      </c>
      <c r="E683" s="161">
        <v>2.7684000000000002</v>
      </c>
      <c r="F683" s="163">
        <f>F682</f>
        <v>1139.7</v>
      </c>
      <c r="G683" s="163">
        <f t="shared" si="24"/>
        <v>3155.15</v>
      </c>
    </row>
    <row r="684" spans="2:7">
      <c r="B684" s="161">
        <v>4</v>
      </c>
      <c r="C684" s="161" t="s">
        <v>314</v>
      </c>
      <c r="D684" s="161" t="s">
        <v>106</v>
      </c>
      <c r="E684" s="161">
        <v>6.1520000000000001</v>
      </c>
      <c r="F684" s="163">
        <f>Lead!G10</f>
        <v>695.1</v>
      </c>
      <c r="G684" s="163">
        <f t="shared" si="24"/>
        <v>4276.26</v>
      </c>
    </row>
    <row r="685" spans="2:7">
      <c r="E685" s="191"/>
      <c r="F685" s="163"/>
      <c r="G685" s="163">
        <f>SUM(G681:G684)</f>
        <v>20051.989999999998</v>
      </c>
    </row>
    <row r="686" spans="2:7">
      <c r="D686" s="161" t="s">
        <v>337</v>
      </c>
      <c r="E686" s="191"/>
      <c r="F686" s="163"/>
      <c r="G686" s="163">
        <f>ROUND(G685*13.615%,2)</f>
        <v>2730.08</v>
      </c>
    </row>
    <row r="687" spans="2:7">
      <c r="D687" s="161" t="s">
        <v>401</v>
      </c>
      <c r="E687" s="191"/>
      <c r="F687" s="163"/>
      <c r="G687" s="163">
        <f>SUM(G685:G686)</f>
        <v>22782.07</v>
      </c>
    </row>
    <row r="688" spans="2:7">
      <c r="D688" s="161" t="s">
        <v>339</v>
      </c>
      <c r="G688" s="163">
        <f>ROUND(G687/D674,2)</f>
        <v>1481.28</v>
      </c>
    </row>
    <row r="689" spans="1:7">
      <c r="B689" s="190" t="s">
        <v>340</v>
      </c>
      <c r="G689" s="163">
        <f>G688+G675</f>
        <v>7147.78</v>
      </c>
    </row>
    <row r="690" spans="1:7">
      <c r="E690" s="161" t="s">
        <v>134</v>
      </c>
      <c r="F690" s="192" t="s">
        <v>268</v>
      </c>
      <c r="G690" s="166">
        <f>ROUND((G688+G675),1)</f>
        <v>7147.8</v>
      </c>
    </row>
    <row r="693" spans="1:7">
      <c r="A693" s="624" t="s">
        <v>420</v>
      </c>
      <c r="B693" s="13" t="s">
        <v>403</v>
      </c>
    </row>
    <row r="694" spans="1:7">
      <c r="A694" s="624"/>
      <c r="B694" s="13" t="s">
        <v>421</v>
      </c>
    </row>
    <row r="695" spans="1:7">
      <c r="A695" s="624"/>
      <c r="B695" s="13" t="s">
        <v>422</v>
      </c>
    </row>
    <row r="696" spans="1:7">
      <c r="A696" s="624"/>
      <c r="B696" s="13" t="s">
        <v>423</v>
      </c>
    </row>
    <row r="697" spans="1:7">
      <c r="A697" s="624"/>
      <c r="B697" s="13" t="s">
        <v>424</v>
      </c>
    </row>
    <row r="698" spans="1:7">
      <c r="A698" s="624"/>
      <c r="B698" s="13" t="s">
        <v>425</v>
      </c>
    </row>
    <row r="699" spans="1:7">
      <c r="A699" s="624"/>
      <c r="B699" s="13" t="s">
        <v>426</v>
      </c>
    </row>
    <row r="702" spans="1:7">
      <c r="A702" s="161" t="s">
        <v>258</v>
      </c>
      <c r="C702" s="161" t="s">
        <v>259</v>
      </c>
      <c r="E702" s="161" t="s">
        <v>260</v>
      </c>
      <c r="F702" s="161">
        <v>15.71</v>
      </c>
      <c r="G702" s="161" t="s">
        <v>106</v>
      </c>
    </row>
    <row r="703" spans="1:7">
      <c r="B703" s="161" t="s">
        <v>261</v>
      </c>
    </row>
    <row r="704" spans="1:7">
      <c r="B704" s="161" t="s">
        <v>262</v>
      </c>
      <c r="C704" s="161" t="s">
        <v>297</v>
      </c>
      <c r="D704" s="161" t="s">
        <v>101</v>
      </c>
      <c r="E704" s="161" t="s">
        <v>100</v>
      </c>
      <c r="F704" s="161" t="s">
        <v>103</v>
      </c>
      <c r="G704" s="161" t="s">
        <v>264</v>
      </c>
    </row>
    <row r="705" spans="2:7">
      <c r="F705" s="161" t="s">
        <v>265</v>
      </c>
      <c r="G705" s="161" t="s">
        <v>265</v>
      </c>
    </row>
    <row r="706" spans="2:7">
      <c r="B706" s="161">
        <v>1</v>
      </c>
      <c r="C706" s="161" t="s">
        <v>309</v>
      </c>
      <c r="D706" s="161" t="s">
        <v>310</v>
      </c>
      <c r="E706" s="161">
        <v>4398.8</v>
      </c>
      <c r="F706" s="161">
        <v>4.22</v>
      </c>
      <c r="G706" s="161">
        <f>ROUND(F706*E706,2)</f>
        <v>18562.939999999999</v>
      </c>
    </row>
    <row r="707" spans="2:7">
      <c r="C707" s="161" t="s">
        <v>311</v>
      </c>
      <c r="D707" s="161" t="s">
        <v>310</v>
      </c>
      <c r="E707" s="161">
        <v>78.55</v>
      </c>
      <c r="F707" s="161">
        <v>4.22</v>
      </c>
      <c r="G707" s="161">
        <f t="shared" ref="G707:G714" si="25">ROUND(F707*E707,2)</f>
        <v>331.48</v>
      </c>
    </row>
    <row r="708" spans="2:7">
      <c r="B708" s="161">
        <v>2</v>
      </c>
      <c r="C708" s="161" t="s">
        <v>312</v>
      </c>
      <c r="D708" s="161" t="s">
        <v>106</v>
      </c>
      <c r="E708" s="161">
        <v>8.1692</v>
      </c>
      <c r="F708" s="161">
        <v>1445</v>
      </c>
      <c r="G708" s="161">
        <f t="shared" si="25"/>
        <v>11804.49</v>
      </c>
    </row>
    <row r="709" spans="2:7">
      <c r="C709" s="161" t="s">
        <v>313</v>
      </c>
      <c r="D709" s="161" t="s">
        <v>106</v>
      </c>
      <c r="E709" s="161">
        <v>4.3987999999999996</v>
      </c>
      <c r="F709" s="161">
        <v>1052</v>
      </c>
      <c r="G709" s="161">
        <f t="shared" si="25"/>
        <v>4627.54</v>
      </c>
    </row>
    <row r="710" spans="2:7">
      <c r="B710" s="161">
        <v>3</v>
      </c>
      <c r="C710" s="161" t="s">
        <v>314</v>
      </c>
      <c r="D710" s="161" t="s">
        <v>106</v>
      </c>
      <c r="E710" s="161">
        <v>7.0694999999999997</v>
      </c>
      <c r="F710" s="161">
        <v>605</v>
      </c>
      <c r="G710" s="161">
        <f t="shared" si="25"/>
        <v>4277.05</v>
      </c>
    </row>
    <row r="711" spans="2:7">
      <c r="B711" s="161">
        <v>4</v>
      </c>
      <c r="C711" s="161" t="s">
        <v>315</v>
      </c>
      <c r="D711" s="161" t="s">
        <v>310</v>
      </c>
      <c r="E711" s="161">
        <v>17.595199999999998</v>
      </c>
      <c r="F711" s="161">
        <v>63</v>
      </c>
      <c r="G711" s="161">
        <f t="shared" si="25"/>
        <v>1108.5</v>
      </c>
    </row>
    <row r="712" spans="2:7">
      <c r="B712" s="161">
        <v>5</v>
      </c>
      <c r="C712" s="161" t="s">
        <v>412</v>
      </c>
      <c r="D712" s="161" t="s">
        <v>317</v>
      </c>
      <c r="E712" s="161">
        <v>31.42</v>
      </c>
      <c r="F712" s="163">
        <f>10631.16/31.42</f>
        <v>338.35646085295986</v>
      </c>
      <c r="G712" s="161">
        <f t="shared" si="25"/>
        <v>10631.16</v>
      </c>
    </row>
    <row r="713" spans="2:7">
      <c r="C713" s="161" t="s">
        <v>413</v>
      </c>
      <c r="D713" s="161">
        <v>0.25</v>
      </c>
      <c r="G713" s="161">
        <v>2657.79</v>
      </c>
    </row>
    <row r="714" spans="2:7">
      <c r="B714" s="161">
        <v>6</v>
      </c>
      <c r="C714" s="161" t="s">
        <v>318</v>
      </c>
      <c r="D714" s="161" t="s">
        <v>319</v>
      </c>
      <c r="E714" s="161">
        <v>0.5</v>
      </c>
      <c r="F714" s="161">
        <v>41</v>
      </c>
      <c r="G714" s="161">
        <f t="shared" si="25"/>
        <v>20.5</v>
      </c>
    </row>
    <row r="715" spans="2:7">
      <c r="C715" s="161" t="s">
        <v>267</v>
      </c>
      <c r="F715" s="161" t="s">
        <v>268</v>
      </c>
      <c r="G715" s="163">
        <f>SUM(G706:G714)-0.01</f>
        <v>54021.440000000002</v>
      </c>
    </row>
    <row r="717" spans="2:7">
      <c r="B717" s="161" t="s">
        <v>269</v>
      </c>
    </row>
    <row r="718" spans="2:7">
      <c r="B718" s="161" t="s">
        <v>262</v>
      </c>
      <c r="C718" s="161" t="s">
        <v>270</v>
      </c>
      <c r="D718" s="161" t="s">
        <v>101</v>
      </c>
      <c r="E718" s="161" t="s">
        <v>100</v>
      </c>
      <c r="F718" s="161" t="s">
        <v>103</v>
      </c>
      <c r="G718" s="161" t="s">
        <v>264</v>
      </c>
    </row>
    <row r="719" spans="2:7">
      <c r="F719" s="161" t="s">
        <v>265</v>
      </c>
      <c r="G719" s="161" t="s">
        <v>265</v>
      </c>
    </row>
    <row r="720" spans="2:7">
      <c r="B720" s="161">
        <v>1</v>
      </c>
      <c r="C720" s="161" t="s">
        <v>414</v>
      </c>
      <c r="D720" s="161" t="s">
        <v>272</v>
      </c>
      <c r="E720" s="161">
        <v>8</v>
      </c>
      <c r="F720" s="161">
        <v>53.9</v>
      </c>
      <c r="G720" s="161">
        <f>ROUND(F720*E720,2)</f>
        <v>431.2</v>
      </c>
    </row>
    <row r="721" spans="2:7">
      <c r="C721" s="161" t="s">
        <v>273</v>
      </c>
      <c r="D721" s="161" t="s">
        <v>272</v>
      </c>
      <c r="E721" s="161">
        <v>8</v>
      </c>
      <c r="F721" s="161">
        <v>136.69999999999999</v>
      </c>
      <c r="G721" s="161">
        <f t="shared" ref="G721:G727" si="26">ROUND(F721*E721,2)</f>
        <v>1093.5999999999999</v>
      </c>
    </row>
    <row r="722" spans="2:7">
      <c r="B722" s="161">
        <v>2</v>
      </c>
      <c r="C722" s="161" t="s">
        <v>295</v>
      </c>
      <c r="D722" s="161" t="s">
        <v>272</v>
      </c>
      <c r="E722" s="161">
        <v>0.5</v>
      </c>
      <c r="F722" s="161">
        <v>10.3</v>
      </c>
      <c r="G722" s="161">
        <f t="shared" si="26"/>
        <v>5.15</v>
      </c>
    </row>
    <row r="723" spans="2:7">
      <c r="C723" s="161" t="s">
        <v>273</v>
      </c>
      <c r="D723" s="161" t="s">
        <v>272</v>
      </c>
      <c r="E723" s="161">
        <v>0.5</v>
      </c>
      <c r="F723" s="161">
        <v>136.69999999999999</v>
      </c>
      <c r="G723" s="161">
        <f t="shared" si="26"/>
        <v>68.349999999999994</v>
      </c>
    </row>
    <row r="724" spans="2:7">
      <c r="B724" s="161">
        <v>3</v>
      </c>
      <c r="C724" s="161" t="s">
        <v>321</v>
      </c>
      <c r="D724" s="161" t="s">
        <v>272</v>
      </c>
      <c r="E724" s="161">
        <v>1</v>
      </c>
      <c r="F724" s="161">
        <v>432.4</v>
      </c>
      <c r="G724" s="161">
        <f t="shared" si="26"/>
        <v>432.4</v>
      </c>
    </row>
    <row r="725" spans="2:7">
      <c r="C725" s="161" t="s">
        <v>273</v>
      </c>
      <c r="D725" s="161" t="s">
        <v>272</v>
      </c>
      <c r="E725" s="161">
        <v>1</v>
      </c>
      <c r="F725" s="161">
        <v>516.79999999999995</v>
      </c>
      <c r="G725" s="161">
        <f t="shared" si="26"/>
        <v>516.79999999999995</v>
      </c>
    </row>
    <row r="726" spans="2:7">
      <c r="B726" s="161">
        <v>4</v>
      </c>
      <c r="C726" s="161" t="s">
        <v>322</v>
      </c>
      <c r="D726" s="161" t="s">
        <v>272</v>
      </c>
      <c r="E726" s="161">
        <v>8</v>
      </c>
      <c r="F726" s="161">
        <v>7.9</v>
      </c>
      <c r="G726" s="161">
        <f t="shared" si="26"/>
        <v>63.2</v>
      </c>
    </row>
    <row r="727" spans="2:7">
      <c r="C727" s="161" t="s">
        <v>273</v>
      </c>
      <c r="D727" s="161" t="s">
        <v>272</v>
      </c>
      <c r="E727" s="161">
        <v>8</v>
      </c>
      <c r="F727" s="161">
        <v>30.7</v>
      </c>
      <c r="G727" s="161">
        <f t="shared" si="26"/>
        <v>245.6</v>
      </c>
    </row>
    <row r="728" spans="2:7">
      <c r="C728" s="161" t="s">
        <v>274</v>
      </c>
      <c r="F728" s="161" t="s">
        <v>268</v>
      </c>
      <c r="G728" s="161">
        <f>SUM(G720:G727)</f>
        <v>2856.2999999999997</v>
      </c>
    </row>
    <row r="730" spans="2:7">
      <c r="B730" s="161" t="s">
        <v>275</v>
      </c>
    </row>
    <row r="731" spans="2:7">
      <c r="B731" s="161" t="s">
        <v>262</v>
      </c>
      <c r="C731" s="161" t="s">
        <v>270</v>
      </c>
      <c r="D731" s="161" t="s">
        <v>101</v>
      </c>
      <c r="E731" s="161" t="s">
        <v>100</v>
      </c>
      <c r="F731" s="161" t="s">
        <v>103</v>
      </c>
      <c r="G731" s="161" t="s">
        <v>264</v>
      </c>
    </row>
    <row r="732" spans="2:7">
      <c r="F732" s="161" t="s">
        <v>265</v>
      </c>
      <c r="G732" s="161" t="s">
        <v>265</v>
      </c>
    </row>
    <row r="733" spans="2:7">
      <c r="B733" s="161">
        <v>1</v>
      </c>
      <c r="C733" s="161" t="s">
        <v>323</v>
      </c>
      <c r="D733" s="161" t="s">
        <v>272</v>
      </c>
      <c r="E733" s="161">
        <v>8</v>
      </c>
      <c r="F733" s="161">
        <v>327.60000000000002</v>
      </c>
      <c r="G733" s="161">
        <f>ROUND(F733*E733,2)</f>
        <v>2620.8000000000002</v>
      </c>
    </row>
    <row r="734" spans="2:7">
      <c r="B734" s="161">
        <v>2</v>
      </c>
      <c r="C734" s="161" t="s">
        <v>324</v>
      </c>
      <c r="D734" s="161" t="s">
        <v>272</v>
      </c>
      <c r="E734" s="161">
        <v>0.5</v>
      </c>
      <c r="F734" s="161">
        <v>163.5</v>
      </c>
      <c r="G734" s="161">
        <f t="shared" ref="G734:G745" si="27">ROUND(F734*E734,2)</f>
        <v>81.75</v>
      </c>
    </row>
    <row r="735" spans="2:7">
      <c r="B735" s="161">
        <v>3</v>
      </c>
      <c r="C735" s="161" t="s">
        <v>325</v>
      </c>
      <c r="D735" s="161" t="s">
        <v>272</v>
      </c>
      <c r="E735" s="161">
        <v>1</v>
      </c>
      <c r="F735" s="161">
        <v>258.39999999999998</v>
      </c>
      <c r="G735" s="161">
        <f t="shared" si="27"/>
        <v>258.39999999999998</v>
      </c>
    </row>
    <row r="736" spans="2:7">
      <c r="B736" s="161">
        <v>4</v>
      </c>
      <c r="C736" s="161" t="s">
        <v>326</v>
      </c>
      <c r="D736" s="161" t="s">
        <v>272</v>
      </c>
      <c r="E736" s="161">
        <v>8</v>
      </c>
      <c r="F736" s="161">
        <v>235.8</v>
      </c>
      <c r="G736" s="161">
        <f t="shared" si="27"/>
        <v>1886.4</v>
      </c>
    </row>
    <row r="737" spans="2:7">
      <c r="B737" s="161">
        <v>5</v>
      </c>
      <c r="C737" s="161" t="s">
        <v>327</v>
      </c>
      <c r="D737" s="161" t="s">
        <v>278</v>
      </c>
      <c r="E737" s="161">
        <v>1</v>
      </c>
      <c r="F737" s="161">
        <v>670</v>
      </c>
      <c r="G737" s="161">
        <f t="shared" si="27"/>
        <v>670</v>
      </c>
    </row>
    <row r="738" spans="2:7">
      <c r="B738" s="161">
        <v>6</v>
      </c>
      <c r="C738" s="161" t="s">
        <v>277</v>
      </c>
      <c r="D738" s="161" t="s">
        <v>278</v>
      </c>
      <c r="E738" s="161">
        <v>1</v>
      </c>
      <c r="F738" s="161">
        <v>730</v>
      </c>
      <c r="G738" s="161">
        <f t="shared" si="27"/>
        <v>730</v>
      </c>
    </row>
    <row r="739" spans="2:7">
      <c r="B739" s="161">
        <v>7</v>
      </c>
      <c r="C739" s="161" t="s">
        <v>279</v>
      </c>
      <c r="G739" s="161">
        <f t="shared" si="27"/>
        <v>0</v>
      </c>
    </row>
    <row r="740" spans="2:7">
      <c r="C740" s="161" t="s">
        <v>329</v>
      </c>
      <c r="D740" s="161" t="s">
        <v>278</v>
      </c>
      <c r="E740" s="161">
        <v>11</v>
      </c>
      <c r="F740" s="161">
        <v>560</v>
      </c>
      <c r="G740" s="161">
        <f t="shared" si="27"/>
        <v>6160</v>
      </c>
    </row>
    <row r="741" spans="2:7">
      <c r="C741" s="161" t="s">
        <v>330</v>
      </c>
      <c r="D741" s="161" t="s">
        <v>278</v>
      </c>
      <c r="E741" s="161">
        <v>4</v>
      </c>
      <c r="F741" s="161">
        <v>560</v>
      </c>
      <c r="G741" s="161">
        <f t="shared" si="27"/>
        <v>2240</v>
      </c>
    </row>
    <row r="742" spans="2:7">
      <c r="C742" s="161" t="s">
        <v>416</v>
      </c>
      <c r="D742" s="161" t="s">
        <v>278</v>
      </c>
      <c r="E742" s="161">
        <v>4</v>
      </c>
      <c r="F742" s="161">
        <v>560</v>
      </c>
      <c r="G742" s="161">
        <f t="shared" si="27"/>
        <v>2240</v>
      </c>
    </row>
    <row r="743" spans="2:7">
      <c r="C743" s="161" t="s">
        <v>332</v>
      </c>
      <c r="D743" s="161" t="s">
        <v>278</v>
      </c>
      <c r="E743" s="161">
        <v>15.71</v>
      </c>
      <c r="F743" s="161">
        <v>560</v>
      </c>
      <c r="G743" s="161">
        <f t="shared" si="27"/>
        <v>8797.6</v>
      </c>
    </row>
    <row r="744" spans="2:7">
      <c r="C744" s="161" t="s">
        <v>333</v>
      </c>
      <c r="D744" s="161" t="s">
        <v>278</v>
      </c>
      <c r="E744" s="161">
        <v>1</v>
      </c>
      <c r="F744" s="161">
        <v>560</v>
      </c>
      <c r="G744" s="161">
        <f t="shared" si="27"/>
        <v>560</v>
      </c>
    </row>
    <row r="745" spans="2:7">
      <c r="B745" s="161">
        <v>8</v>
      </c>
      <c r="C745" s="161" t="s">
        <v>417</v>
      </c>
      <c r="D745" s="161" t="s">
        <v>317</v>
      </c>
      <c r="E745" s="161">
        <v>31.42</v>
      </c>
      <c r="F745" s="161">
        <v>138.44999999999999</v>
      </c>
      <c r="G745" s="161">
        <f t="shared" si="27"/>
        <v>4350.1000000000004</v>
      </c>
    </row>
    <row r="746" spans="2:7">
      <c r="C746" s="161" t="s">
        <v>418</v>
      </c>
      <c r="D746" s="161">
        <v>0.25</v>
      </c>
      <c r="G746" s="161">
        <f>G745*D746</f>
        <v>1087.5250000000001</v>
      </c>
    </row>
    <row r="747" spans="2:7">
      <c r="C747" s="161" t="s">
        <v>280</v>
      </c>
      <c r="F747" s="161" t="s">
        <v>268</v>
      </c>
      <c r="G747" s="163">
        <f>SUM(G733:G746)-0.01</f>
        <v>31682.564999999999</v>
      </c>
    </row>
    <row r="748" spans="2:7">
      <c r="B748" s="161" t="s">
        <v>281</v>
      </c>
      <c r="E748" s="164">
        <v>2016.7</v>
      </c>
    </row>
    <row r="749" spans="2:7">
      <c r="B749" s="161" t="s">
        <v>282</v>
      </c>
      <c r="D749" s="161">
        <v>0.13614999999999999</v>
      </c>
      <c r="E749" s="164">
        <v>274.60000000000002</v>
      </c>
    </row>
    <row r="750" spans="2:7">
      <c r="B750" s="161" t="s">
        <v>283</v>
      </c>
      <c r="E750" s="165">
        <f>SUM(E748:E749)</f>
        <v>2291.3000000000002</v>
      </c>
    </row>
    <row r="752" spans="2:7">
      <c r="B752" s="161" t="s">
        <v>284</v>
      </c>
    </row>
    <row r="753" spans="2:7">
      <c r="B753" s="161" t="s">
        <v>285</v>
      </c>
      <c r="F753" s="161" t="s">
        <v>268</v>
      </c>
      <c r="G753" s="163">
        <f>G715</f>
        <v>54021.440000000002</v>
      </c>
    </row>
    <row r="754" spans="2:7">
      <c r="B754" s="161" t="s">
        <v>286</v>
      </c>
      <c r="F754" s="161" t="s">
        <v>268</v>
      </c>
      <c r="G754" s="161">
        <f>G728</f>
        <v>2856.2999999999997</v>
      </c>
    </row>
    <row r="755" spans="2:7">
      <c r="B755" s="161" t="s">
        <v>287</v>
      </c>
      <c r="F755" s="161" t="s">
        <v>268</v>
      </c>
      <c r="G755" s="163">
        <f>G747</f>
        <v>31682.564999999999</v>
      </c>
    </row>
    <row r="756" spans="2:7">
      <c r="F756" s="161" t="s">
        <v>288</v>
      </c>
      <c r="G756" s="161">
        <f>SUM(G753:G755)</f>
        <v>88560.305000000008</v>
      </c>
    </row>
    <row r="757" spans="2:7">
      <c r="B757" s="161" t="s">
        <v>289</v>
      </c>
      <c r="E757" s="161">
        <v>0.13614999999999999</v>
      </c>
      <c r="F757" s="161" t="s">
        <v>268</v>
      </c>
      <c r="G757" s="161">
        <f>G756*E757</f>
        <v>12057.48552575</v>
      </c>
    </row>
    <row r="758" spans="2:7">
      <c r="B758" s="161" t="s">
        <v>290</v>
      </c>
      <c r="D758" s="161">
        <v>15.71</v>
      </c>
      <c r="E758" s="161" t="s">
        <v>106</v>
      </c>
      <c r="F758" s="161" t="s">
        <v>268</v>
      </c>
      <c r="G758" s="161">
        <f>SUM(G756:G757)</f>
        <v>100617.79052575001</v>
      </c>
    </row>
    <row r="759" spans="2:7">
      <c r="B759" s="190" t="s">
        <v>334</v>
      </c>
      <c r="D759" s="161" t="s">
        <v>427</v>
      </c>
      <c r="F759" s="161" t="s">
        <v>293</v>
      </c>
      <c r="G759" s="166">
        <f>ROUND(G758/D758,1)</f>
        <v>6404.7</v>
      </c>
    </row>
    <row r="762" spans="2:7">
      <c r="B762" s="190" t="s">
        <v>336</v>
      </c>
    </row>
    <row r="763" spans="2:7">
      <c r="C763" s="161" t="s">
        <v>297</v>
      </c>
      <c r="D763" s="161" t="s">
        <v>101</v>
      </c>
      <c r="E763" s="161" t="s">
        <v>100</v>
      </c>
      <c r="F763" s="161" t="s">
        <v>103</v>
      </c>
      <c r="G763" s="161" t="s">
        <v>264</v>
      </c>
    </row>
    <row r="764" spans="2:7">
      <c r="B764" s="161">
        <v>1</v>
      </c>
      <c r="C764" s="161" t="s">
        <v>312</v>
      </c>
      <c r="D764" s="161" t="s">
        <v>106</v>
      </c>
      <c r="E764" s="161">
        <v>8.1692</v>
      </c>
      <c r="F764" s="163">
        <f>Lead!G7</f>
        <v>1139.7</v>
      </c>
      <c r="G764" s="163">
        <f t="shared" ref="G764:G766" si="28">ROUND(F764*E764,2)</f>
        <v>9310.44</v>
      </c>
    </row>
    <row r="765" spans="2:7">
      <c r="B765" s="161">
        <v>2</v>
      </c>
      <c r="C765" s="161" t="s">
        <v>313</v>
      </c>
      <c r="D765" s="161" t="s">
        <v>106</v>
      </c>
      <c r="E765" s="161">
        <v>4.3987999999999996</v>
      </c>
      <c r="F765" s="163">
        <f>F764</f>
        <v>1139.7</v>
      </c>
      <c r="G765" s="163">
        <f t="shared" si="28"/>
        <v>5013.3100000000004</v>
      </c>
    </row>
    <row r="766" spans="2:7">
      <c r="B766" s="161">
        <v>3</v>
      </c>
      <c r="C766" s="161" t="s">
        <v>314</v>
      </c>
      <c r="D766" s="161" t="s">
        <v>106</v>
      </c>
      <c r="E766" s="161">
        <v>7.0694999999999997</v>
      </c>
      <c r="F766" s="163">
        <f>Lead!G10</f>
        <v>695.1</v>
      </c>
      <c r="G766" s="163">
        <f t="shared" si="28"/>
        <v>4914.01</v>
      </c>
    </row>
    <row r="767" spans="2:7">
      <c r="E767" s="191"/>
      <c r="F767" s="163"/>
      <c r="G767" s="163">
        <f>SUM(G764:G766)</f>
        <v>19237.760000000002</v>
      </c>
    </row>
    <row r="768" spans="2:7">
      <c r="D768" s="161" t="s">
        <v>337</v>
      </c>
      <c r="E768" s="191"/>
      <c r="F768" s="163"/>
      <c r="G768" s="163">
        <f>ROUND(G767*13.615%,2)</f>
        <v>2619.2199999999998</v>
      </c>
    </row>
    <row r="769" spans="1:7">
      <c r="D769" s="161" t="s">
        <v>401</v>
      </c>
      <c r="E769" s="191"/>
      <c r="F769" s="163"/>
      <c r="G769" s="163">
        <f>SUM(G767:G768)</f>
        <v>21856.980000000003</v>
      </c>
    </row>
    <row r="770" spans="1:7">
      <c r="D770" s="161" t="s">
        <v>339</v>
      </c>
      <c r="G770" s="163">
        <f>ROUND(G769/D758,1)</f>
        <v>1391.3</v>
      </c>
    </row>
    <row r="771" spans="1:7">
      <c r="B771" s="190" t="s">
        <v>340</v>
      </c>
      <c r="F771" s="192" t="s">
        <v>268</v>
      </c>
      <c r="G771" s="166">
        <f>ROUND((G759+G770),1)</f>
        <v>7796</v>
      </c>
    </row>
    <row r="774" spans="1:7">
      <c r="A774" s="627" t="s">
        <v>531</v>
      </c>
      <c r="B774" s="157" t="s">
        <v>1000</v>
      </c>
      <c r="C774" s="154"/>
      <c r="D774" s="154"/>
      <c r="E774" s="154"/>
      <c r="F774" s="154"/>
      <c r="G774" s="154"/>
    </row>
    <row r="775" spans="1:7">
      <c r="A775" s="627"/>
      <c r="B775" s="157" t="s">
        <v>1001</v>
      </c>
      <c r="C775" s="154"/>
      <c r="D775" s="154"/>
      <c r="E775" s="154"/>
      <c r="F775" s="154"/>
      <c r="G775" s="154"/>
    </row>
    <row r="776" spans="1:7">
      <c r="A776" s="627"/>
      <c r="B776" s="157" t="s">
        <v>1002</v>
      </c>
      <c r="C776" s="154"/>
      <c r="D776" s="154"/>
      <c r="E776" s="154"/>
      <c r="F776" s="154"/>
      <c r="G776" s="154"/>
    </row>
    <row r="777" spans="1:7">
      <c r="A777" s="627"/>
      <c r="B777" s="157" t="s">
        <v>535</v>
      </c>
      <c r="C777" s="154"/>
      <c r="D777" s="154"/>
      <c r="E777" s="154"/>
      <c r="F777" s="154"/>
      <c r="G777" s="154"/>
    </row>
    <row r="778" spans="1:7">
      <c r="A778" s="627"/>
      <c r="B778" s="157" t="s">
        <v>1003</v>
      </c>
      <c r="C778" s="154"/>
      <c r="D778" s="154"/>
      <c r="E778" s="154"/>
      <c r="F778" s="154"/>
      <c r="G778" s="154"/>
    </row>
    <row r="779" spans="1:7">
      <c r="A779" s="627"/>
      <c r="B779" s="155" t="s">
        <v>537</v>
      </c>
      <c r="C779" s="154"/>
      <c r="D779" s="154"/>
      <c r="E779" s="154"/>
      <c r="F779" s="154"/>
      <c r="G779" s="154"/>
    </row>
    <row r="780" spans="1:7">
      <c r="A780" s="154"/>
      <c r="B780" s="160"/>
      <c r="C780" s="154"/>
      <c r="D780" s="154"/>
      <c r="E780" s="154"/>
      <c r="F780" s="154"/>
      <c r="G780" s="154"/>
    </row>
    <row r="781" spans="1:7">
      <c r="A781" s="393" t="s">
        <v>258</v>
      </c>
      <c r="B781" s="160"/>
      <c r="C781" s="394" t="s">
        <v>259</v>
      </c>
      <c r="D781" s="154"/>
      <c r="E781" s="395" t="s">
        <v>260</v>
      </c>
      <c r="F781" s="396">
        <v>15.76</v>
      </c>
      <c r="G781" s="157" t="s">
        <v>106</v>
      </c>
    </row>
    <row r="782" spans="1:7">
      <c r="A782" s="154"/>
      <c r="B782" s="397" t="s">
        <v>261</v>
      </c>
      <c r="C782" s="157"/>
      <c r="D782" s="154"/>
      <c r="E782" s="154"/>
      <c r="F782" s="154"/>
      <c r="G782" s="154"/>
    </row>
    <row r="783" spans="1:7">
      <c r="A783" s="154"/>
      <c r="B783" s="398" t="s">
        <v>262</v>
      </c>
      <c r="C783" s="399" t="s">
        <v>297</v>
      </c>
      <c r="D783" s="398" t="s">
        <v>101</v>
      </c>
      <c r="E783" s="398" t="s">
        <v>100</v>
      </c>
      <c r="F783" s="398" t="s">
        <v>103</v>
      </c>
      <c r="G783" s="398" t="s">
        <v>264</v>
      </c>
    </row>
    <row r="784" spans="1:7">
      <c r="A784" s="154"/>
      <c r="B784" s="400"/>
      <c r="C784" s="401"/>
      <c r="D784" s="400"/>
      <c r="E784" s="400"/>
      <c r="F784" s="400" t="s">
        <v>265</v>
      </c>
      <c r="G784" s="400" t="s">
        <v>265</v>
      </c>
    </row>
    <row r="785" spans="1:7">
      <c r="A785" s="154"/>
      <c r="B785" s="398">
        <v>1</v>
      </c>
      <c r="C785" s="402" t="s">
        <v>309</v>
      </c>
      <c r="D785" s="398" t="s">
        <v>310</v>
      </c>
      <c r="E785" s="403">
        <v>5200.8</v>
      </c>
      <c r="F785" s="404">
        <v>4.22</v>
      </c>
      <c r="G785" s="403">
        <f>ROUND(F785*E785,2)</f>
        <v>21947.38</v>
      </c>
    </row>
    <row r="786" spans="1:7">
      <c r="A786" s="154"/>
      <c r="B786" s="405"/>
      <c r="C786" s="402" t="s">
        <v>311</v>
      </c>
      <c r="D786" s="406" t="s">
        <v>310</v>
      </c>
      <c r="E786" s="403">
        <v>78.8</v>
      </c>
      <c r="F786" s="404">
        <v>4.22</v>
      </c>
      <c r="G786" s="403">
        <f t="shared" ref="G786:G792" si="29">ROUND(F786*E786,2)</f>
        <v>332.54</v>
      </c>
    </row>
    <row r="787" spans="1:7">
      <c r="A787" s="154"/>
      <c r="B787" s="406">
        <v>2</v>
      </c>
      <c r="C787" s="402" t="s">
        <v>312</v>
      </c>
      <c r="D787" s="406" t="s">
        <v>106</v>
      </c>
      <c r="E787" s="403">
        <v>8.1951999999999998</v>
      </c>
      <c r="F787" s="404">
        <v>1445</v>
      </c>
      <c r="G787" s="403">
        <f t="shared" si="29"/>
        <v>11842.06</v>
      </c>
    </row>
    <row r="788" spans="1:7">
      <c r="A788" s="154"/>
      <c r="B788" s="405"/>
      <c r="C788" s="402" t="s">
        <v>313</v>
      </c>
      <c r="D788" s="406" t="s">
        <v>106</v>
      </c>
      <c r="E788" s="403">
        <v>4.4128000000000007</v>
      </c>
      <c r="F788" s="404">
        <v>1052</v>
      </c>
      <c r="G788" s="403">
        <f t="shared" si="29"/>
        <v>4642.2700000000004</v>
      </c>
    </row>
    <row r="789" spans="1:7">
      <c r="A789" s="407"/>
      <c r="B789" s="406">
        <v>3</v>
      </c>
      <c r="C789" s="402" t="s">
        <v>314</v>
      </c>
      <c r="D789" s="406" t="s">
        <v>106</v>
      </c>
      <c r="E789" s="403">
        <v>7.0919999999999996</v>
      </c>
      <c r="F789" s="404">
        <v>605</v>
      </c>
      <c r="G789" s="403">
        <f t="shared" si="29"/>
        <v>4290.66</v>
      </c>
    </row>
    <row r="790" spans="1:7">
      <c r="A790" s="154"/>
      <c r="B790" s="406">
        <v>4</v>
      </c>
      <c r="C790" s="402" t="s">
        <v>315</v>
      </c>
      <c r="D790" s="406" t="s">
        <v>310</v>
      </c>
      <c r="E790" s="403">
        <v>20.8032</v>
      </c>
      <c r="F790" s="404">
        <v>63</v>
      </c>
      <c r="G790" s="403">
        <f t="shared" si="29"/>
        <v>1310.5999999999999</v>
      </c>
    </row>
    <row r="791" spans="1:7">
      <c r="A791" s="154"/>
      <c r="B791" s="406">
        <v>5</v>
      </c>
      <c r="C791" s="402" t="s">
        <v>495</v>
      </c>
      <c r="D791" s="406" t="s">
        <v>317</v>
      </c>
      <c r="E791" s="403">
        <v>7.88</v>
      </c>
      <c r="F791" s="404">
        <v>338.35649999999998</v>
      </c>
      <c r="G791" s="403">
        <f t="shared" si="29"/>
        <v>2666.25</v>
      </c>
    </row>
    <row r="792" spans="1:7">
      <c r="A792" s="154"/>
      <c r="B792" s="400">
        <v>6</v>
      </c>
      <c r="C792" s="409" t="s">
        <v>538</v>
      </c>
      <c r="D792" s="400" t="s">
        <v>319</v>
      </c>
      <c r="E792" s="410">
        <v>5</v>
      </c>
      <c r="F792" s="411">
        <v>41</v>
      </c>
      <c r="G792" s="403">
        <f t="shared" si="29"/>
        <v>205</v>
      </c>
    </row>
    <row r="793" spans="1:7">
      <c r="A793" s="154"/>
      <c r="B793" s="412"/>
      <c r="C793" s="413" t="s">
        <v>267</v>
      </c>
      <c r="D793" s="414"/>
      <c r="E793" s="415"/>
      <c r="F793" s="416" t="s">
        <v>268</v>
      </c>
      <c r="G793" s="417">
        <f>SUM(G785:G792)-0.01</f>
        <v>47236.75</v>
      </c>
    </row>
    <row r="794" spans="1:7">
      <c r="A794" s="154"/>
      <c r="B794" s="160"/>
      <c r="C794" s="157"/>
      <c r="D794" s="154"/>
      <c r="E794" s="154"/>
      <c r="F794" s="154"/>
      <c r="G794" s="154"/>
    </row>
    <row r="795" spans="1:7">
      <c r="A795" s="154"/>
      <c r="B795" s="397" t="s">
        <v>269</v>
      </c>
      <c r="C795" s="154"/>
      <c r="D795" s="154"/>
      <c r="E795" s="154"/>
      <c r="F795" s="154"/>
      <c r="G795" s="154"/>
    </row>
    <row r="796" spans="1:7">
      <c r="A796" s="154"/>
      <c r="B796" s="398" t="s">
        <v>262</v>
      </c>
      <c r="C796" s="399" t="s">
        <v>270</v>
      </c>
      <c r="D796" s="398" t="s">
        <v>101</v>
      </c>
      <c r="E796" s="398" t="s">
        <v>100</v>
      </c>
      <c r="F796" s="398" t="s">
        <v>103</v>
      </c>
      <c r="G796" s="398" t="s">
        <v>264</v>
      </c>
    </row>
    <row r="797" spans="1:7">
      <c r="A797" s="154"/>
      <c r="B797" s="400"/>
      <c r="C797" s="401"/>
      <c r="D797" s="400"/>
      <c r="E797" s="400"/>
      <c r="F797" s="400" t="s">
        <v>265</v>
      </c>
      <c r="G797" s="400" t="s">
        <v>265</v>
      </c>
    </row>
    <row r="798" spans="1:7">
      <c r="A798" s="154"/>
      <c r="B798" s="398">
        <v>1</v>
      </c>
      <c r="C798" s="503" t="s">
        <v>414</v>
      </c>
      <c r="D798" s="504" t="s">
        <v>272</v>
      </c>
      <c r="E798" s="505">
        <v>8</v>
      </c>
      <c r="F798" s="403">
        <v>53.9</v>
      </c>
      <c r="G798" s="403">
        <f>ROUND(F798*E798,2)</f>
        <v>431.2</v>
      </c>
    </row>
    <row r="799" spans="1:7">
      <c r="A799" s="154"/>
      <c r="B799" s="405"/>
      <c r="C799" s="506" t="s">
        <v>273</v>
      </c>
      <c r="D799" s="159" t="s">
        <v>272</v>
      </c>
      <c r="E799" s="403">
        <v>8</v>
      </c>
      <c r="F799" s="403">
        <v>136.69999999999999</v>
      </c>
      <c r="G799" s="403">
        <f t="shared" ref="G799:G803" si="30">ROUND(F799*E799,2)</f>
        <v>1093.5999999999999</v>
      </c>
    </row>
    <row r="800" spans="1:7">
      <c r="A800" s="154"/>
      <c r="B800" s="406">
        <v>2</v>
      </c>
      <c r="C800" s="506" t="s">
        <v>295</v>
      </c>
      <c r="D800" s="159" t="s">
        <v>272</v>
      </c>
      <c r="E800" s="403">
        <v>0.5</v>
      </c>
      <c r="F800" s="403">
        <v>10.3</v>
      </c>
      <c r="G800" s="403">
        <f t="shared" si="30"/>
        <v>5.15</v>
      </c>
    </row>
    <row r="801" spans="1:7">
      <c r="A801" s="154"/>
      <c r="B801" s="405"/>
      <c r="C801" s="506" t="s">
        <v>273</v>
      </c>
      <c r="D801" s="159" t="s">
        <v>272</v>
      </c>
      <c r="E801" s="403">
        <v>0.5</v>
      </c>
      <c r="F801" s="403">
        <v>136.69999999999999</v>
      </c>
      <c r="G801" s="403">
        <f t="shared" si="30"/>
        <v>68.349999999999994</v>
      </c>
    </row>
    <row r="802" spans="1:7">
      <c r="A802" s="154"/>
      <c r="B802" s="406">
        <v>3</v>
      </c>
      <c r="C802" s="506" t="s">
        <v>322</v>
      </c>
      <c r="D802" s="159" t="s">
        <v>272</v>
      </c>
      <c r="E802" s="403">
        <v>8</v>
      </c>
      <c r="F802" s="403">
        <v>7.9</v>
      </c>
      <c r="G802" s="403">
        <f t="shared" si="30"/>
        <v>63.2</v>
      </c>
    </row>
    <row r="803" spans="1:7">
      <c r="A803" s="154"/>
      <c r="B803" s="507"/>
      <c r="C803" s="508" t="s">
        <v>273</v>
      </c>
      <c r="D803" s="159" t="s">
        <v>272</v>
      </c>
      <c r="E803" s="410">
        <v>8</v>
      </c>
      <c r="F803" s="424">
        <v>30.7</v>
      </c>
      <c r="G803" s="403">
        <f t="shared" si="30"/>
        <v>245.6</v>
      </c>
    </row>
    <row r="804" spans="1:7">
      <c r="A804" s="154"/>
      <c r="B804" s="419"/>
      <c r="C804" s="420" t="s">
        <v>274</v>
      </c>
      <c r="D804" s="509"/>
      <c r="E804" s="422"/>
      <c r="F804" s="416" t="s">
        <v>268</v>
      </c>
      <c r="G804" s="417">
        <f>SUM(G798:G803)</f>
        <v>1907.1</v>
      </c>
    </row>
    <row r="805" spans="1:7">
      <c r="A805" s="154"/>
      <c r="B805" s="160"/>
      <c r="C805" s="157"/>
      <c r="D805" s="154"/>
      <c r="E805" s="154"/>
      <c r="F805" s="154"/>
      <c r="G805" s="154"/>
    </row>
    <row r="806" spans="1:7">
      <c r="A806" s="154"/>
      <c r="B806" s="397" t="s">
        <v>275</v>
      </c>
      <c r="C806" s="154"/>
      <c r="D806" s="154"/>
      <c r="E806" s="154"/>
      <c r="F806" s="154"/>
      <c r="G806" s="154"/>
    </row>
    <row r="807" spans="1:7">
      <c r="A807" s="154"/>
      <c r="B807" s="398" t="s">
        <v>262</v>
      </c>
      <c r="C807" s="399" t="s">
        <v>270</v>
      </c>
      <c r="D807" s="398" t="s">
        <v>101</v>
      </c>
      <c r="E807" s="398" t="s">
        <v>100</v>
      </c>
      <c r="F807" s="398" t="s">
        <v>103</v>
      </c>
      <c r="G807" s="398" t="s">
        <v>264</v>
      </c>
    </row>
    <row r="808" spans="1:7">
      <c r="A808" s="154"/>
      <c r="B808" s="400"/>
      <c r="C808" s="401"/>
      <c r="D808" s="406"/>
      <c r="E808" s="406"/>
      <c r="F808" s="406" t="s">
        <v>265</v>
      </c>
      <c r="G808" s="400" t="s">
        <v>265</v>
      </c>
    </row>
    <row r="809" spans="1:7">
      <c r="A809" s="154"/>
      <c r="B809" s="398">
        <v>1</v>
      </c>
      <c r="C809" s="497" t="s">
        <v>323</v>
      </c>
      <c r="D809" s="398" t="s">
        <v>272</v>
      </c>
      <c r="E809" s="505">
        <v>8</v>
      </c>
      <c r="F809" s="505">
        <v>327.60000000000002</v>
      </c>
      <c r="G809" s="424">
        <f>ROUND(F809*E809,2)</f>
        <v>2620.8000000000002</v>
      </c>
    </row>
    <row r="810" spans="1:7">
      <c r="A810" s="154"/>
      <c r="B810" s="406">
        <v>2</v>
      </c>
      <c r="C810" s="497" t="s">
        <v>324</v>
      </c>
      <c r="D810" s="406" t="s">
        <v>272</v>
      </c>
      <c r="E810" s="403">
        <v>0.5</v>
      </c>
      <c r="F810" s="403">
        <v>163.5</v>
      </c>
      <c r="G810" s="424">
        <f t="shared" ref="G810:G820" si="31">ROUND(F810*E810,2)</f>
        <v>81.75</v>
      </c>
    </row>
    <row r="811" spans="1:7">
      <c r="A811" s="154"/>
      <c r="B811" s="406">
        <v>3</v>
      </c>
      <c r="C811" s="497" t="s">
        <v>415</v>
      </c>
      <c r="D811" s="406" t="s">
        <v>272</v>
      </c>
      <c r="E811" s="403">
        <v>8</v>
      </c>
      <c r="F811" s="403">
        <v>235.8</v>
      </c>
      <c r="G811" s="424">
        <f t="shared" si="31"/>
        <v>1886.4</v>
      </c>
    </row>
    <row r="812" spans="1:7">
      <c r="A812" s="154"/>
      <c r="B812" s="406">
        <v>4</v>
      </c>
      <c r="C812" s="497" t="s">
        <v>327</v>
      </c>
      <c r="D812" s="406" t="s">
        <v>278</v>
      </c>
      <c r="E812" s="403">
        <v>2</v>
      </c>
      <c r="F812" s="403">
        <v>670</v>
      </c>
      <c r="G812" s="424">
        <f t="shared" si="31"/>
        <v>1340</v>
      </c>
    </row>
    <row r="813" spans="1:7">
      <c r="A813" s="154"/>
      <c r="B813" s="406">
        <v>5</v>
      </c>
      <c r="C813" s="497" t="s">
        <v>277</v>
      </c>
      <c r="D813" s="406" t="s">
        <v>278</v>
      </c>
      <c r="E813" s="403">
        <v>1</v>
      </c>
      <c r="F813" s="403">
        <v>730</v>
      </c>
      <c r="G813" s="424">
        <f t="shared" si="31"/>
        <v>730</v>
      </c>
    </row>
    <row r="814" spans="1:7">
      <c r="A814" s="154"/>
      <c r="B814" s="406">
        <v>6</v>
      </c>
      <c r="C814" s="497" t="s">
        <v>279</v>
      </c>
      <c r="D814" s="406"/>
      <c r="E814" s="403"/>
      <c r="F814" s="403"/>
      <c r="G814" s="424"/>
    </row>
    <row r="815" spans="1:7">
      <c r="A815" s="154"/>
      <c r="B815" s="405"/>
      <c r="C815" s="497" t="s">
        <v>329</v>
      </c>
      <c r="D815" s="406" t="s">
        <v>278</v>
      </c>
      <c r="E815" s="403">
        <v>11</v>
      </c>
      <c r="F815" s="403">
        <v>560</v>
      </c>
      <c r="G815" s="424">
        <f t="shared" si="31"/>
        <v>6160</v>
      </c>
    </row>
    <row r="816" spans="1:7">
      <c r="A816" s="154"/>
      <c r="B816" s="405"/>
      <c r="C816" s="497" t="s">
        <v>330</v>
      </c>
      <c r="D816" s="406" t="s">
        <v>278</v>
      </c>
      <c r="E816" s="403">
        <v>4</v>
      </c>
      <c r="F816" s="403">
        <v>560</v>
      </c>
      <c r="G816" s="424">
        <f t="shared" si="31"/>
        <v>2240</v>
      </c>
    </row>
    <row r="817" spans="1:7">
      <c r="A817" s="154"/>
      <c r="B817" s="405"/>
      <c r="C817" s="497" t="s">
        <v>416</v>
      </c>
      <c r="D817" s="406" t="s">
        <v>278</v>
      </c>
      <c r="E817" s="403">
        <v>4</v>
      </c>
      <c r="F817" s="403">
        <v>560</v>
      </c>
      <c r="G817" s="424">
        <f t="shared" si="31"/>
        <v>2240</v>
      </c>
    </row>
    <row r="818" spans="1:7">
      <c r="A818" s="154"/>
      <c r="B818" s="405"/>
      <c r="C818" s="497" t="s">
        <v>332</v>
      </c>
      <c r="D818" s="406" t="s">
        <v>278</v>
      </c>
      <c r="E818" s="403">
        <v>15.76</v>
      </c>
      <c r="F818" s="403">
        <v>560</v>
      </c>
      <c r="G818" s="424">
        <f t="shared" si="31"/>
        <v>8825.6</v>
      </c>
    </row>
    <row r="819" spans="1:7">
      <c r="A819" s="154"/>
      <c r="B819" s="405"/>
      <c r="C819" s="497" t="s">
        <v>333</v>
      </c>
      <c r="D819" s="406" t="s">
        <v>278</v>
      </c>
      <c r="E819" s="403">
        <v>2</v>
      </c>
      <c r="F819" s="403">
        <v>560</v>
      </c>
      <c r="G819" s="424">
        <f t="shared" si="31"/>
        <v>1120</v>
      </c>
    </row>
    <row r="820" spans="1:7">
      <c r="A820" s="154"/>
      <c r="B820" s="406">
        <v>7</v>
      </c>
      <c r="C820" s="497" t="s">
        <v>417</v>
      </c>
      <c r="D820" s="406" t="s">
        <v>317</v>
      </c>
      <c r="E820" s="403">
        <v>7.88</v>
      </c>
      <c r="F820" s="403">
        <v>138.44999999999999</v>
      </c>
      <c r="G820" s="424">
        <f t="shared" si="31"/>
        <v>1090.99</v>
      </c>
    </row>
    <row r="821" spans="1:7">
      <c r="A821" s="154"/>
      <c r="B821" s="412"/>
      <c r="C821" s="413" t="s">
        <v>280</v>
      </c>
      <c r="D821" s="414"/>
      <c r="E821" s="415"/>
      <c r="F821" s="416" t="s">
        <v>268</v>
      </c>
      <c r="G821" s="417">
        <f>SUM(G809:G820)</f>
        <v>28335.540000000005</v>
      </c>
    </row>
    <row r="822" spans="1:7">
      <c r="A822" s="154"/>
      <c r="B822" s="156" t="s">
        <v>281</v>
      </c>
      <c r="C822" s="157"/>
      <c r="D822" s="156"/>
      <c r="E822" s="427">
        <v>1797.9</v>
      </c>
      <c r="F822" s="154"/>
      <c r="G822" s="154"/>
    </row>
    <row r="823" spans="1:7">
      <c r="A823" s="154"/>
      <c r="B823" s="156" t="s">
        <v>282</v>
      </c>
      <c r="C823" s="157"/>
      <c r="D823" s="428">
        <v>0.13615000000000002</v>
      </c>
      <c r="E823" s="427">
        <v>244.8</v>
      </c>
      <c r="F823" s="154"/>
      <c r="G823" s="154"/>
    </row>
    <row r="824" spans="1:7">
      <c r="A824" s="154"/>
      <c r="B824" s="156" t="s">
        <v>283</v>
      </c>
      <c r="C824" s="157"/>
      <c r="D824" s="156"/>
      <c r="E824" s="429">
        <f>SUM(E822:E823)</f>
        <v>2042.7</v>
      </c>
      <c r="F824" s="430"/>
      <c r="G824" s="154"/>
    </row>
    <row r="825" spans="1:7">
      <c r="A825" s="154"/>
      <c r="B825" s="154"/>
      <c r="C825" s="157"/>
      <c r="D825" s="154"/>
      <c r="E825" s="154"/>
      <c r="F825" s="154"/>
      <c r="G825" s="154"/>
    </row>
    <row r="826" spans="1:7">
      <c r="A826" s="154"/>
      <c r="B826" s="155" t="s">
        <v>284</v>
      </c>
      <c r="C826" s="157"/>
      <c r="D826" s="154"/>
      <c r="E826" s="154"/>
      <c r="F826" s="154"/>
      <c r="G826" s="154"/>
    </row>
    <row r="827" spans="1:7">
      <c r="A827" s="154"/>
      <c r="B827" s="157" t="s">
        <v>285</v>
      </c>
      <c r="C827" s="154"/>
      <c r="D827" s="154"/>
      <c r="E827" s="154"/>
      <c r="F827" s="395" t="s">
        <v>268</v>
      </c>
      <c r="G827" s="158">
        <f>G793</f>
        <v>47236.75</v>
      </c>
    </row>
    <row r="828" spans="1:7">
      <c r="A828" s="154"/>
      <c r="B828" s="157" t="s">
        <v>286</v>
      </c>
      <c r="C828" s="154"/>
      <c r="D828" s="154"/>
      <c r="E828" s="154"/>
      <c r="F828" s="395" t="s">
        <v>268</v>
      </c>
      <c r="G828" s="158">
        <f>G804</f>
        <v>1907.1</v>
      </c>
    </row>
    <row r="829" spans="1:7">
      <c r="A829" s="154"/>
      <c r="B829" s="157" t="s">
        <v>287</v>
      </c>
      <c r="C829" s="154"/>
      <c r="D829" s="154"/>
      <c r="E829" s="154"/>
      <c r="F829" s="395" t="s">
        <v>268</v>
      </c>
      <c r="G829" s="431">
        <f>G821</f>
        <v>28335.540000000005</v>
      </c>
    </row>
    <row r="830" spans="1:7">
      <c r="A830" s="154"/>
      <c r="B830" s="160"/>
      <c r="C830" s="154"/>
      <c r="D830" s="154"/>
      <c r="E830" s="395"/>
      <c r="F830" s="395" t="s">
        <v>288</v>
      </c>
      <c r="G830" s="432">
        <f>SUM(G827:G829)</f>
        <v>77479.39</v>
      </c>
    </row>
    <row r="831" spans="1:7">
      <c r="A831" s="154"/>
      <c r="B831" s="622" t="s">
        <v>289</v>
      </c>
      <c r="C831" s="622"/>
      <c r="D831" s="154"/>
      <c r="E831" s="428">
        <v>0.13615000000000002</v>
      </c>
      <c r="F831" s="157" t="s">
        <v>268</v>
      </c>
      <c r="G831" s="157">
        <f>G830*E831</f>
        <v>10548.818948500002</v>
      </c>
    </row>
    <row r="832" spans="1:7">
      <c r="A832" s="154"/>
      <c r="B832" s="157" t="s">
        <v>290</v>
      </c>
      <c r="C832" s="157"/>
      <c r="D832" s="158">
        <v>15.76</v>
      </c>
      <c r="E832" s="158" t="s">
        <v>106</v>
      </c>
      <c r="F832" s="157" t="s">
        <v>268</v>
      </c>
      <c r="G832" s="433">
        <f>G830+G831</f>
        <v>88028.208948500003</v>
      </c>
    </row>
    <row r="833" spans="1:7">
      <c r="A833" s="154"/>
      <c r="B833" s="155" t="s">
        <v>291</v>
      </c>
      <c r="C833" s="433" t="s">
        <v>106</v>
      </c>
      <c r="D833" s="157" t="s">
        <v>1004</v>
      </c>
      <c r="E833" s="154"/>
      <c r="F833" s="157" t="s">
        <v>293</v>
      </c>
      <c r="G833" s="433">
        <f>ROUND(G832/D832,1)</f>
        <v>5585.5</v>
      </c>
    </row>
    <row r="836" spans="1:7">
      <c r="B836" s="190" t="s">
        <v>336</v>
      </c>
    </row>
    <row r="837" spans="1:7">
      <c r="C837" s="161" t="s">
        <v>297</v>
      </c>
      <c r="D837" s="161" t="s">
        <v>101</v>
      </c>
      <c r="E837" s="161" t="s">
        <v>100</v>
      </c>
      <c r="F837" s="161" t="s">
        <v>103</v>
      </c>
      <c r="G837" s="161" t="s">
        <v>264</v>
      </c>
    </row>
    <row r="838" spans="1:7">
      <c r="B838" s="342">
        <v>1</v>
      </c>
      <c r="C838" s="497" t="s">
        <v>312</v>
      </c>
      <c r="D838" s="159" t="s">
        <v>106</v>
      </c>
      <c r="E838" s="431">
        <v>8.1951999999999998</v>
      </c>
      <c r="F838" s="436">
        <f>Lead!G7</f>
        <v>1139.7</v>
      </c>
      <c r="G838" s="436">
        <f t="shared" ref="G838:G840" si="32">ROUND(F838*E838,2)</f>
        <v>9340.07</v>
      </c>
    </row>
    <row r="839" spans="1:7">
      <c r="B839" s="342">
        <v>2</v>
      </c>
      <c r="C839" s="497" t="s">
        <v>313</v>
      </c>
      <c r="D839" s="159" t="s">
        <v>106</v>
      </c>
      <c r="E839" s="431">
        <v>4.4128000000000007</v>
      </c>
      <c r="F839" s="436">
        <f>F838</f>
        <v>1139.7</v>
      </c>
      <c r="G839" s="436">
        <f t="shared" si="32"/>
        <v>5029.2700000000004</v>
      </c>
    </row>
    <row r="840" spans="1:7">
      <c r="B840" s="342">
        <v>3</v>
      </c>
      <c r="C840" s="497" t="s">
        <v>314</v>
      </c>
      <c r="D840" s="159" t="s">
        <v>106</v>
      </c>
      <c r="E840" s="431">
        <v>7.0919999999999996</v>
      </c>
      <c r="F840" s="436">
        <f>Lead!G10</f>
        <v>695.1</v>
      </c>
      <c r="G840" s="436">
        <f t="shared" si="32"/>
        <v>4929.6499999999996</v>
      </c>
    </row>
    <row r="841" spans="1:7">
      <c r="E841" s="191"/>
      <c r="F841" s="163"/>
      <c r="G841" s="163">
        <f>SUM(G838:G840)</f>
        <v>19298.989999999998</v>
      </c>
    </row>
    <row r="842" spans="1:7">
      <c r="D842" s="161" t="s">
        <v>337</v>
      </c>
      <c r="E842" s="191"/>
      <c r="F842" s="163"/>
      <c r="G842" s="163">
        <f>ROUND(G841*13.615%,2)</f>
        <v>2627.56</v>
      </c>
    </row>
    <row r="843" spans="1:7">
      <c r="D843" s="161" t="s">
        <v>401</v>
      </c>
      <c r="E843" s="191"/>
      <c r="F843" s="163"/>
      <c r="G843" s="163">
        <f>G841+G842</f>
        <v>21926.55</v>
      </c>
    </row>
    <row r="844" spans="1:7" ht="15" customHeight="1">
      <c r="D844" s="161" t="s">
        <v>339</v>
      </c>
      <c r="G844" s="163">
        <f>ROUND(G843/D832,3)</f>
        <v>1391.279</v>
      </c>
    </row>
    <row r="845" spans="1:7" ht="15" customHeight="1">
      <c r="B845" s="190" t="s">
        <v>340</v>
      </c>
      <c r="F845" s="192" t="s">
        <v>268</v>
      </c>
      <c r="G845" s="163">
        <f>G844+G833</f>
        <v>6976.7790000000005</v>
      </c>
    </row>
    <row r="846" spans="1:7">
      <c r="F846" s="161" t="s">
        <v>134</v>
      </c>
      <c r="G846" s="166">
        <f>ROUND((G833+G844),1)</f>
        <v>6976.8</v>
      </c>
    </row>
    <row r="848" spans="1:7" ht="27" customHeight="1">
      <c r="A848" s="625" t="s">
        <v>428</v>
      </c>
      <c r="B848" s="161" t="s">
        <v>429</v>
      </c>
    </row>
    <row r="849" spans="1:7" ht="22.5" customHeight="1">
      <c r="A849" s="625"/>
      <c r="B849" s="161" t="s">
        <v>430</v>
      </c>
    </row>
    <row r="850" spans="1:7" ht="19.5" customHeight="1">
      <c r="A850" s="625"/>
      <c r="B850" s="161" t="s">
        <v>431</v>
      </c>
    </row>
    <row r="852" spans="1:7">
      <c r="A852" s="161" t="s">
        <v>258</v>
      </c>
      <c r="B852" s="161" t="s">
        <v>432</v>
      </c>
    </row>
    <row r="854" spans="1:7">
      <c r="A854" s="161" t="s">
        <v>252</v>
      </c>
      <c r="C854" s="161" t="s">
        <v>259</v>
      </c>
      <c r="E854" s="161" t="s">
        <v>433</v>
      </c>
      <c r="F854" s="161">
        <v>10</v>
      </c>
      <c r="G854" s="161" t="s">
        <v>434</v>
      </c>
    </row>
    <row r="855" spans="1:7">
      <c r="B855" s="161" t="s">
        <v>261</v>
      </c>
    </row>
    <row r="856" spans="1:7">
      <c r="B856" s="161" t="s">
        <v>232</v>
      </c>
      <c r="C856" s="161" t="s">
        <v>297</v>
      </c>
      <c r="D856" s="161" t="s">
        <v>101</v>
      </c>
      <c r="E856" s="161" t="s">
        <v>349</v>
      </c>
      <c r="F856" s="161" t="s">
        <v>350</v>
      </c>
      <c r="G856" s="161" t="s">
        <v>105</v>
      </c>
    </row>
    <row r="857" spans="1:7">
      <c r="B857" s="161">
        <v>1</v>
      </c>
      <c r="C857" s="161" t="s">
        <v>435</v>
      </c>
      <c r="D857" s="161" t="s">
        <v>436</v>
      </c>
      <c r="E857" s="161">
        <v>10</v>
      </c>
      <c r="F857" s="161">
        <v>176</v>
      </c>
      <c r="G857" s="161">
        <f>F857*E857</f>
        <v>1760</v>
      </c>
    </row>
    <row r="858" spans="1:7">
      <c r="C858" s="161" t="s">
        <v>267</v>
      </c>
      <c r="F858" s="161" t="s">
        <v>293</v>
      </c>
      <c r="G858" s="161">
        <f>G857</f>
        <v>1760</v>
      </c>
    </row>
    <row r="860" spans="1:7">
      <c r="B860" s="161" t="s">
        <v>356</v>
      </c>
    </row>
    <row r="861" spans="1:7">
      <c r="B861" s="161" t="s">
        <v>232</v>
      </c>
      <c r="C861" s="161" t="s">
        <v>270</v>
      </c>
      <c r="D861" s="161" t="s">
        <v>101</v>
      </c>
      <c r="E861" s="161" t="s">
        <v>100</v>
      </c>
      <c r="F861" s="161" t="s">
        <v>357</v>
      </c>
      <c r="G861" s="161" t="s">
        <v>105</v>
      </c>
    </row>
    <row r="862" spans="1:7">
      <c r="B862" s="161">
        <v>1</v>
      </c>
      <c r="C862" s="161" t="s">
        <v>398</v>
      </c>
      <c r="E862" s="161">
        <v>0</v>
      </c>
      <c r="F862" s="161">
        <v>0</v>
      </c>
    </row>
    <row r="863" spans="1:7">
      <c r="E863" s="161">
        <v>0</v>
      </c>
      <c r="F863" s="161">
        <v>0</v>
      </c>
    </row>
    <row r="864" spans="1:7">
      <c r="C864" s="161" t="s">
        <v>437</v>
      </c>
      <c r="F864" s="161" t="s">
        <v>293</v>
      </c>
      <c r="G864" s="161">
        <v>0</v>
      </c>
    </row>
    <row r="866" spans="2:7">
      <c r="B866" s="161" t="s">
        <v>361</v>
      </c>
    </row>
    <row r="867" spans="2:7">
      <c r="B867" s="161" t="s">
        <v>232</v>
      </c>
      <c r="C867" s="161" t="s">
        <v>297</v>
      </c>
      <c r="D867" s="161" t="s">
        <v>101</v>
      </c>
      <c r="E867" s="161" t="s">
        <v>349</v>
      </c>
      <c r="F867" s="161" t="s">
        <v>350</v>
      </c>
      <c r="G867" s="161" t="s">
        <v>105</v>
      </c>
    </row>
    <row r="868" spans="2:7">
      <c r="B868" s="161">
        <v>1</v>
      </c>
      <c r="C868" s="161" t="s">
        <v>438</v>
      </c>
      <c r="D868" s="161" t="s">
        <v>278</v>
      </c>
      <c r="E868" s="161">
        <v>0.25</v>
      </c>
      <c r="F868" s="161">
        <v>750</v>
      </c>
      <c r="G868" s="161">
        <f>F868*E868</f>
        <v>187.5</v>
      </c>
    </row>
    <row r="869" spans="2:7">
      <c r="B869" s="161">
        <v>2</v>
      </c>
      <c r="C869" s="161" t="s">
        <v>362</v>
      </c>
      <c r="D869" s="161" t="s">
        <v>278</v>
      </c>
      <c r="E869" s="161">
        <v>0.25</v>
      </c>
      <c r="F869" s="161">
        <v>560</v>
      </c>
      <c r="G869" s="161">
        <f>F869*E869</f>
        <v>140</v>
      </c>
    </row>
    <row r="870" spans="2:7">
      <c r="C870" s="161" t="s">
        <v>280</v>
      </c>
      <c r="F870" s="161" t="s">
        <v>293</v>
      </c>
      <c r="G870" s="161">
        <f>SUM(G868:G869)</f>
        <v>327.5</v>
      </c>
    </row>
    <row r="871" spans="2:7">
      <c r="B871" s="161" t="s">
        <v>281</v>
      </c>
      <c r="E871" s="164">
        <v>32.799999999999997</v>
      </c>
    </row>
    <row r="872" spans="2:7">
      <c r="B872" s="161" t="s">
        <v>282</v>
      </c>
      <c r="D872" s="161">
        <v>0.13614999999999999</v>
      </c>
      <c r="E872" s="164">
        <v>4.5</v>
      </c>
    </row>
    <row r="873" spans="2:7">
      <c r="B873" s="161" t="s">
        <v>283</v>
      </c>
      <c r="E873" s="165">
        <f>SUM(E871:E872)</f>
        <v>37.299999999999997</v>
      </c>
    </row>
    <row r="875" spans="2:7">
      <c r="B875" s="161" t="s">
        <v>363</v>
      </c>
    </row>
    <row r="876" spans="2:7">
      <c r="B876" s="161" t="s">
        <v>285</v>
      </c>
      <c r="F876" s="161" t="s">
        <v>293</v>
      </c>
      <c r="G876" s="161">
        <f>G858</f>
        <v>1760</v>
      </c>
    </row>
    <row r="877" spans="2:7">
      <c r="B877" s="161" t="s">
        <v>286</v>
      </c>
      <c r="F877" s="161" t="s">
        <v>293</v>
      </c>
      <c r="G877" s="161">
        <v>0</v>
      </c>
    </row>
    <row r="878" spans="2:7">
      <c r="B878" s="161" t="s">
        <v>287</v>
      </c>
      <c r="F878" s="161" t="s">
        <v>293</v>
      </c>
      <c r="G878" s="161">
        <f>G870</f>
        <v>327.5</v>
      </c>
    </row>
    <row r="879" spans="2:7">
      <c r="F879" s="161" t="s">
        <v>288</v>
      </c>
      <c r="G879" s="161">
        <f>SUM(G876:G878)</f>
        <v>2087.5</v>
      </c>
    </row>
    <row r="880" spans="2:7">
      <c r="B880" s="161" t="s">
        <v>289</v>
      </c>
      <c r="E880" s="161">
        <v>0.13614999999999999</v>
      </c>
      <c r="F880" s="161" t="s">
        <v>268</v>
      </c>
      <c r="G880" s="161">
        <f>G879*E880</f>
        <v>284.21312499999999</v>
      </c>
    </row>
    <row r="881" spans="1:7">
      <c r="B881" s="161" t="s">
        <v>290</v>
      </c>
      <c r="D881" s="161">
        <v>10</v>
      </c>
      <c r="E881" s="161" t="s">
        <v>434</v>
      </c>
      <c r="F881" s="161" t="s">
        <v>268</v>
      </c>
      <c r="G881" s="161">
        <f>SUM(G879:G880)</f>
        <v>2371.7131250000002</v>
      </c>
    </row>
    <row r="882" spans="1:7">
      <c r="B882" s="161" t="s">
        <v>291</v>
      </c>
      <c r="C882" s="161" t="s">
        <v>439</v>
      </c>
      <c r="D882" s="161" t="s">
        <v>440</v>
      </c>
      <c r="F882" s="161" t="s">
        <v>293</v>
      </c>
      <c r="G882" s="166">
        <f>ROUND(G881/10,1)</f>
        <v>237.2</v>
      </c>
    </row>
    <row r="886" spans="1:7">
      <c r="A886" s="623" t="s">
        <v>441</v>
      </c>
      <c r="B886" s="161" t="s">
        <v>442</v>
      </c>
    </row>
    <row r="887" spans="1:7">
      <c r="A887" s="623"/>
      <c r="B887" s="161" t="s">
        <v>443</v>
      </c>
    </row>
    <row r="888" spans="1:7">
      <c r="A888" s="623"/>
      <c r="B888" s="161" t="s">
        <v>444</v>
      </c>
    </row>
    <row r="889" spans="1:7">
      <c r="A889" s="623"/>
      <c r="B889" s="161" t="s">
        <v>445</v>
      </c>
    </row>
    <row r="892" spans="1:7">
      <c r="A892" s="161" t="s">
        <v>258</v>
      </c>
      <c r="C892" s="161" t="s">
        <v>259</v>
      </c>
      <c r="E892" s="161" t="s">
        <v>260</v>
      </c>
      <c r="F892" s="161">
        <v>10</v>
      </c>
      <c r="G892" s="161" t="s">
        <v>106</v>
      </c>
    </row>
    <row r="893" spans="1:7">
      <c r="B893" s="161" t="s">
        <v>261</v>
      </c>
    </row>
    <row r="894" spans="1:7">
      <c r="B894" s="161" t="s">
        <v>262</v>
      </c>
      <c r="C894" s="161" t="s">
        <v>297</v>
      </c>
      <c r="D894" s="161" t="s">
        <v>101</v>
      </c>
      <c r="E894" s="161" t="s">
        <v>100</v>
      </c>
      <c r="F894" s="161" t="s">
        <v>103</v>
      </c>
      <c r="G894" s="161" t="s">
        <v>264</v>
      </c>
    </row>
    <row r="895" spans="1:7">
      <c r="F895" s="161" t="s">
        <v>265</v>
      </c>
      <c r="G895" s="161" t="s">
        <v>265</v>
      </c>
    </row>
    <row r="896" spans="1:7">
      <c r="B896" s="161">
        <v>1</v>
      </c>
      <c r="C896" s="161" t="s">
        <v>294</v>
      </c>
      <c r="D896" s="161" t="s">
        <v>106</v>
      </c>
      <c r="E896" s="161">
        <v>12</v>
      </c>
      <c r="F896" s="161">
        <v>155</v>
      </c>
      <c r="G896" s="161">
        <f>F896*E896</f>
        <v>1860</v>
      </c>
    </row>
    <row r="897" spans="2:7">
      <c r="E897" s="161">
        <v>0</v>
      </c>
      <c r="F897" s="161">
        <v>0</v>
      </c>
      <c r="G897" s="161">
        <v>0</v>
      </c>
    </row>
    <row r="898" spans="2:7">
      <c r="C898" s="161" t="s">
        <v>267</v>
      </c>
      <c r="F898" s="161" t="s">
        <v>268</v>
      </c>
      <c r="G898" s="161">
        <f>SUM(G896:G897)</f>
        <v>1860</v>
      </c>
    </row>
    <row r="900" spans="2:7">
      <c r="B900" s="161" t="s">
        <v>269</v>
      </c>
    </row>
    <row r="901" spans="2:7">
      <c r="B901" s="161" t="s">
        <v>262</v>
      </c>
      <c r="C901" s="161" t="s">
        <v>270</v>
      </c>
      <c r="D901" s="161" t="s">
        <v>101</v>
      </c>
      <c r="E901" s="161" t="s">
        <v>100</v>
      </c>
      <c r="F901" s="161" t="s">
        <v>103</v>
      </c>
      <c r="G901" s="161" t="s">
        <v>264</v>
      </c>
    </row>
    <row r="902" spans="2:7">
      <c r="F902" s="161" t="s">
        <v>265</v>
      </c>
      <c r="G902" s="161" t="s">
        <v>265</v>
      </c>
    </row>
    <row r="903" spans="2:7">
      <c r="B903" s="161">
        <v>1</v>
      </c>
      <c r="C903" s="161" t="s">
        <v>398</v>
      </c>
      <c r="E903" s="161">
        <v>0</v>
      </c>
      <c r="F903" s="161">
        <v>0</v>
      </c>
      <c r="G903" s="161">
        <v>0</v>
      </c>
    </row>
    <row r="904" spans="2:7">
      <c r="E904" s="161">
        <v>0</v>
      </c>
      <c r="F904" s="161">
        <v>0</v>
      </c>
      <c r="G904" s="161">
        <v>0</v>
      </c>
    </row>
    <row r="905" spans="2:7">
      <c r="C905" s="161" t="s">
        <v>274</v>
      </c>
      <c r="F905" s="161" t="s">
        <v>268</v>
      </c>
      <c r="G905" s="161">
        <v>0</v>
      </c>
    </row>
    <row r="907" spans="2:7">
      <c r="B907" s="161" t="s">
        <v>275</v>
      </c>
    </row>
    <row r="908" spans="2:7">
      <c r="B908" s="161" t="s">
        <v>262</v>
      </c>
      <c r="C908" s="161" t="s">
        <v>270</v>
      </c>
      <c r="D908" s="161" t="s">
        <v>101</v>
      </c>
      <c r="E908" s="161" t="s">
        <v>100</v>
      </c>
      <c r="F908" s="161" t="s">
        <v>103</v>
      </c>
      <c r="G908" s="161" t="s">
        <v>264</v>
      </c>
    </row>
    <row r="909" spans="2:7">
      <c r="F909" s="161" t="s">
        <v>265</v>
      </c>
      <c r="G909" s="161" t="s">
        <v>265</v>
      </c>
    </row>
    <row r="910" spans="2:7">
      <c r="B910" s="161">
        <v>1</v>
      </c>
      <c r="C910" s="161" t="s">
        <v>446</v>
      </c>
      <c r="D910" s="161" t="s">
        <v>278</v>
      </c>
      <c r="E910" s="161">
        <v>0.5</v>
      </c>
      <c r="F910" s="161">
        <v>670</v>
      </c>
      <c r="G910" s="161">
        <f>F910*E910</f>
        <v>335</v>
      </c>
    </row>
    <row r="911" spans="2:7">
      <c r="B911" s="161">
        <v>2</v>
      </c>
      <c r="C911" s="161" t="s">
        <v>277</v>
      </c>
      <c r="D911" s="161" t="s">
        <v>278</v>
      </c>
      <c r="E911" s="161">
        <v>0.5</v>
      </c>
      <c r="F911" s="161">
        <v>730</v>
      </c>
      <c r="G911" s="161">
        <f t="shared" ref="G911:G912" si="33">F911*E911</f>
        <v>365</v>
      </c>
    </row>
    <row r="912" spans="2:7">
      <c r="B912" s="161">
        <v>3</v>
      </c>
      <c r="C912" s="161" t="s">
        <v>279</v>
      </c>
      <c r="D912" s="161" t="s">
        <v>278</v>
      </c>
      <c r="E912" s="161">
        <v>6</v>
      </c>
      <c r="F912" s="161">
        <v>560</v>
      </c>
      <c r="G912" s="161">
        <f t="shared" si="33"/>
        <v>3360</v>
      </c>
    </row>
    <row r="913" spans="2:7">
      <c r="C913" s="161" t="s">
        <v>280</v>
      </c>
      <c r="F913" s="161" t="s">
        <v>268</v>
      </c>
      <c r="G913" s="161">
        <f>SUM(G910:G912)</f>
        <v>4060</v>
      </c>
    </row>
    <row r="914" spans="2:7">
      <c r="B914" s="161" t="s">
        <v>281</v>
      </c>
      <c r="E914" s="164">
        <v>406</v>
      </c>
    </row>
    <row r="915" spans="2:7">
      <c r="B915" s="161" t="s">
        <v>282</v>
      </c>
      <c r="D915" s="161">
        <v>0.13614999999999999</v>
      </c>
      <c r="E915" s="164">
        <v>55.3</v>
      </c>
    </row>
    <row r="916" spans="2:7">
      <c r="B916" s="161" t="s">
        <v>283</v>
      </c>
      <c r="E916" s="165">
        <f>SUM(E914:E915)</f>
        <v>461.3</v>
      </c>
    </row>
    <row r="918" spans="2:7">
      <c r="B918" s="161" t="s">
        <v>284</v>
      </c>
    </row>
    <row r="919" spans="2:7">
      <c r="B919" s="161" t="s">
        <v>285</v>
      </c>
      <c r="F919" s="161" t="s">
        <v>268</v>
      </c>
      <c r="G919" s="161">
        <f>G898</f>
        <v>1860</v>
      </c>
    </row>
    <row r="920" spans="2:7">
      <c r="B920" s="161" t="s">
        <v>286</v>
      </c>
      <c r="F920" s="161" t="s">
        <v>268</v>
      </c>
      <c r="G920" s="161">
        <v>0</v>
      </c>
    </row>
    <row r="921" spans="2:7">
      <c r="B921" s="161" t="s">
        <v>287</v>
      </c>
      <c r="F921" s="161" t="s">
        <v>268</v>
      </c>
      <c r="G921" s="161">
        <f>G913</f>
        <v>4060</v>
      </c>
    </row>
    <row r="922" spans="2:7">
      <c r="F922" s="161" t="s">
        <v>288</v>
      </c>
      <c r="G922" s="161">
        <f>SUM(G919:G921)</f>
        <v>5920</v>
      </c>
    </row>
    <row r="923" spans="2:7">
      <c r="B923" s="161" t="s">
        <v>289</v>
      </c>
      <c r="E923" s="161">
        <v>0.13614999999999999</v>
      </c>
      <c r="F923" s="161" t="s">
        <v>268</v>
      </c>
      <c r="G923" s="161">
        <f>G922*E923</f>
        <v>806.00799999999992</v>
      </c>
    </row>
    <row r="924" spans="2:7">
      <c r="B924" s="161" t="s">
        <v>290</v>
      </c>
      <c r="D924" s="161">
        <v>10</v>
      </c>
      <c r="E924" s="161" t="s">
        <v>106</v>
      </c>
      <c r="F924" s="161" t="s">
        <v>268</v>
      </c>
      <c r="G924" s="161">
        <f>SUM(G922:G923)</f>
        <v>6726.0079999999998</v>
      </c>
    </row>
    <row r="925" spans="2:7">
      <c r="B925" s="190" t="s">
        <v>334</v>
      </c>
      <c r="D925" s="161" t="s">
        <v>440</v>
      </c>
      <c r="F925" s="161" t="s">
        <v>293</v>
      </c>
      <c r="G925" s="166">
        <f>ROUND(G924/10,2)</f>
        <v>672.6</v>
      </c>
    </row>
    <row r="927" spans="2:7">
      <c r="B927" s="190" t="s">
        <v>336</v>
      </c>
    </row>
    <row r="928" spans="2:7">
      <c r="C928" s="161" t="s">
        <v>297</v>
      </c>
      <c r="D928" s="161" t="s">
        <v>101</v>
      </c>
      <c r="E928" s="161" t="s">
        <v>100</v>
      </c>
      <c r="F928" s="161" t="s">
        <v>103</v>
      </c>
      <c r="G928" s="161" t="s">
        <v>264</v>
      </c>
    </row>
    <row r="929" spans="1:9">
      <c r="B929" s="161">
        <v>1</v>
      </c>
      <c r="C929" s="161" t="s">
        <v>294</v>
      </c>
      <c r="D929" s="161" t="s">
        <v>106</v>
      </c>
      <c r="E929" s="163">
        <f>E896</f>
        <v>12</v>
      </c>
      <c r="F929" s="163">
        <f>Lead!G12</f>
        <v>868.7</v>
      </c>
      <c r="G929" s="163">
        <f>ROUND(F929*E929,2)</f>
        <v>10424.4</v>
      </c>
    </row>
    <row r="930" spans="1:9">
      <c r="D930" s="161" t="s">
        <v>337</v>
      </c>
      <c r="E930" s="163"/>
      <c r="F930" s="163"/>
      <c r="G930" s="163">
        <f>ROUND(G929*13.615%,2)</f>
        <v>1419.28</v>
      </c>
    </row>
    <row r="931" spans="1:9">
      <c r="D931" s="161" t="s">
        <v>401</v>
      </c>
      <c r="E931" s="163"/>
      <c r="F931" s="163"/>
      <c r="G931" s="163">
        <f>SUM(G929:G930)</f>
        <v>11843.68</v>
      </c>
    </row>
    <row r="932" spans="1:9">
      <c r="D932" s="161" t="s">
        <v>339</v>
      </c>
      <c r="G932" s="163">
        <f>ROUND(G931/D924,1)</f>
        <v>1184.4000000000001</v>
      </c>
      <c r="I932" s="186"/>
    </row>
    <row r="933" spans="1:9">
      <c r="G933" s="163"/>
      <c r="I933" s="186"/>
    </row>
    <row r="934" spans="1:9">
      <c r="B934" s="190" t="s">
        <v>340</v>
      </c>
      <c r="F934" s="192" t="s">
        <v>268</v>
      </c>
      <c r="G934" s="166">
        <f>ROUND((G932+G925),1)</f>
        <v>1857</v>
      </c>
    </row>
    <row r="937" spans="1:9" ht="84">
      <c r="A937" s="510" t="s">
        <v>1032</v>
      </c>
      <c r="C937" s="222" t="s">
        <v>1031</v>
      </c>
      <c r="F937" s="162" t="s">
        <v>447</v>
      </c>
      <c r="G937" s="580">
        <v>6901</v>
      </c>
    </row>
    <row r="938" spans="1:9">
      <c r="A938" s="537"/>
      <c r="C938" s="222"/>
      <c r="D938" s="161" t="s">
        <v>1139</v>
      </c>
      <c r="F938" s="538"/>
      <c r="G938" s="580">
        <f>ROUND(G937*13.615%,1)</f>
        <v>939.6</v>
      </c>
    </row>
    <row r="939" spans="1:9">
      <c r="A939" s="537"/>
      <c r="C939" s="222"/>
      <c r="F939" s="538"/>
      <c r="G939" s="223"/>
    </row>
    <row r="940" spans="1:9">
      <c r="A940" s="537"/>
      <c r="C940" s="222"/>
      <c r="D940" s="161" t="s">
        <v>1140</v>
      </c>
      <c r="F940" s="538"/>
      <c r="G940" s="223">
        <f>G938+G937</f>
        <v>7840.6</v>
      </c>
    </row>
    <row r="942" spans="1:9" ht="84">
      <c r="A942" s="510" t="s">
        <v>1033</v>
      </c>
      <c r="C942" s="222" t="s">
        <v>1034</v>
      </c>
      <c r="F942" s="511" t="s">
        <v>447</v>
      </c>
      <c r="G942" s="580">
        <v>2867</v>
      </c>
    </row>
    <row r="943" spans="1:9">
      <c r="D943" s="161" t="s">
        <v>1139</v>
      </c>
      <c r="G943" s="579">
        <f>ROUND(G942*13.615%,1)</f>
        <v>390.3</v>
      </c>
    </row>
    <row r="945" spans="4:7">
      <c r="D945" s="161" t="s">
        <v>1140</v>
      </c>
      <c r="G945" s="581">
        <f>G943+G942</f>
        <v>3257.3</v>
      </c>
    </row>
    <row r="1024" ht="18" customHeight="1"/>
  </sheetData>
  <mergeCells count="31">
    <mergeCell ref="A199:A204"/>
    <mergeCell ref="B328:D328"/>
    <mergeCell ref="A1:G1"/>
    <mergeCell ref="A2:G2"/>
    <mergeCell ref="B115:D115"/>
    <mergeCell ref="C307:E307"/>
    <mergeCell ref="A3:A6"/>
    <mergeCell ref="A118:A125"/>
    <mergeCell ref="A295:A298"/>
    <mergeCell ref="B74:E74"/>
    <mergeCell ref="B87:E87"/>
    <mergeCell ref="B97:D97"/>
    <mergeCell ref="A45:A48"/>
    <mergeCell ref="B221:E221"/>
    <mergeCell ref="B243:E243"/>
    <mergeCell ref="B262:E262"/>
    <mergeCell ref="B276:D276"/>
    <mergeCell ref="B371:D371"/>
    <mergeCell ref="A333:A335"/>
    <mergeCell ref="B385:G385"/>
    <mergeCell ref="B279:C279"/>
    <mergeCell ref="B588:C588"/>
    <mergeCell ref="A886:A889"/>
    <mergeCell ref="A431:A434"/>
    <mergeCell ref="A471:A473"/>
    <mergeCell ref="A608:A614"/>
    <mergeCell ref="A693:A699"/>
    <mergeCell ref="A848:A850"/>
    <mergeCell ref="A523:A529"/>
    <mergeCell ref="A774:A779"/>
    <mergeCell ref="B831:C831"/>
  </mergeCells>
  <printOptions gridLines="1"/>
  <pageMargins left="0.70069444444444495" right="0.70069444444444495" top="0.7" bottom="0.55486111111111103" header="0.29861111111111099" footer="0.29861111111111099"/>
  <pageSetup paperSize="9" orientation="portrait" r:id="rId1"/>
</worksheet>
</file>

<file path=xl/worksheets/sheet11.xml><?xml version="1.0" encoding="utf-8"?>
<worksheet xmlns="http://schemas.openxmlformats.org/spreadsheetml/2006/main" xmlns:r="http://schemas.openxmlformats.org/officeDocument/2006/relationships">
  <sheetPr>
    <tabColor rgb="FF00B050"/>
  </sheetPr>
  <dimension ref="A1:I21"/>
  <sheetViews>
    <sheetView workbookViewId="0">
      <selection activeCell="N10" sqref="N10"/>
    </sheetView>
  </sheetViews>
  <sheetFormatPr defaultColWidth="9.140625" defaultRowHeight="12.75"/>
  <cols>
    <col min="1" max="1" width="5.5703125" style="13" customWidth="1"/>
    <col min="2" max="2" width="15" style="13" customWidth="1"/>
    <col min="3" max="3" width="15.140625" style="13" customWidth="1"/>
    <col min="4" max="4" width="7.140625" style="13" customWidth="1"/>
    <col min="5" max="5" width="13.7109375" style="13" customWidth="1"/>
    <col min="6" max="6" width="7" style="13" customWidth="1"/>
    <col min="7" max="7" width="11.5703125" style="13" customWidth="1"/>
    <col min="8" max="8" width="9.85546875" style="13" customWidth="1"/>
    <col min="9" max="16384" width="9.140625" style="13"/>
  </cols>
  <sheetData>
    <row r="1" spans="1:9" s="9" customFormat="1" ht="25.5" customHeight="1">
      <c r="A1" s="646" t="s">
        <v>677</v>
      </c>
      <c r="B1" s="646"/>
      <c r="C1" s="646"/>
      <c r="D1" s="646"/>
      <c r="E1" s="646"/>
      <c r="F1" s="646"/>
      <c r="G1" s="646"/>
    </row>
    <row r="2" spans="1:9" s="10" customFormat="1" ht="52.5" customHeight="1">
      <c r="A2" s="647" t="str">
        <f>Absrtact!A2</f>
        <v>Name of the Work : Formation of New Channel with CC lining in Godavari Delta System</v>
      </c>
      <c r="B2" s="647"/>
      <c r="C2" s="647"/>
      <c r="D2" s="647"/>
      <c r="E2" s="647"/>
      <c r="F2" s="647"/>
      <c r="G2" s="647"/>
      <c r="H2" s="647"/>
    </row>
    <row r="3" spans="1:9" s="11" customFormat="1" ht="38.25">
      <c r="A3" s="11" t="s">
        <v>234</v>
      </c>
      <c r="B3" s="14" t="s">
        <v>678</v>
      </c>
      <c r="C3" s="14" t="s">
        <v>679</v>
      </c>
      <c r="D3" s="15" t="s">
        <v>101</v>
      </c>
      <c r="E3" s="14" t="s">
        <v>680</v>
      </c>
      <c r="F3" s="14" t="s">
        <v>681</v>
      </c>
      <c r="G3" s="14" t="s">
        <v>682</v>
      </c>
      <c r="H3" s="16" t="s">
        <v>238</v>
      </c>
    </row>
    <row r="4" spans="1:9" s="11" customFormat="1">
      <c r="A4" s="297" t="s">
        <v>153</v>
      </c>
      <c r="B4" s="297" t="s">
        <v>154</v>
      </c>
      <c r="C4" s="297" t="s">
        <v>155</v>
      </c>
      <c r="D4" s="297" t="s">
        <v>156</v>
      </c>
      <c r="E4" s="297" t="s">
        <v>157</v>
      </c>
      <c r="F4" s="297" t="s">
        <v>158</v>
      </c>
      <c r="G4" s="297" t="s">
        <v>159</v>
      </c>
      <c r="H4" s="297" t="s">
        <v>160</v>
      </c>
    </row>
    <row r="5" spans="1:9" s="12" customFormat="1" ht="24.95" customHeight="1">
      <c r="A5" s="17">
        <v>1</v>
      </c>
      <c r="B5" s="17" t="s">
        <v>353</v>
      </c>
      <c r="C5" s="11" t="s">
        <v>683</v>
      </c>
      <c r="D5" s="11" t="s">
        <v>310</v>
      </c>
      <c r="E5" s="18">
        <v>4.22</v>
      </c>
    </row>
    <row r="6" spans="1:9" s="12" customFormat="1" ht="24.95" customHeight="1">
      <c r="A6" s="17">
        <v>3</v>
      </c>
      <c r="B6" s="17" t="s">
        <v>684</v>
      </c>
      <c r="C6" s="11" t="s">
        <v>685</v>
      </c>
      <c r="D6" s="11" t="s">
        <v>132</v>
      </c>
      <c r="E6" s="18">
        <v>753</v>
      </c>
      <c r="F6" s="18">
        <v>87</v>
      </c>
      <c r="G6" s="18">
        <f>ROUND(G16+(25*G17)+((F6-30)*G18),2)</f>
        <v>1139.7</v>
      </c>
      <c r="H6" s="11"/>
    </row>
    <row r="7" spans="1:9" ht="24.95" customHeight="1">
      <c r="A7" s="17">
        <v>4</v>
      </c>
      <c r="B7" s="17" t="s">
        <v>686</v>
      </c>
      <c r="C7" s="11" t="s">
        <v>685</v>
      </c>
      <c r="D7" s="11" t="s">
        <v>132</v>
      </c>
      <c r="E7" s="18">
        <v>1380</v>
      </c>
      <c r="F7" s="18">
        <f>F6</f>
        <v>87</v>
      </c>
      <c r="G7" s="18">
        <f>G6</f>
        <v>1139.7</v>
      </c>
      <c r="H7" s="11"/>
    </row>
    <row r="8" spans="1:9" ht="24.95" customHeight="1">
      <c r="A8" s="17">
        <v>5</v>
      </c>
      <c r="B8" s="17" t="s">
        <v>687</v>
      </c>
      <c r="C8" s="11" t="s">
        <v>685</v>
      </c>
      <c r="D8" s="11" t="s">
        <v>132</v>
      </c>
      <c r="E8" s="18">
        <v>1445</v>
      </c>
      <c r="F8" s="18">
        <f>F7</f>
        <v>87</v>
      </c>
      <c r="G8" s="18">
        <f>G6</f>
        <v>1139.7</v>
      </c>
      <c r="H8" s="11"/>
    </row>
    <row r="9" spans="1:9" ht="30.75" customHeight="1">
      <c r="A9" s="17">
        <v>6</v>
      </c>
      <c r="B9" s="19" t="s">
        <v>688</v>
      </c>
      <c r="C9" s="11" t="s">
        <v>685</v>
      </c>
      <c r="D9" s="11" t="s">
        <v>132</v>
      </c>
      <c r="E9" s="18">
        <v>1052</v>
      </c>
      <c r="F9" s="18">
        <f>F8</f>
        <v>87</v>
      </c>
      <c r="G9" s="18">
        <f>G6</f>
        <v>1139.7</v>
      </c>
      <c r="H9" s="11"/>
    </row>
    <row r="10" spans="1:9" ht="24.95" customHeight="1">
      <c r="A10" s="17">
        <v>7</v>
      </c>
      <c r="B10" s="17" t="s">
        <v>689</v>
      </c>
      <c r="C10" s="11" t="s">
        <v>690</v>
      </c>
      <c r="D10" s="11" t="s">
        <v>132</v>
      </c>
      <c r="E10" s="18">
        <v>460</v>
      </c>
      <c r="F10" s="18">
        <v>48</v>
      </c>
      <c r="G10" s="18">
        <f>ROUND(E16+(25*E17)+((F10-30)*E18),2)</f>
        <v>695.1</v>
      </c>
      <c r="H10" s="11"/>
    </row>
    <row r="11" spans="1:9" ht="24.95" customHeight="1">
      <c r="A11" s="17">
        <v>8</v>
      </c>
      <c r="B11" s="17" t="s">
        <v>691</v>
      </c>
      <c r="C11" s="11" t="s">
        <v>690</v>
      </c>
      <c r="D11" s="11" t="s">
        <v>132</v>
      </c>
      <c r="E11" s="18">
        <v>605</v>
      </c>
      <c r="F11" s="18">
        <v>48</v>
      </c>
      <c r="G11" s="18">
        <f>G10</f>
        <v>695.1</v>
      </c>
      <c r="H11" s="11"/>
    </row>
    <row r="12" spans="1:9" ht="24.95" customHeight="1">
      <c r="A12" s="17">
        <v>9</v>
      </c>
      <c r="B12" s="17" t="s">
        <v>692</v>
      </c>
      <c r="C12" s="11" t="s">
        <v>693</v>
      </c>
      <c r="D12" s="11" t="s">
        <v>132</v>
      </c>
      <c r="E12" s="298">
        <v>1.5419354838709678</v>
      </c>
      <c r="F12" s="18">
        <v>62</v>
      </c>
      <c r="G12" s="18">
        <f>ROUND(E16+(25*E17)+((F12-30)*E18),2)</f>
        <v>868.7</v>
      </c>
      <c r="H12" s="11"/>
      <c r="I12" s="18"/>
    </row>
    <row r="13" spans="1:9" ht="24.95" customHeight="1">
      <c r="A13" s="17"/>
      <c r="B13" s="17"/>
      <c r="C13" s="11"/>
      <c r="D13" s="11"/>
      <c r="E13" s="18"/>
      <c r="F13" s="18"/>
      <c r="G13" s="18"/>
      <c r="H13" s="11"/>
      <c r="I13" s="18"/>
    </row>
    <row r="14" spans="1:9" ht="24.95" customHeight="1">
      <c r="A14" s="17"/>
      <c r="B14" s="17"/>
      <c r="C14" s="11"/>
      <c r="D14" s="11"/>
      <c r="E14" s="18"/>
      <c r="F14" s="18"/>
      <c r="G14" s="18"/>
      <c r="H14" s="11"/>
      <c r="I14" s="18"/>
    </row>
    <row r="15" spans="1:9" ht="33" customHeight="1">
      <c r="A15" s="17"/>
      <c r="B15" s="17"/>
      <c r="C15" s="11"/>
      <c r="D15" s="11"/>
      <c r="E15" s="18" t="s">
        <v>694</v>
      </c>
      <c r="F15" s="18"/>
      <c r="G15" s="20" t="s">
        <v>695</v>
      </c>
    </row>
    <row r="16" spans="1:9" ht="24.95" customHeight="1">
      <c r="A16" s="17"/>
      <c r="B16" s="17" t="s">
        <v>696</v>
      </c>
      <c r="C16" s="11"/>
      <c r="D16" s="11" t="s">
        <v>293</v>
      </c>
      <c r="E16" s="18">
        <v>99.4</v>
      </c>
      <c r="F16" s="12"/>
      <c r="G16" s="18">
        <v>95.7</v>
      </c>
    </row>
    <row r="17" spans="1:7" ht="24.95" customHeight="1">
      <c r="A17" s="17"/>
      <c r="B17" s="17" t="s">
        <v>697</v>
      </c>
      <c r="C17" s="11"/>
      <c r="D17" s="11" t="s">
        <v>293</v>
      </c>
      <c r="E17" s="18">
        <v>14.9</v>
      </c>
      <c r="F17" s="11"/>
      <c r="G17" s="18">
        <v>14.4</v>
      </c>
    </row>
    <row r="18" spans="1:7" ht="20.25" customHeight="1">
      <c r="A18" s="17"/>
      <c r="B18" s="17" t="s">
        <v>698</v>
      </c>
      <c r="C18" s="11"/>
      <c r="D18" s="11" t="s">
        <v>293</v>
      </c>
      <c r="E18" s="18">
        <v>12.4</v>
      </c>
      <c r="F18" s="11"/>
      <c r="G18" s="18">
        <v>12</v>
      </c>
    </row>
    <row r="19" spans="1:7" ht="20.100000000000001" customHeight="1">
      <c r="B19" s="21" t="s">
        <v>699</v>
      </c>
    </row>
    <row r="20" spans="1:7" ht="20.100000000000001" customHeight="1">
      <c r="B20" s="21" t="s">
        <v>700</v>
      </c>
    </row>
    <row r="21" spans="1:7" ht="26.25" customHeight="1">
      <c r="B21" s="648" t="s">
        <v>1149</v>
      </c>
      <c r="C21" s="648"/>
      <c r="D21" s="648"/>
      <c r="E21" s="648"/>
      <c r="F21" s="648"/>
      <c r="G21" s="648"/>
    </row>
  </sheetData>
  <mergeCells count="3">
    <mergeCell ref="A1:G1"/>
    <mergeCell ref="A2:H2"/>
    <mergeCell ref="B21:G21"/>
  </mergeCells>
  <printOptions gridLine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tabColor rgb="FF00B050"/>
  </sheetPr>
  <dimension ref="A1:Q50"/>
  <sheetViews>
    <sheetView workbookViewId="0">
      <selection activeCell="Z19" sqref="Z18:Z19"/>
    </sheetView>
  </sheetViews>
  <sheetFormatPr defaultColWidth="9.140625" defaultRowHeight="15"/>
  <cols>
    <col min="1" max="1" width="4.140625" style="3" customWidth="1"/>
    <col min="2" max="2" width="1.7109375" style="3" customWidth="1"/>
    <col min="3" max="6" width="4.28515625" style="3" customWidth="1"/>
    <col min="7" max="7" width="5" style="3" customWidth="1"/>
    <col min="8" max="8" width="3.7109375" style="3" customWidth="1"/>
    <col min="9" max="9" width="4.5703125" style="3" customWidth="1"/>
    <col min="10" max="10" width="3.42578125" style="3" customWidth="1"/>
    <col min="11" max="11" width="7.140625" style="3" customWidth="1"/>
    <col min="12" max="12" width="3.42578125" style="3" customWidth="1"/>
    <col min="13" max="13" width="5.5703125" style="3" customWidth="1"/>
    <col min="14" max="14" width="3" style="3" customWidth="1"/>
    <col min="15" max="15" width="9.140625" style="3"/>
    <col min="16" max="16" width="5.7109375" style="3" customWidth="1"/>
    <col min="17" max="16384" width="9.140625" style="3"/>
  </cols>
  <sheetData>
    <row r="1" spans="1:17" ht="24" customHeight="1">
      <c r="A1" s="665" t="s">
        <v>1005</v>
      </c>
      <c r="B1" s="665"/>
      <c r="C1" s="665"/>
      <c r="D1" s="665"/>
      <c r="E1" s="665"/>
      <c r="F1" s="665"/>
      <c r="G1" s="665"/>
      <c r="H1" s="665"/>
      <c r="I1" s="665"/>
      <c r="J1" s="665"/>
      <c r="K1" s="665"/>
      <c r="L1" s="665"/>
      <c r="M1" s="665"/>
      <c r="N1" s="665"/>
      <c r="O1" s="665"/>
      <c r="P1" s="665"/>
      <c r="Q1" s="665"/>
    </row>
    <row r="2" spans="1:17">
      <c r="N2" s="666" t="s">
        <v>14</v>
      </c>
      <c r="O2" s="666"/>
      <c r="P2" s="666"/>
    </row>
    <row r="3" spans="1:17">
      <c r="N3" s="666"/>
      <c r="O3" s="666"/>
      <c r="P3" s="666"/>
    </row>
    <row r="4" spans="1:17">
      <c r="O4" s="667" t="s">
        <v>921</v>
      </c>
      <c r="P4" s="3" t="s">
        <v>701</v>
      </c>
    </row>
    <row r="5" spans="1:17">
      <c r="I5" s="660" t="s">
        <v>922</v>
      </c>
      <c r="L5" s="660" t="s">
        <v>1114</v>
      </c>
      <c r="O5" s="667"/>
    </row>
    <row r="6" spans="1:17" ht="22.5" customHeight="1">
      <c r="I6" s="669"/>
      <c r="L6" s="669"/>
      <c r="O6" s="667"/>
    </row>
    <row r="7" spans="1:17">
      <c r="C7" s="74"/>
      <c r="D7" s="74"/>
      <c r="E7" s="74"/>
      <c r="F7" s="474"/>
      <c r="G7" s="650"/>
      <c r="H7" s="650"/>
      <c r="I7" s="487"/>
      <c r="J7" s="650"/>
      <c r="K7" s="650"/>
      <c r="L7" s="487"/>
      <c r="M7" s="670"/>
      <c r="N7" s="671"/>
      <c r="O7" s="667"/>
      <c r="P7" s="3" t="s">
        <v>923</v>
      </c>
    </row>
    <row r="8" spans="1:17">
      <c r="G8" s="488" t="s">
        <v>924</v>
      </c>
      <c r="M8" s="649" t="s">
        <v>925</v>
      </c>
      <c r="N8" s="649"/>
      <c r="O8" s="667"/>
    </row>
    <row r="9" spans="1:17">
      <c r="G9" s="489" t="s">
        <v>926</v>
      </c>
      <c r="O9" s="667"/>
    </row>
    <row r="10" spans="1:17">
      <c r="O10" s="667"/>
    </row>
    <row r="11" spans="1:17" ht="11.1" customHeight="1">
      <c r="K11" s="672" t="s">
        <v>927</v>
      </c>
      <c r="L11" s="672"/>
      <c r="M11" s="672"/>
      <c r="N11" s="672"/>
      <c r="O11" s="667"/>
      <c r="P11" s="490" t="s">
        <v>928</v>
      </c>
    </row>
    <row r="12" spans="1:17" ht="11.1" customHeight="1">
      <c r="L12" s="74"/>
      <c r="M12" s="74"/>
      <c r="N12" s="74"/>
      <c r="O12" s="667"/>
      <c r="P12" s="490"/>
    </row>
    <row r="13" spans="1:17" ht="11.1" customHeight="1">
      <c r="K13" s="672" t="s">
        <v>929</v>
      </c>
      <c r="L13" s="672"/>
      <c r="M13" s="672"/>
      <c r="N13" s="672"/>
      <c r="O13" s="667"/>
      <c r="P13" s="490" t="s">
        <v>930</v>
      </c>
    </row>
    <row r="14" spans="1:17" ht="11.1" customHeight="1">
      <c r="L14" s="74"/>
      <c r="M14" s="74"/>
      <c r="N14" s="74"/>
      <c r="O14" s="667"/>
      <c r="P14" s="490"/>
    </row>
    <row r="15" spans="1:17" ht="11.1" customHeight="1">
      <c r="K15" s="672" t="s">
        <v>931</v>
      </c>
      <c r="L15" s="672"/>
      <c r="M15" s="672"/>
      <c r="N15" s="672"/>
      <c r="O15" s="667"/>
      <c r="P15" s="490" t="s">
        <v>932</v>
      </c>
    </row>
    <row r="16" spans="1:17">
      <c r="H16" s="660" t="s">
        <v>933</v>
      </c>
      <c r="J16" s="660" t="s">
        <v>934</v>
      </c>
      <c r="L16" s="660" t="s">
        <v>935</v>
      </c>
      <c r="O16" s="667"/>
    </row>
    <row r="17" spans="5:16">
      <c r="H17" s="660"/>
      <c r="J17" s="660"/>
      <c r="L17" s="660"/>
      <c r="O17" s="667"/>
    </row>
    <row r="18" spans="5:16" ht="15" customHeight="1">
      <c r="H18" s="660"/>
      <c r="J18" s="660"/>
      <c r="L18" s="660"/>
      <c r="O18" s="668"/>
    </row>
    <row r="19" spans="5:16" ht="12.75" customHeight="1">
      <c r="E19" s="491"/>
      <c r="F19" s="664"/>
      <c r="G19" s="664"/>
      <c r="H19" s="492"/>
      <c r="I19" s="492"/>
      <c r="J19" s="492"/>
      <c r="K19" s="492"/>
      <c r="L19" s="492"/>
      <c r="M19" s="662"/>
      <c r="N19" s="663"/>
      <c r="O19" s="493"/>
      <c r="P19" s="494" t="s">
        <v>936</v>
      </c>
    </row>
    <row r="20" spans="5:16">
      <c r="F20" s="488" t="s">
        <v>937</v>
      </c>
      <c r="M20" s="649" t="s">
        <v>925</v>
      </c>
      <c r="N20" s="659"/>
      <c r="O20" s="656"/>
    </row>
    <row r="21" spans="5:16" ht="36.75" customHeight="1">
      <c r="F21" s="494" t="s">
        <v>938</v>
      </c>
      <c r="O21" s="661"/>
    </row>
    <row r="22" spans="5:16" ht="12.75" customHeight="1">
      <c r="O22" s="491"/>
      <c r="P22" s="3" t="s">
        <v>939</v>
      </c>
    </row>
    <row r="23" spans="5:16" ht="40.5" customHeight="1">
      <c r="O23" s="491"/>
    </row>
    <row r="24" spans="5:16" ht="12" customHeight="1">
      <c r="O24" s="491"/>
      <c r="P24" s="3" t="s">
        <v>940</v>
      </c>
    </row>
    <row r="25" spans="5:16" ht="33.75" customHeight="1">
      <c r="O25" s="491"/>
    </row>
    <row r="26" spans="5:16" ht="10.5" customHeight="1">
      <c r="O26" s="491"/>
      <c r="P26" s="3" t="s">
        <v>941</v>
      </c>
    </row>
    <row r="27" spans="5:16" ht="33" customHeight="1">
      <c r="J27" s="660" t="s">
        <v>1111</v>
      </c>
      <c r="L27" s="660" t="s">
        <v>1110</v>
      </c>
      <c r="O27" s="491"/>
    </row>
    <row r="28" spans="5:16" ht="11.25" customHeight="1">
      <c r="J28" s="660"/>
      <c r="L28" s="660"/>
      <c r="O28" s="491"/>
      <c r="P28" s="3" t="s">
        <v>942</v>
      </c>
    </row>
    <row r="29" spans="5:16" ht="15" customHeight="1">
      <c r="J29" s="660"/>
      <c r="L29" s="660"/>
      <c r="O29" s="656"/>
    </row>
    <row r="30" spans="5:16" ht="9.9499999999999993" customHeight="1">
      <c r="J30" s="660"/>
      <c r="L30" s="660"/>
      <c r="O30" s="657"/>
    </row>
    <row r="31" spans="5:16">
      <c r="G31" s="491"/>
      <c r="H31" s="650"/>
      <c r="I31" s="650"/>
      <c r="J31" s="492"/>
      <c r="K31" s="492"/>
      <c r="L31" s="492"/>
      <c r="M31" s="492"/>
      <c r="N31" s="492"/>
      <c r="O31" s="657"/>
      <c r="P31" s="3" t="s">
        <v>943</v>
      </c>
    </row>
    <row r="32" spans="5:16" ht="13.5" customHeight="1">
      <c r="H32" s="488" t="s">
        <v>944</v>
      </c>
      <c r="M32" s="649" t="s">
        <v>925</v>
      </c>
      <c r="N32" s="659"/>
      <c r="O32" s="661"/>
    </row>
    <row r="33" spans="1:16" ht="14.25" customHeight="1">
      <c r="G33" s="495" t="s">
        <v>945</v>
      </c>
      <c r="O33" s="491"/>
      <c r="P33" s="3" t="s">
        <v>946</v>
      </c>
    </row>
    <row r="34" spans="1:16" ht="15" customHeight="1">
      <c r="O34" s="650"/>
    </row>
    <row r="35" spans="1:16" ht="15" customHeight="1">
      <c r="O35" s="650"/>
    </row>
    <row r="36" spans="1:16" ht="13.5" customHeight="1">
      <c r="O36" s="487"/>
      <c r="P36" s="3" t="s">
        <v>702</v>
      </c>
    </row>
    <row r="37" spans="1:16" ht="11.25" customHeight="1">
      <c r="O37" s="656"/>
    </row>
    <row r="38" spans="1:16" ht="3" customHeight="1">
      <c r="O38" s="657"/>
    </row>
    <row r="39" spans="1:16" ht="6" customHeight="1">
      <c r="O39" s="657"/>
    </row>
    <row r="40" spans="1:16" ht="9.9499999999999993" customHeight="1">
      <c r="O40" s="658"/>
    </row>
    <row r="41" spans="1:16" ht="12" customHeight="1">
      <c r="A41" s="491"/>
      <c r="B41" s="234"/>
      <c r="C41" s="651" t="s">
        <v>947</v>
      </c>
      <c r="D41" s="652"/>
      <c r="E41" s="652"/>
      <c r="O41" s="491"/>
      <c r="P41" s="3" t="s">
        <v>948</v>
      </c>
    </row>
    <row r="42" spans="1:16" ht="16.5" customHeight="1">
      <c r="A42" s="234"/>
      <c r="B42" s="234"/>
      <c r="O42" s="528"/>
    </row>
    <row r="43" spans="1:16" ht="12" customHeight="1">
      <c r="A43" s="491"/>
      <c r="B43" s="234"/>
      <c r="C43" s="651" t="s">
        <v>239</v>
      </c>
      <c r="D43" s="651"/>
      <c r="E43" s="651"/>
      <c r="K43" s="522"/>
      <c r="L43" s="522"/>
      <c r="M43" s="522"/>
      <c r="N43" s="523"/>
      <c r="O43" s="496"/>
      <c r="P43" s="3" t="s">
        <v>949</v>
      </c>
    </row>
    <row r="44" spans="1:16">
      <c r="A44" s="234"/>
      <c r="B44" s="234"/>
      <c r="C44" s="234"/>
      <c r="O44" s="529"/>
    </row>
    <row r="45" spans="1:16">
      <c r="A45" s="491"/>
      <c r="B45" s="234"/>
      <c r="C45" s="651" t="s">
        <v>240</v>
      </c>
      <c r="D45" s="651"/>
      <c r="E45" s="651"/>
      <c r="O45" s="530"/>
    </row>
    <row r="46" spans="1:16" ht="11.25" customHeight="1">
      <c r="A46" s="234"/>
      <c r="B46" s="234"/>
      <c r="C46" s="234"/>
      <c r="O46" s="496"/>
      <c r="P46" s="3" t="s">
        <v>950</v>
      </c>
    </row>
    <row r="47" spans="1:16">
      <c r="A47" s="491"/>
      <c r="B47" s="234"/>
      <c r="C47" s="651" t="s">
        <v>951</v>
      </c>
      <c r="D47" s="652"/>
      <c r="E47" s="652"/>
      <c r="O47" s="653" t="s">
        <v>921</v>
      </c>
    </row>
    <row r="48" spans="1:16">
      <c r="O48" s="654"/>
    </row>
    <row r="49" spans="6:16">
      <c r="F49" s="491"/>
      <c r="G49" s="650" t="s">
        <v>952</v>
      </c>
      <c r="H49" s="650"/>
      <c r="I49" s="650"/>
      <c r="J49" s="650"/>
      <c r="K49" s="650"/>
      <c r="L49" s="650"/>
      <c r="M49" s="650"/>
      <c r="N49" s="487"/>
      <c r="O49" s="655"/>
      <c r="P49" s="3" t="s">
        <v>953</v>
      </c>
    </row>
    <row r="50" spans="6:16">
      <c r="G50" s="488" t="s">
        <v>954</v>
      </c>
      <c r="M50" s="649" t="s">
        <v>925</v>
      </c>
      <c r="N50" s="649"/>
      <c r="O50" s="491"/>
    </row>
  </sheetData>
  <mergeCells count="33">
    <mergeCell ref="F19:G19"/>
    <mergeCell ref="A1:Q1"/>
    <mergeCell ref="N2:P3"/>
    <mergeCell ref="O4:O18"/>
    <mergeCell ref="I5:I6"/>
    <mergeCell ref="L5:L6"/>
    <mergeCell ref="G7:H7"/>
    <mergeCell ref="J7:K7"/>
    <mergeCell ref="M7:N7"/>
    <mergeCell ref="M8:N8"/>
    <mergeCell ref="K11:N11"/>
    <mergeCell ref="K13:N13"/>
    <mergeCell ref="K15:N15"/>
    <mergeCell ref="H16:H18"/>
    <mergeCell ref="J16:J18"/>
    <mergeCell ref="H31:I31"/>
    <mergeCell ref="M32:N32"/>
    <mergeCell ref="L16:L18"/>
    <mergeCell ref="O20:O21"/>
    <mergeCell ref="J27:J30"/>
    <mergeCell ref="L27:L30"/>
    <mergeCell ref="O29:O32"/>
    <mergeCell ref="M20:N20"/>
    <mergeCell ref="M19:N19"/>
    <mergeCell ref="M50:N50"/>
    <mergeCell ref="O34:O35"/>
    <mergeCell ref="C41:E41"/>
    <mergeCell ref="C43:E43"/>
    <mergeCell ref="C45:E45"/>
    <mergeCell ref="C47:E47"/>
    <mergeCell ref="O47:O49"/>
    <mergeCell ref="G49:M49"/>
    <mergeCell ref="O37:O40"/>
  </mergeCells>
  <pageMargins left="0.85763888899999996" right="0.35763888888888901" top="0.40902777777777799" bottom="0.40902777777777799" header="0.5" footer="0.5"/>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tabColor rgb="FF00B050"/>
  </sheetPr>
  <dimension ref="A1:E32"/>
  <sheetViews>
    <sheetView workbookViewId="0">
      <selection activeCell="N22" sqref="N22"/>
    </sheetView>
  </sheetViews>
  <sheetFormatPr defaultColWidth="9.140625" defaultRowHeight="15.75"/>
  <cols>
    <col min="1" max="1" width="5.7109375" style="512" customWidth="1"/>
    <col min="2" max="2" width="32.28515625" style="512" customWidth="1"/>
    <col min="3" max="3" width="16" style="512" customWidth="1"/>
    <col min="4" max="4" width="16.28515625" style="512" customWidth="1"/>
    <col min="5" max="16384" width="9.140625" style="512"/>
  </cols>
  <sheetData>
    <row r="1" spans="1:5" ht="24.75" customHeight="1">
      <c r="A1" s="673" t="s">
        <v>1008</v>
      </c>
      <c r="B1" s="673"/>
      <c r="C1" s="673"/>
      <c r="D1" s="673"/>
      <c r="E1" s="673"/>
    </row>
    <row r="2" spans="1:5">
      <c r="A2" s="513" t="s">
        <v>234</v>
      </c>
      <c r="B2" s="513" t="s">
        <v>235</v>
      </c>
      <c r="C2" s="513" t="s">
        <v>236</v>
      </c>
      <c r="D2" s="513" t="s">
        <v>237</v>
      </c>
      <c r="E2" s="513" t="s">
        <v>238</v>
      </c>
    </row>
    <row r="3" spans="1:5">
      <c r="B3" s="514" t="s">
        <v>1009</v>
      </c>
    </row>
    <row r="4" spans="1:5" s="515" customFormat="1" ht="20.100000000000001" customHeight="1">
      <c r="A4" s="515">
        <v>1</v>
      </c>
      <c r="B4" s="515" t="s">
        <v>1010</v>
      </c>
      <c r="C4" s="517">
        <v>3.3</v>
      </c>
      <c r="D4" s="513" t="s">
        <v>239</v>
      </c>
    </row>
    <row r="5" spans="1:5" s="515" customFormat="1" ht="20.100000000000001" customHeight="1">
      <c r="A5" s="515">
        <v>2</v>
      </c>
      <c r="B5" s="515" t="s">
        <v>1010</v>
      </c>
      <c r="C5" s="517">
        <v>4.25</v>
      </c>
      <c r="D5" s="513" t="s">
        <v>239</v>
      </c>
    </row>
    <row r="6" spans="1:5" s="515" customFormat="1" ht="20.100000000000001" customHeight="1">
      <c r="A6" s="515">
        <v>3</v>
      </c>
      <c r="B6" s="515" t="s">
        <v>1010</v>
      </c>
      <c r="C6" s="517">
        <v>4.4000000000000004</v>
      </c>
      <c r="D6" s="513" t="s">
        <v>239</v>
      </c>
    </row>
    <row r="7" spans="1:5" s="515" customFormat="1" ht="20.100000000000001" customHeight="1">
      <c r="A7" s="515">
        <v>4</v>
      </c>
      <c r="B7" s="515" t="s">
        <v>1010</v>
      </c>
      <c r="C7" s="517">
        <v>4.5999999999999996</v>
      </c>
      <c r="D7" s="513" t="s">
        <v>239</v>
      </c>
    </row>
    <row r="8" spans="1:5" s="515" customFormat="1" ht="20.100000000000001" customHeight="1">
      <c r="A8" s="515">
        <v>5</v>
      </c>
      <c r="B8" s="515" t="s">
        <v>1010</v>
      </c>
      <c r="C8" s="517">
        <v>4.7300000000000004</v>
      </c>
      <c r="D8" s="513" t="s">
        <v>239</v>
      </c>
    </row>
    <row r="9" spans="1:5" s="515" customFormat="1" ht="20.100000000000001" customHeight="1">
      <c r="A9" s="515">
        <v>6</v>
      </c>
      <c r="B9" s="515" t="s">
        <v>1010</v>
      </c>
      <c r="C9" s="517">
        <v>5</v>
      </c>
      <c r="D9" s="513" t="s">
        <v>239</v>
      </c>
    </row>
    <row r="10" spans="1:5" s="515" customFormat="1" ht="20.100000000000001" customHeight="1">
      <c r="A10" s="515">
        <v>7</v>
      </c>
      <c r="B10" s="515" t="s">
        <v>1010</v>
      </c>
      <c r="C10" s="517">
        <v>5.35</v>
      </c>
      <c r="D10" s="513" t="s">
        <v>239</v>
      </c>
    </row>
    <row r="11" spans="1:5" s="515" customFormat="1" ht="20.100000000000001" customHeight="1">
      <c r="A11" s="515">
        <v>8</v>
      </c>
      <c r="B11" s="515" t="s">
        <v>1010</v>
      </c>
      <c r="C11" s="517">
        <v>5.6</v>
      </c>
      <c r="D11" s="513" t="s">
        <v>239</v>
      </c>
    </row>
    <row r="12" spans="1:5" s="515" customFormat="1" ht="20.100000000000001" customHeight="1">
      <c r="A12" s="515">
        <v>9</v>
      </c>
      <c r="B12" s="515" t="s">
        <v>1010</v>
      </c>
      <c r="C12" s="517">
        <v>5.7</v>
      </c>
      <c r="D12" s="513" t="s">
        <v>239</v>
      </c>
    </row>
    <row r="13" spans="1:5" s="515" customFormat="1" ht="20.100000000000001" customHeight="1">
      <c r="A13" s="515">
        <v>10</v>
      </c>
      <c r="B13" s="515" t="s">
        <v>1010</v>
      </c>
      <c r="C13" s="517">
        <v>5.9</v>
      </c>
      <c r="D13" s="513" t="s">
        <v>239</v>
      </c>
    </row>
    <row r="14" spans="1:5" s="515" customFormat="1" ht="20.100000000000001" customHeight="1">
      <c r="A14" s="515">
        <v>11</v>
      </c>
      <c r="B14" s="515" t="s">
        <v>1011</v>
      </c>
      <c r="C14" s="517">
        <v>1.736</v>
      </c>
      <c r="D14" s="513" t="s">
        <v>239</v>
      </c>
    </row>
    <row r="15" spans="1:5" s="515" customFormat="1" ht="20.100000000000001" customHeight="1">
      <c r="A15" s="515">
        <v>12</v>
      </c>
      <c r="B15" s="515" t="s">
        <v>1011</v>
      </c>
      <c r="C15" s="517">
        <v>2.21</v>
      </c>
      <c r="D15" s="513" t="s">
        <v>239</v>
      </c>
    </row>
    <row r="16" spans="1:5" s="515" customFormat="1" ht="20.100000000000001" customHeight="1">
      <c r="A16" s="515">
        <v>13</v>
      </c>
      <c r="B16" s="515" t="s">
        <v>1012</v>
      </c>
      <c r="C16" s="517">
        <v>0.318</v>
      </c>
      <c r="D16" s="513" t="s">
        <v>239</v>
      </c>
    </row>
    <row r="17" spans="1:4" s="515" customFormat="1" ht="20.100000000000001" customHeight="1">
      <c r="A17" s="515">
        <v>14</v>
      </c>
      <c r="B17" s="515" t="s">
        <v>1012</v>
      </c>
      <c r="C17" s="517">
        <v>1.645</v>
      </c>
      <c r="D17" s="513" t="s">
        <v>239</v>
      </c>
    </row>
    <row r="18" spans="1:4" s="515" customFormat="1" ht="20.100000000000001" customHeight="1">
      <c r="A18" s="515">
        <v>15</v>
      </c>
      <c r="B18" s="515" t="s">
        <v>1012</v>
      </c>
      <c r="C18" s="517">
        <v>2.0760000000000001</v>
      </c>
      <c r="D18" s="513" t="s">
        <v>239</v>
      </c>
    </row>
    <row r="19" spans="1:4" s="515" customFormat="1" ht="20.100000000000001" customHeight="1">
      <c r="A19" s="515">
        <v>16</v>
      </c>
      <c r="B19" s="515" t="s">
        <v>1013</v>
      </c>
      <c r="C19" s="517">
        <v>0.95</v>
      </c>
      <c r="D19" s="513" t="s">
        <v>239</v>
      </c>
    </row>
    <row r="20" spans="1:4" s="515" customFormat="1" ht="20.100000000000001" customHeight="1">
      <c r="A20" s="515">
        <v>17</v>
      </c>
      <c r="B20" s="515" t="s">
        <v>1013</v>
      </c>
      <c r="C20" s="517">
        <v>1.1499999999999999</v>
      </c>
      <c r="D20" s="513" t="s">
        <v>239</v>
      </c>
    </row>
    <row r="23" spans="1:4">
      <c r="B23" s="514" t="s">
        <v>1014</v>
      </c>
    </row>
    <row r="24" spans="1:4" ht="36.75" customHeight="1">
      <c r="A24" s="515">
        <v>1</v>
      </c>
      <c r="B24" s="516" t="s">
        <v>1016</v>
      </c>
      <c r="C24" s="517">
        <v>4.91</v>
      </c>
      <c r="D24" s="513" t="s">
        <v>1015</v>
      </c>
    </row>
    <row r="25" spans="1:4" ht="36" customHeight="1">
      <c r="A25" s="515">
        <v>2</v>
      </c>
      <c r="B25" s="516" t="s">
        <v>1017</v>
      </c>
      <c r="C25" s="517">
        <v>6.1</v>
      </c>
      <c r="D25" s="513" t="s">
        <v>1015</v>
      </c>
    </row>
    <row r="27" spans="1:4" ht="24" customHeight="1">
      <c r="B27" s="518" t="s">
        <v>1029</v>
      </c>
    </row>
    <row r="28" spans="1:4" ht="24" customHeight="1">
      <c r="A28" s="515">
        <v>1</v>
      </c>
      <c r="B28" s="516" t="s">
        <v>921</v>
      </c>
      <c r="C28" s="517">
        <v>6.1</v>
      </c>
      <c r="D28" s="513" t="s">
        <v>240</v>
      </c>
    </row>
    <row r="29" spans="1:4" ht="26.25" customHeight="1">
      <c r="A29" s="515">
        <v>2</v>
      </c>
      <c r="B29" s="516" t="s">
        <v>1011</v>
      </c>
      <c r="C29" s="517">
        <v>3.41</v>
      </c>
      <c r="D29" s="513" t="s">
        <v>240</v>
      </c>
    </row>
    <row r="30" spans="1:4" ht="29.25" customHeight="1">
      <c r="A30" s="515">
        <v>3</v>
      </c>
      <c r="B30" s="516" t="s">
        <v>1018</v>
      </c>
      <c r="C30" s="517">
        <v>3.6</v>
      </c>
      <c r="D30" s="513" t="s">
        <v>240</v>
      </c>
    </row>
    <row r="31" spans="1:4" ht="27" customHeight="1">
      <c r="A31" s="515">
        <v>4</v>
      </c>
      <c r="B31" s="516" t="s">
        <v>1019</v>
      </c>
      <c r="C31" s="517">
        <v>2.2999999999999998</v>
      </c>
      <c r="D31" s="513" t="s">
        <v>240</v>
      </c>
    </row>
    <row r="32" spans="1:4" ht="30" customHeight="1">
      <c r="A32" s="515">
        <v>5</v>
      </c>
      <c r="B32" s="516" t="s">
        <v>1095</v>
      </c>
      <c r="C32" s="517">
        <v>3</v>
      </c>
      <c r="D32" s="513" t="s">
        <v>240</v>
      </c>
    </row>
  </sheetData>
  <mergeCells count="1">
    <mergeCell ref="A1:E1"/>
  </mergeCells>
  <printOptions gridLines="1"/>
  <pageMargins left="0.95" right="0.45"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tabColor rgb="FF00B050"/>
  </sheetPr>
  <dimension ref="A1:F15"/>
  <sheetViews>
    <sheetView workbookViewId="0">
      <selection activeCell="Q8" sqref="Q8"/>
    </sheetView>
  </sheetViews>
  <sheetFormatPr defaultColWidth="9" defaultRowHeight="15"/>
  <cols>
    <col min="1" max="1" width="6.28515625" customWidth="1"/>
    <col min="2" max="2" width="31.85546875" customWidth="1"/>
    <col min="3" max="3" width="6.5703125" customWidth="1"/>
    <col min="4" max="4" width="13.85546875" customWidth="1"/>
    <col min="5" max="6" width="13.28515625" customWidth="1"/>
  </cols>
  <sheetData>
    <row r="1" spans="1:6" ht="24" customHeight="1">
      <c r="A1" s="675" t="s">
        <v>241</v>
      </c>
      <c r="B1" s="675"/>
      <c r="C1" s="675"/>
      <c r="D1" s="675"/>
      <c r="E1" s="675"/>
      <c r="F1" s="675"/>
    </row>
    <row r="2" spans="1:6" ht="42" customHeight="1">
      <c r="A2" s="676" t="str">
        <f>[2]Absrtact!A2</f>
        <v>Name of the Work: Formation of New Weir channel from km 3.300 to km 6.100 and its four branch channels in Mogalturu (M) of W.G.Dt.</v>
      </c>
      <c r="B2" s="676"/>
      <c r="C2" s="676"/>
      <c r="D2" s="676"/>
      <c r="E2" s="676"/>
      <c r="F2" s="676"/>
    </row>
    <row r="3" spans="1:6">
      <c r="A3" t="s">
        <v>234</v>
      </c>
      <c r="B3" t="s">
        <v>235</v>
      </c>
      <c r="C3" t="s">
        <v>108</v>
      </c>
      <c r="D3" t="s">
        <v>242</v>
      </c>
      <c r="E3" t="s">
        <v>243</v>
      </c>
      <c r="F3" t="s">
        <v>244</v>
      </c>
    </row>
    <row r="4" spans="1:6" ht="38.25" customHeight="1">
      <c r="B4" s="519" t="s">
        <v>1020</v>
      </c>
      <c r="C4" s="520">
        <v>1</v>
      </c>
      <c r="D4" s="521">
        <f>4910-3300</f>
        <v>1610</v>
      </c>
      <c r="E4" s="232">
        <v>13</v>
      </c>
      <c r="F4" s="476">
        <f>E4*D4</f>
        <v>20930</v>
      </c>
    </row>
    <row r="5" spans="1:6" ht="39" customHeight="1">
      <c r="B5" s="519" t="s">
        <v>1021</v>
      </c>
      <c r="C5" s="520">
        <v>1</v>
      </c>
      <c r="D5" s="521">
        <f>6100-4910</f>
        <v>1190</v>
      </c>
      <c r="E5" s="232">
        <v>13</v>
      </c>
      <c r="F5" s="476">
        <f t="shared" ref="F5:F11" si="0">E5*D5</f>
        <v>15470</v>
      </c>
    </row>
    <row r="6" spans="1:6" ht="43.5" customHeight="1">
      <c r="B6" s="519" t="s">
        <v>1022</v>
      </c>
      <c r="C6" s="520">
        <v>1</v>
      </c>
      <c r="D6" s="521">
        <f>1460-0</f>
        <v>1460</v>
      </c>
      <c r="E6" s="232">
        <v>12</v>
      </c>
      <c r="F6" s="476">
        <f t="shared" si="0"/>
        <v>17520</v>
      </c>
    </row>
    <row r="7" spans="1:6" ht="38.25" customHeight="1">
      <c r="B7" s="519" t="s">
        <v>1023</v>
      </c>
      <c r="C7" s="520">
        <v>1</v>
      </c>
      <c r="D7" s="521">
        <f>3410-1460</f>
        <v>1950</v>
      </c>
      <c r="E7" s="232">
        <v>12</v>
      </c>
      <c r="F7" s="476">
        <f t="shared" si="0"/>
        <v>23400</v>
      </c>
    </row>
    <row r="8" spans="1:6" ht="37.5" customHeight="1">
      <c r="B8" s="519" t="s">
        <v>1024</v>
      </c>
      <c r="C8" s="520">
        <v>1</v>
      </c>
      <c r="D8" s="521">
        <f>2600-0</f>
        <v>2600</v>
      </c>
      <c r="E8" s="232">
        <v>14</v>
      </c>
      <c r="F8" s="476">
        <f t="shared" si="0"/>
        <v>36400</v>
      </c>
    </row>
    <row r="9" spans="1:6" ht="54.75" customHeight="1">
      <c r="B9" s="519" t="s">
        <v>1025</v>
      </c>
      <c r="C9" s="520">
        <v>1</v>
      </c>
      <c r="D9" s="521">
        <f>3600-2600</f>
        <v>1000</v>
      </c>
      <c r="E9" s="232">
        <v>14</v>
      </c>
      <c r="F9" s="476">
        <f t="shared" si="0"/>
        <v>14000</v>
      </c>
    </row>
    <row r="10" spans="1:6" ht="30">
      <c r="B10" s="519" t="s">
        <v>1026</v>
      </c>
      <c r="C10" s="520">
        <v>1</v>
      </c>
      <c r="D10" s="521">
        <v>2300</v>
      </c>
      <c r="E10" s="232">
        <v>12</v>
      </c>
      <c r="F10" s="476">
        <f t="shared" si="0"/>
        <v>27600</v>
      </c>
    </row>
    <row r="11" spans="1:6" ht="39" customHeight="1">
      <c r="B11" s="519" t="s">
        <v>1027</v>
      </c>
      <c r="C11" s="520">
        <v>1</v>
      </c>
      <c r="D11" s="521">
        <v>3000</v>
      </c>
      <c r="E11" s="232">
        <v>13</v>
      </c>
      <c r="F11" s="476">
        <f t="shared" si="0"/>
        <v>39000</v>
      </c>
    </row>
    <row r="12" spans="1:6" s="578" customFormat="1" ht="35.1" customHeight="1">
      <c r="A12" s="674" t="s">
        <v>245</v>
      </c>
      <c r="B12" s="674"/>
      <c r="C12" s="674"/>
      <c r="D12" s="674"/>
      <c r="E12" s="674"/>
      <c r="F12" s="476">
        <f>SUM(F4:F11)</f>
        <v>194320</v>
      </c>
    </row>
    <row r="13" spans="1:6" s="578" customFormat="1" ht="35.1" customHeight="1">
      <c r="A13" s="677" t="s">
        <v>1096</v>
      </c>
      <c r="B13" s="677"/>
      <c r="C13" s="677"/>
      <c r="D13" s="677"/>
      <c r="E13" s="677"/>
      <c r="F13" s="233">
        <f>ROUND(F12/4046.86,0)</f>
        <v>48</v>
      </c>
    </row>
    <row r="14" spans="1:6" s="578" customFormat="1" ht="35.1" customHeight="1">
      <c r="A14" s="677" t="s">
        <v>1028</v>
      </c>
      <c r="B14" s="677"/>
      <c r="C14" s="677"/>
      <c r="D14" s="677"/>
      <c r="E14" s="677"/>
      <c r="F14" s="476">
        <v>2045000</v>
      </c>
    </row>
    <row r="15" spans="1:6" s="578" customFormat="1" ht="35.1" customHeight="1">
      <c r="A15" s="674" t="s">
        <v>1153</v>
      </c>
      <c r="B15" s="674"/>
      <c r="C15" s="674"/>
      <c r="D15" s="674"/>
      <c r="E15" s="674"/>
      <c r="F15" s="476">
        <f>F13*F14</f>
        <v>98160000</v>
      </c>
    </row>
  </sheetData>
  <mergeCells count="6">
    <mergeCell ref="A15:E15"/>
    <mergeCell ref="A1:F1"/>
    <mergeCell ref="A2:F2"/>
    <mergeCell ref="A12:E12"/>
    <mergeCell ref="A13:E13"/>
    <mergeCell ref="A14:E14"/>
  </mergeCells>
  <printOptions gridLines="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G40"/>
  <sheetViews>
    <sheetView topLeftCell="A19" workbookViewId="0">
      <selection activeCell="F29" sqref="F29"/>
    </sheetView>
  </sheetViews>
  <sheetFormatPr defaultColWidth="9" defaultRowHeight="15"/>
  <cols>
    <col min="2" max="2" width="7.140625" customWidth="1"/>
    <col min="3" max="3" width="25.5703125" customWidth="1"/>
  </cols>
  <sheetData>
    <row r="1" spans="1:7" ht="63.75">
      <c r="A1" s="101" t="s">
        <v>463</v>
      </c>
      <c r="B1" s="678" t="s">
        <v>464</v>
      </c>
      <c r="C1" s="678"/>
      <c r="D1" s="678"/>
      <c r="E1" s="678"/>
      <c r="F1" s="678"/>
      <c r="G1" s="678"/>
    </row>
    <row r="2" spans="1:7">
      <c r="A2" s="102" t="s">
        <v>409</v>
      </c>
      <c r="B2" s="103"/>
      <c r="C2" s="104" t="s">
        <v>259</v>
      </c>
      <c r="D2" s="105"/>
      <c r="E2" s="106" t="s">
        <v>260</v>
      </c>
      <c r="F2" s="107">
        <v>15</v>
      </c>
      <c r="G2" s="105" t="s">
        <v>106</v>
      </c>
    </row>
    <row r="3" spans="1:7">
      <c r="A3" s="105"/>
      <c r="B3" s="108" t="s">
        <v>261</v>
      </c>
      <c r="C3" s="105"/>
      <c r="D3" s="105"/>
      <c r="E3" s="105"/>
      <c r="F3" s="105"/>
      <c r="G3" s="105"/>
    </row>
    <row r="4" spans="1:7">
      <c r="A4" s="105"/>
      <c r="B4" s="109" t="s">
        <v>262</v>
      </c>
      <c r="C4" s="110" t="s">
        <v>297</v>
      </c>
      <c r="D4" s="109" t="s">
        <v>101</v>
      </c>
      <c r="E4" s="109" t="s">
        <v>100</v>
      </c>
      <c r="F4" s="109" t="s">
        <v>103</v>
      </c>
      <c r="G4" s="109" t="s">
        <v>264</v>
      </c>
    </row>
    <row r="5" spans="1:7">
      <c r="A5" s="105"/>
      <c r="B5" s="111"/>
      <c r="C5" s="112"/>
      <c r="D5" s="111"/>
      <c r="E5" s="111"/>
      <c r="F5" s="111" t="s">
        <v>265</v>
      </c>
      <c r="G5" s="111" t="s">
        <v>265</v>
      </c>
    </row>
    <row r="6" spans="1:7">
      <c r="A6" s="105"/>
      <c r="B6" s="109">
        <v>1</v>
      </c>
      <c r="C6" s="113" t="s">
        <v>465</v>
      </c>
      <c r="D6" s="109" t="s">
        <v>310</v>
      </c>
      <c r="E6" s="114">
        <v>5120</v>
      </c>
      <c r="F6" s="115">
        <v>3.9</v>
      </c>
      <c r="G6" s="114">
        <f>F6*E6</f>
        <v>19968</v>
      </c>
    </row>
    <row r="7" spans="1:7">
      <c r="A7" s="105"/>
      <c r="B7" s="116">
        <v>2</v>
      </c>
      <c r="C7" s="113" t="s">
        <v>466</v>
      </c>
      <c r="D7" s="116" t="s">
        <v>106</v>
      </c>
      <c r="E7" s="114">
        <v>8.1</v>
      </c>
      <c r="F7" s="117">
        <v>1182</v>
      </c>
      <c r="G7" s="114">
        <f t="shared" ref="G7:G9" si="0">F7*E7</f>
        <v>9574.2000000000007</v>
      </c>
    </row>
    <row r="8" spans="1:7">
      <c r="A8" s="105"/>
      <c r="B8" s="118"/>
      <c r="C8" s="113" t="s">
        <v>467</v>
      </c>
      <c r="D8" s="116" t="s">
        <v>106</v>
      </c>
      <c r="E8" s="114">
        <v>5.4</v>
      </c>
      <c r="F8" s="117">
        <v>860</v>
      </c>
      <c r="G8" s="114">
        <f t="shared" si="0"/>
        <v>4644</v>
      </c>
    </row>
    <row r="9" spans="1:7">
      <c r="A9" s="105"/>
      <c r="B9" s="116">
        <v>3</v>
      </c>
      <c r="C9" s="113" t="s">
        <v>468</v>
      </c>
      <c r="D9" s="116" t="s">
        <v>106</v>
      </c>
      <c r="E9" s="114">
        <v>6.75</v>
      </c>
      <c r="F9" s="117">
        <v>100</v>
      </c>
      <c r="G9" s="114">
        <f t="shared" si="0"/>
        <v>675</v>
      </c>
    </row>
    <row r="10" spans="1:7">
      <c r="A10" s="105"/>
      <c r="B10" s="119"/>
      <c r="C10" s="120" t="s">
        <v>267</v>
      </c>
      <c r="D10" s="121"/>
      <c r="E10" s="122"/>
      <c r="F10" s="123" t="s">
        <v>268</v>
      </c>
      <c r="G10" s="124">
        <f>SUM(G6:G9)</f>
        <v>34861.199999999997</v>
      </c>
    </row>
    <row r="11" spans="1:7">
      <c r="A11" s="105"/>
      <c r="B11" s="108" t="s">
        <v>269</v>
      </c>
      <c r="C11" s="105"/>
      <c r="D11" s="105"/>
      <c r="E11" s="105"/>
      <c r="F11" s="105"/>
      <c r="G11" s="105"/>
    </row>
    <row r="12" spans="1:7">
      <c r="A12" s="105"/>
      <c r="B12" s="109" t="s">
        <v>262</v>
      </c>
      <c r="C12" s="110" t="s">
        <v>270</v>
      </c>
      <c r="D12" s="109" t="s">
        <v>101</v>
      </c>
      <c r="E12" s="109" t="s">
        <v>100</v>
      </c>
      <c r="F12" s="109" t="s">
        <v>103</v>
      </c>
      <c r="G12" s="109" t="s">
        <v>264</v>
      </c>
    </row>
    <row r="13" spans="1:7">
      <c r="A13" s="105"/>
      <c r="B13" s="111"/>
      <c r="C13" s="112"/>
      <c r="D13" s="111"/>
      <c r="E13" s="111"/>
      <c r="F13" s="111" t="s">
        <v>265</v>
      </c>
      <c r="G13" s="111" t="s">
        <v>265</v>
      </c>
    </row>
    <row r="14" spans="1:7">
      <c r="A14" s="105"/>
      <c r="B14" s="109">
        <v>1</v>
      </c>
      <c r="C14" s="113" t="s">
        <v>469</v>
      </c>
      <c r="D14" s="109" t="s">
        <v>272</v>
      </c>
      <c r="E14" s="114">
        <v>8</v>
      </c>
      <c r="F14" s="125">
        <v>252.2</v>
      </c>
      <c r="G14" s="114">
        <f>F14*E14</f>
        <v>2017.6</v>
      </c>
    </row>
    <row r="15" spans="1:7">
      <c r="A15" s="105"/>
      <c r="B15" s="111">
        <v>2</v>
      </c>
      <c r="C15" s="126" t="s">
        <v>470</v>
      </c>
      <c r="D15" s="111" t="s">
        <v>272</v>
      </c>
      <c r="E15" s="127">
        <v>0.5</v>
      </c>
      <c r="F15" s="128">
        <v>816.8</v>
      </c>
      <c r="G15" s="114">
        <f>F15*E15</f>
        <v>408.4</v>
      </c>
    </row>
    <row r="16" spans="1:7">
      <c r="A16" s="105"/>
      <c r="B16" s="129"/>
      <c r="C16" s="130" t="s">
        <v>274</v>
      </c>
      <c r="D16" s="131"/>
      <c r="E16" s="132"/>
      <c r="F16" s="133" t="s">
        <v>268</v>
      </c>
      <c r="G16" s="124">
        <f>SUM(G14:G15)</f>
        <v>2426</v>
      </c>
    </row>
    <row r="17" spans="1:7">
      <c r="A17" s="105"/>
      <c r="B17" s="108" t="s">
        <v>275</v>
      </c>
      <c r="C17" s="105"/>
      <c r="D17" s="105"/>
      <c r="E17" s="105"/>
      <c r="F17" s="105"/>
      <c r="G17" s="105"/>
    </row>
    <row r="18" spans="1:7">
      <c r="A18" s="105"/>
      <c r="B18" s="109" t="s">
        <v>262</v>
      </c>
      <c r="C18" s="110" t="s">
        <v>270</v>
      </c>
      <c r="D18" s="109" t="s">
        <v>101</v>
      </c>
      <c r="E18" s="109" t="s">
        <v>100</v>
      </c>
      <c r="F18" s="109" t="s">
        <v>103</v>
      </c>
      <c r="G18" s="109" t="s">
        <v>264</v>
      </c>
    </row>
    <row r="19" spans="1:7">
      <c r="A19" s="105"/>
      <c r="B19" s="111"/>
      <c r="C19" s="112"/>
      <c r="D19" s="111"/>
      <c r="E19" s="111"/>
      <c r="F19" s="111" t="s">
        <v>265</v>
      </c>
      <c r="G19" s="111" t="s">
        <v>265</v>
      </c>
    </row>
    <row r="20" spans="1:7">
      <c r="A20" s="105"/>
      <c r="B20" s="116">
        <v>1</v>
      </c>
      <c r="C20" s="134" t="s">
        <v>471</v>
      </c>
      <c r="D20" s="116" t="s">
        <v>272</v>
      </c>
      <c r="E20" s="135">
        <v>0.86</v>
      </c>
      <c r="F20" s="125">
        <v>500</v>
      </c>
      <c r="G20" s="114">
        <f>F20*E20</f>
        <v>430</v>
      </c>
    </row>
    <row r="21" spans="1:7">
      <c r="A21" s="105"/>
      <c r="B21" s="116">
        <v>2</v>
      </c>
      <c r="C21" s="134" t="s">
        <v>472</v>
      </c>
      <c r="D21" s="116" t="s">
        <v>272</v>
      </c>
      <c r="E21" s="135">
        <v>1.5</v>
      </c>
      <c r="F21" s="125">
        <v>500</v>
      </c>
      <c r="G21" s="114">
        <f t="shared" ref="G21:G22" si="1">F21*E21</f>
        <v>750</v>
      </c>
    </row>
    <row r="22" spans="1:7">
      <c r="A22" s="105"/>
      <c r="B22" s="116">
        <v>3</v>
      </c>
      <c r="C22" s="134" t="s">
        <v>362</v>
      </c>
      <c r="D22" s="116" t="s">
        <v>272</v>
      </c>
      <c r="E22" s="135">
        <v>20</v>
      </c>
      <c r="F22" s="125">
        <v>420</v>
      </c>
      <c r="G22" s="114">
        <f t="shared" si="1"/>
        <v>8400</v>
      </c>
    </row>
    <row r="23" spans="1:7">
      <c r="A23" s="105"/>
      <c r="B23" s="119"/>
      <c r="C23" s="120" t="s">
        <v>280</v>
      </c>
      <c r="D23" s="121"/>
      <c r="E23" s="122"/>
      <c r="F23" s="123" t="s">
        <v>268</v>
      </c>
      <c r="G23" s="124">
        <f>SUM(G20:G22)</f>
        <v>9580</v>
      </c>
    </row>
    <row r="24" spans="1:7">
      <c r="A24" s="105"/>
      <c r="B24" s="108" t="s">
        <v>473</v>
      </c>
      <c r="C24" s="105"/>
      <c r="D24" s="105"/>
      <c r="E24" s="105"/>
      <c r="F24" s="105"/>
      <c r="G24" s="105"/>
    </row>
    <row r="25" spans="1:7">
      <c r="A25" s="105"/>
      <c r="B25" s="109" t="s">
        <v>262</v>
      </c>
      <c r="C25" s="110" t="s">
        <v>297</v>
      </c>
      <c r="D25" s="109" t="s">
        <v>101</v>
      </c>
      <c r="E25" s="109" t="s">
        <v>100</v>
      </c>
      <c r="F25" s="109" t="s">
        <v>103</v>
      </c>
      <c r="G25" s="109" t="s">
        <v>264</v>
      </c>
    </row>
    <row r="26" spans="1:7">
      <c r="A26" s="105"/>
      <c r="B26" s="111"/>
      <c r="C26" s="112"/>
      <c r="D26" s="111"/>
      <c r="E26" s="111"/>
      <c r="F26" s="111" t="s">
        <v>265</v>
      </c>
      <c r="G26" s="111" t="s">
        <v>265</v>
      </c>
    </row>
    <row r="27" spans="1:7">
      <c r="A27" s="105"/>
      <c r="B27" s="116">
        <v>1</v>
      </c>
      <c r="C27" s="113" t="s">
        <v>466</v>
      </c>
      <c r="D27" s="116" t="s">
        <v>106</v>
      </c>
      <c r="E27" s="114">
        <v>8.1</v>
      </c>
      <c r="F27" s="117">
        <f>Lead!G6</f>
        <v>1139.7</v>
      </c>
      <c r="G27" s="114">
        <f>F27*E27</f>
        <v>9231.57</v>
      </c>
    </row>
    <row r="28" spans="1:7">
      <c r="A28" s="105"/>
      <c r="B28" s="116">
        <v>2</v>
      </c>
      <c r="C28" s="113" t="s">
        <v>467</v>
      </c>
      <c r="D28" s="116" t="s">
        <v>106</v>
      </c>
      <c r="E28" s="114">
        <v>5.4</v>
      </c>
      <c r="F28" s="117">
        <f>F27</f>
        <v>1139.7</v>
      </c>
      <c r="G28" s="114">
        <f t="shared" ref="G28:G29" si="2">F28*E28</f>
        <v>6154.380000000001</v>
      </c>
    </row>
    <row r="29" spans="1:7">
      <c r="A29" s="105"/>
      <c r="B29" s="116">
        <v>3</v>
      </c>
      <c r="C29" s="113" t="s">
        <v>468</v>
      </c>
      <c r="D29" s="116" t="s">
        <v>106</v>
      </c>
      <c r="E29" s="114">
        <v>6.75</v>
      </c>
      <c r="F29" s="117">
        <f>Lead!G10</f>
        <v>695.1</v>
      </c>
      <c r="G29" s="114">
        <f t="shared" si="2"/>
        <v>4691.9250000000002</v>
      </c>
    </row>
    <row r="30" spans="1:7">
      <c r="A30" s="105"/>
      <c r="B30" s="119"/>
      <c r="C30" s="120" t="s">
        <v>267</v>
      </c>
      <c r="D30" s="121"/>
      <c r="E30" s="122"/>
      <c r="F30" s="123" t="s">
        <v>268</v>
      </c>
      <c r="G30" s="124">
        <f>SUM(G27:G29)</f>
        <v>20077.875</v>
      </c>
    </row>
    <row r="31" spans="1:7">
      <c r="A31" s="105"/>
      <c r="B31" s="102" t="s">
        <v>284</v>
      </c>
      <c r="C31" s="105"/>
      <c r="D31" s="105"/>
      <c r="E31" s="105"/>
      <c r="F31" s="105"/>
      <c r="G31" s="105"/>
    </row>
    <row r="32" spans="1:7">
      <c r="A32" s="105"/>
      <c r="B32" s="105" t="s">
        <v>474</v>
      </c>
      <c r="C32" s="105"/>
      <c r="D32" s="105"/>
      <c r="E32" s="105"/>
      <c r="F32" s="106" t="s">
        <v>268</v>
      </c>
      <c r="G32" s="136">
        <f>G10</f>
        <v>34861.199999999997</v>
      </c>
    </row>
    <row r="33" spans="1:7">
      <c r="A33" s="105"/>
      <c r="B33" s="105" t="s">
        <v>286</v>
      </c>
      <c r="C33" s="105"/>
      <c r="D33" s="105"/>
      <c r="E33" s="105"/>
      <c r="F33" s="106" t="s">
        <v>268</v>
      </c>
      <c r="G33" s="136">
        <f>G16</f>
        <v>2426</v>
      </c>
    </row>
    <row r="34" spans="1:7">
      <c r="A34" s="105"/>
      <c r="B34" s="105" t="s">
        <v>287</v>
      </c>
      <c r="C34" s="105"/>
      <c r="D34" s="105"/>
      <c r="E34" s="105"/>
      <c r="F34" s="106" t="s">
        <v>268</v>
      </c>
      <c r="G34" s="137">
        <f>G23</f>
        <v>9580</v>
      </c>
    </row>
    <row r="35" spans="1:7">
      <c r="A35" s="105"/>
      <c r="B35" s="103"/>
      <c r="C35" s="105"/>
      <c r="D35" s="105"/>
      <c r="E35" s="106"/>
      <c r="F35" s="106" t="s">
        <v>288</v>
      </c>
      <c r="G35" s="138">
        <f>SUM(G32:G34)</f>
        <v>46867.199999999997</v>
      </c>
    </row>
    <row r="36" spans="1:7">
      <c r="A36" s="105"/>
      <c r="B36" s="679" t="s">
        <v>289</v>
      </c>
      <c r="C36" s="679"/>
      <c r="D36" s="105"/>
      <c r="E36" s="140">
        <v>0.13614999999999999</v>
      </c>
      <c r="F36" s="106" t="s">
        <v>268</v>
      </c>
      <c r="G36" s="136">
        <f>G35*E36</f>
        <v>6380.9692800000003</v>
      </c>
    </row>
    <row r="37" spans="1:7">
      <c r="A37" s="105"/>
      <c r="B37" s="139" t="s">
        <v>475</v>
      </c>
      <c r="C37" s="139"/>
      <c r="D37" s="105"/>
      <c r="E37" s="141"/>
      <c r="F37" s="106" t="s">
        <v>268</v>
      </c>
      <c r="G37" s="136">
        <f>G30</f>
        <v>20077.875</v>
      </c>
    </row>
    <row r="38" spans="1:7">
      <c r="A38" s="105"/>
      <c r="B38" s="105" t="s">
        <v>290</v>
      </c>
      <c r="C38" s="105"/>
      <c r="D38" s="136">
        <v>15</v>
      </c>
      <c r="E38" s="136" t="s">
        <v>106</v>
      </c>
      <c r="F38" s="106" t="s">
        <v>268</v>
      </c>
      <c r="G38" s="136">
        <f>G35+G36+G37</f>
        <v>73326.044280000002</v>
      </c>
    </row>
    <row r="39" spans="1:7">
      <c r="A39" s="105"/>
      <c r="B39" s="105" t="s">
        <v>291</v>
      </c>
      <c r="C39" s="136" t="s">
        <v>106</v>
      </c>
      <c r="D39" s="105" t="s">
        <v>476</v>
      </c>
      <c r="E39" s="105"/>
      <c r="F39" s="106" t="s">
        <v>293</v>
      </c>
      <c r="G39" s="142">
        <f>ROUND(G38/15,1)</f>
        <v>4888.3999999999996</v>
      </c>
    </row>
    <row r="40" spans="1:7">
      <c r="A40" s="143"/>
      <c r="B40" s="143"/>
      <c r="C40" s="143"/>
      <c r="D40" s="143"/>
      <c r="E40" s="143"/>
      <c r="F40" s="143"/>
      <c r="G40" s="144"/>
    </row>
  </sheetData>
  <mergeCells count="2">
    <mergeCell ref="B1:G1"/>
    <mergeCell ref="B36:C36"/>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J92"/>
  <sheetViews>
    <sheetView workbookViewId="0">
      <selection activeCell="I92" sqref="I92"/>
    </sheetView>
  </sheetViews>
  <sheetFormatPr defaultColWidth="9" defaultRowHeight="15"/>
  <sheetData>
    <row r="1" spans="1:9">
      <c r="A1" t="s">
        <v>477</v>
      </c>
      <c r="B1" t="s">
        <v>478</v>
      </c>
    </row>
    <row r="2" spans="1:9">
      <c r="A2" t="s">
        <v>479</v>
      </c>
      <c r="B2" t="s">
        <v>480</v>
      </c>
    </row>
    <row r="3" spans="1:9">
      <c r="B3" t="s">
        <v>481</v>
      </c>
    </row>
    <row r="4" spans="1:9">
      <c r="B4" t="s">
        <v>482</v>
      </c>
    </row>
    <row r="5" spans="1:9">
      <c r="B5" t="s">
        <v>483</v>
      </c>
    </row>
    <row r="6" spans="1:9">
      <c r="B6" t="s">
        <v>484</v>
      </c>
    </row>
    <row r="7" spans="1:9">
      <c r="B7" t="s">
        <v>485</v>
      </c>
    </row>
    <row r="8" spans="1:9">
      <c r="B8" t="s">
        <v>486</v>
      </c>
    </row>
    <row r="9" spans="1:9">
      <c r="B9" t="s">
        <v>487</v>
      </c>
    </row>
    <row r="10" spans="1:9">
      <c r="B10" t="s">
        <v>488</v>
      </c>
    </row>
    <row r="12" spans="1:9">
      <c r="A12" t="s">
        <v>258</v>
      </c>
      <c r="E12" t="s">
        <v>259</v>
      </c>
    </row>
    <row r="13" spans="1:9">
      <c r="H13" t="s">
        <v>433</v>
      </c>
    </row>
    <row r="14" spans="1:9">
      <c r="B14" t="s">
        <v>261</v>
      </c>
      <c r="H14">
        <v>240</v>
      </c>
      <c r="I14" t="s">
        <v>106</v>
      </c>
    </row>
    <row r="15" spans="1:9">
      <c r="B15" t="s">
        <v>262</v>
      </c>
      <c r="D15" t="s">
        <v>297</v>
      </c>
      <c r="F15" t="s">
        <v>101</v>
      </c>
      <c r="G15" t="s">
        <v>100</v>
      </c>
      <c r="H15" t="s">
        <v>489</v>
      </c>
      <c r="I15" t="s">
        <v>490</v>
      </c>
    </row>
    <row r="16" spans="1:9">
      <c r="H16" t="s">
        <v>491</v>
      </c>
      <c r="I16" t="s">
        <v>492</v>
      </c>
    </row>
    <row r="17" spans="2:9">
      <c r="B17">
        <v>1</v>
      </c>
      <c r="C17" t="s">
        <v>309</v>
      </c>
      <c r="F17" t="s">
        <v>310</v>
      </c>
      <c r="G17">
        <v>91200</v>
      </c>
      <c r="H17" s="77">
        <f>Lead!E5</f>
        <v>4.22</v>
      </c>
      <c r="I17">
        <f>H17*G17</f>
        <v>384864</v>
      </c>
    </row>
    <row r="18" spans="2:9">
      <c r="B18">
        <v>2</v>
      </c>
      <c r="C18" t="s">
        <v>410</v>
      </c>
      <c r="F18" t="s">
        <v>310</v>
      </c>
      <c r="G18">
        <v>720</v>
      </c>
      <c r="H18" s="77">
        <f>H17</f>
        <v>4.22</v>
      </c>
      <c r="I18">
        <f t="shared" ref="I18:I23" si="0">H18*G18</f>
        <v>3038.4</v>
      </c>
    </row>
    <row r="19" spans="2:9">
      <c r="C19" t="s">
        <v>312</v>
      </c>
      <c r="F19" t="s">
        <v>106</v>
      </c>
      <c r="G19">
        <v>140.4</v>
      </c>
      <c r="H19" s="77">
        <f>Lead!E8</f>
        <v>1445</v>
      </c>
      <c r="I19">
        <f t="shared" si="0"/>
        <v>202878</v>
      </c>
    </row>
    <row r="20" spans="2:9">
      <c r="C20" t="s">
        <v>313</v>
      </c>
      <c r="F20" t="s">
        <v>106</v>
      </c>
      <c r="G20">
        <v>75.599999999999994</v>
      </c>
      <c r="H20" s="77">
        <f>Lead!E9</f>
        <v>1052</v>
      </c>
      <c r="I20">
        <f t="shared" si="0"/>
        <v>79531.199999999997</v>
      </c>
    </row>
    <row r="21" spans="2:9">
      <c r="B21">
        <v>3</v>
      </c>
      <c r="C21" t="s">
        <v>493</v>
      </c>
      <c r="F21" t="s">
        <v>106</v>
      </c>
      <c r="G21">
        <v>96</v>
      </c>
      <c r="H21" s="77">
        <f>Lead!E11</f>
        <v>605</v>
      </c>
      <c r="I21">
        <f t="shared" si="0"/>
        <v>58080</v>
      </c>
    </row>
    <row r="22" spans="2:9">
      <c r="B22">
        <v>4</v>
      </c>
      <c r="C22" t="s">
        <v>494</v>
      </c>
      <c r="F22" t="s">
        <v>310</v>
      </c>
      <c r="G22">
        <v>364.8</v>
      </c>
      <c r="H22">
        <v>55</v>
      </c>
      <c r="I22">
        <f t="shared" si="0"/>
        <v>20064</v>
      </c>
    </row>
    <row r="23" spans="2:9">
      <c r="B23">
        <v>5</v>
      </c>
      <c r="C23" t="s">
        <v>495</v>
      </c>
      <c r="F23" t="s">
        <v>317</v>
      </c>
      <c r="G23">
        <v>360</v>
      </c>
      <c r="H23">
        <v>330.29</v>
      </c>
      <c r="I23">
        <f t="shared" si="0"/>
        <v>118904.4</v>
      </c>
    </row>
    <row r="24" spans="2:9">
      <c r="B24">
        <v>6</v>
      </c>
      <c r="C24" t="s">
        <v>496</v>
      </c>
      <c r="F24">
        <v>0.15</v>
      </c>
      <c r="I24">
        <f>I23*F24</f>
        <v>17835.66</v>
      </c>
    </row>
    <row r="25" spans="2:9">
      <c r="E25" t="s">
        <v>267</v>
      </c>
      <c r="H25" t="s">
        <v>268</v>
      </c>
      <c r="I25">
        <f>SUM(I17:I24)</f>
        <v>885195.66</v>
      </c>
    </row>
    <row r="27" spans="2:9">
      <c r="B27" t="s">
        <v>269</v>
      </c>
    </row>
    <row r="28" spans="2:9">
      <c r="B28" t="s">
        <v>262</v>
      </c>
      <c r="D28" t="s">
        <v>270</v>
      </c>
      <c r="F28" t="s">
        <v>101</v>
      </c>
      <c r="G28" t="s">
        <v>100</v>
      </c>
      <c r="H28" t="s">
        <v>489</v>
      </c>
      <c r="I28" t="s">
        <v>490</v>
      </c>
    </row>
    <row r="29" spans="2:9">
      <c r="H29" t="s">
        <v>491</v>
      </c>
      <c r="I29" t="s">
        <v>492</v>
      </c>
    </row>
    <row r="30" spans="2:9">
      <c r="B30">
        <v>1</v>
      </c>
      <c r="C30" t="s">
        <v>497</v>
      </c>
      <c r="F30" t="s">
        <v>272</v>
      </c>
      <c r="G30">
        <v>8</v>
      </c>
      <c r="H30">
        <v>620.70000000000005</v>
      </c>
      <c r="I30">
        <f>H30*G30</f>
        <v>4965.6000000000004</v>
      </c>
    </row>
    <row r="31" spans="2:9">
      <c r="C31" t="s">
        <v>273</v>
      </c>
      <c r="F31" t="s">
        <v>272</v>
      </c>
      <c r="G31">
        <v>8</v>
      </c>
      <c r="H31">
        <v>311.7</v>
      </c>
      <c r="I31">
        <f t="shared" ref="I31:I44" si="1">H31*G31</f>
        <v>2493.6</v>
      </c>
    </row>
    <row r="32" spans="2:9">
      <c r="B32">
        <v>2</v>
      </c>
      <c r="C32" t="s">
        <v>498</v>
      </c>
      <c r="F32" t="s">
        <v>272</v>
      </c>
      <c r="G32">
        <v>8</v>
      </c>
      <c r="H32">
        <v>131.9</v>
      </c>
      <c r="I32">
        <f t="shared" si="1"/>
        <v>1055.2</v>
      </c>
    </row>
    <row r="33" spans="2:9">
      <c r="C33" t="s">
        <v>273</v>
      </c>
      <c r="F33" t="s">
        <v>272</v>
      </c>
      <c r="G33">
        <v>8</v>
      </c>
      <c r="H33">
        <v>255</v>
      </c>
      <c r="I33">
        <f t="shared" si="1"/>
        <v>2040</v>
      </c>
    </row>
    <row r="34" spans="2:9">
      <c r="B34">
        <v>3</v>
      </c>
      <c r="C34" t="s">
        <v>499</v>
      </c>
      <c r="F34" t="s">
        <v>272</v>
      </c>
      <c r="G34">
        <v>32</v>
      </c>
      <c r="H34">
        <v>446.7</v>
      </c>
      <c r="I34">
        <f t="shared" si="1"/>
        <v>14294.4</v>
      </c>
    </row>
    <row r="35" spans="2:9">
      <c r="C35" t="s">
        <v>273</v>
      </c>
      <c r="F35" t="s">
        <v>272</v>
      </c>
      <c r="G35">
        <v>32</v>
      </c>
      <c r="H35">
        <v>320.8</v>
      </c>
      <c r="I35">
        <f t="shared" si="1"/>
        <v>10265.6</v>
      </c>
    </row>
    <row r="36" spans="2:9">
      <c r="B36">
        <v>4</v>
      </c>
      <c r="C36" t="s">
        <v>500</v>
      </c>
      <c r="F36" t="s">
        <v>272</v>
      </c>
      <c r="G36">
        <v>16</v>
      </c>
      <c r="H36">
        <v>867.1</v>
      </c>
      <c r="I36">
        <f t="shared" si="1"/>
        <v>13873.6</v>
      </c>
    </row>
    <row r="37" spans="2:9">
      <c r="C37" t="s">
        <v>273</v>
      </c>
      <c r="F37" t="s">
        <v>272</v>
      </c>
      <c r="G37">
        <v>16</v>
      </c>
      <c r="H37">
        <v>147.30000000000001</v>
      </c>
      <c r="I37">
        <f t="shared" si="1"/>
        <v>2356.8000000000002</v>
      </c>
    </row>
    <row r="38" spans="2:9">
      <c r="B38">
        <v>5</v>
      </c>
      <c r="C38" t="s">
        <v>501</v>
      </c>
      <c r="F38" t="s">
        <v>272</v>
      </c>
      <c r="G38">
        <v>40</v>
      </c>
      <c r="H38">
        <v>15.8</v>
      </c>
      <c r="I38">
        <f t="shared" si="1"/>
        <v>632</v>
      </c>
    </row>
    <row r="39" spans="2:9">
      <c r="C39" t="s">
        <v>273</v>
      </c>
      <c r="F39" t="s">
        <v>272</v>
      </c>
      <c r="G39">
        <v>40</v>
      </c>
      <c r="H39">
        <v>0</v>
      </c>
      <c r="I39">
        <f t="shared" si="1"/>
        <v>0</v>
      </c>
    </row>
    <row r="40" spans="2:9">
      <c r="B40">
        <v>6</v>
      </c>
      <c r="C40" t="s">
        <v>502</v>
      </c>
      <c r="F40" t="s">
        <v>272</v>
      </c>
      <c r="G40">
        <v>8</v>
      </c>
      <c r="H40">
        <v>6.7</v>
      </c>
      <c r="I40">
        <f t="shared" si="1"/>
        <v>53.6</v>
      </c>
    </row>
    <row r="41" spans="2:9">
      <c r="C41" t="s">
        <v>273</v>
      </c>
      <c r="F41" t="s">
        <v>272</v>
      </c>
      <c r="G41">
        <v>8</v>
      </c>
      <c r="H41">
        <v>56.7</v>
      </c>
      <c r="I41">
        <f t="shared" si="1"/>
        <v>453.6</v>
      </c>
    </row>
    <row r="42" spans="2:9">
      <c r="B42">
        <v>7</v>
      </c>
      <c r="C42" t="s">
        <v>503</v>
      </c>
      <c r="F42" t="s">
        <v>272</v>
      </c>
      <c r="G42">
        <v>16</v>
      </c>
      <c r="H42">
        <v>9.6999999999999993</v>
      </c>
      <c r="I42">
        <f t="shared" si="1"/>
        <v>155.19999999999999</v>
      </c>
    </row>
    <row r="43" spans="2:9">
      <c r="C43" t="s">
        <v>273</v>
      </c>
      <c r="F43" t="s">
        <v>272</v>
      </c>
      <c r="G43">
        <v>16</v>
      </c>
      <c r="H43">
        <v>8.5</v>
      </c>
      <c r="I43">
        <f t="shared" si="1"/>
        <v>136</v>
      </c>
    </row>
    <row r="44" spans="2:9">
      <c r="B44">
        <v>8</v>
      </c>
      <c r="C44" t="s">
        <v>318</v>
      </c>
      <c r="F44" t="s">
        <v>319</v>
      </c>
      <c r="G44">
        <v>10</v>
      </c>
      <c r="H44">
        <v>30</v>
      </c>
      <c r="I44">
        <f t="shared" si="1"/>
        <v>300</v>
      </c>
    </row>
    <row r="45" spans="2:9">
      <c r="D45" t="s">
        <v>274</v>
      </c>
      <c r="H45" t="s">
        <v>268</v>
      </c>
      <c r="I45">
        <f>SUM(I30:I44)</f>
        <v>53075.199999999997</v>
      </c>
    </row>
    <row r="47" spans="2:9">
      <c r="B47" t="s">
        <v>275</v>
      </c>
    </row>
    <row r="48" spans="2:9">
      <c r="B48" t="s">
        <v>262</v>
      </c>
      <c r="D48" t="s">
        <v>270</v>
      </c>
      <c r="F48" t="s">
        <v>101</v>
      </c>
      <c r="G48" t="s">
        <v>100</v>
      </c>
      <c r="H48" t="s">
        <v>489</v>
      </c>
      <c r="I48" t="s">
        <v>490</v>
      </c>
    </row>
    <row r="49" spans="2:9">
      <c r="H49" t="s">
        <v>491</v>
      </c>
      <c r="I49" t="s">
        <v>492</v>
      </c>
    </row>
    <row r="50" spans="2:9">
      <c r="B50">
        <v>1</v>
      </c>
      <c r="C50" t="s">
        <v>504</v>
      </c>
      <c r="F50" t="s">
        <v>272</v>
      </c>
      <c r="G50">
        <v>8</v>
      </c>
      <c r="H50">
        <v>357.5</v>
      </c>
      <c r="I50">
        <f>H50*G50</f>
        <v>2860</v>
      </c>
    </row>
    <row r="51" spans="2:9">
      <c r="B51">
        <v>2</v>
      </c>
      <c r="C51" t="s">
        <v>505</v>
      </c>
      <c r="F51" t="s">
        <v>272</v>
      </c>
      <c r="G51">
        <v>8</v>
      </c>
      <c r="H51">
        <v>172.6</v>
      </c>
      <c r="I51">
        <f t="shared" ref="I51:I64" si="2">H51*G51</f>
        <v>1380.8</v>
      </c>
    </row>
    <row r="52" spans="2:9">
      <c r="B52">
        <v>3</v>
      </c>
      <c r="C52" t="s">
        <v>506</v>
      </c>
      <c r="F52" t="s">
        <v>272</v>
      </c>
      <c r="G52">
        <v>32</v>
      </c>
      <c r="H52">
        <v>186.2</v>
      </c>
      <c r="I52">
        <f t="shared" si="2"/>
        <v>5958.4</v>
      </c>
    </row>
    <row r="53" spans="2:9">
      <c r="B53">
        <v>4</v>
      </c>
      <c r="C53" t="s">
        <v>507</v>
      </c>
      <c r="F53" t="s">
        <v>272</v>
      </c>
      <c r="G53">
        <v>16</v>
      </c>
      <c r="H53">
        <v>198.6</v>
      </c>
      <c r="I53">
        <f t="shared" si="2"/>
        <v>3177.6</v>
      </c>
    </row>
    <row r="54" spans="2:9">
      <c r="B54">
        <v>5</v>
      </c>
      <c r="C54" t="s">
        <v>324</v>
      </c>
      <c r="F54" t="s">
        <v>272</v>
      </c>
      <c r="G54">
        <v>8</v>
      </c>
      <c r="H54">
        <v>87</v>
      </c>
      <c r="I54">
        <f t="shared" si="2"/>
        <v>696</v>
      </c>
    </row>
    <row r="55" spans="2:9">
      <c r="B55">
        <v>6</v>
      </c>
      <c r="C55" t="s">
        <v>508</v>
      </c>
      <c r="F55" t="s">
        <v>272</v>
      </c>
      <c r="G55">
        <v>16</v>
      </c>
      <c r="H55">
        <v>165.6</v>
      </c>
      <c r="I55">
        <f t="shared" si="2"/>
        <v>2649.6</v>
      </c>
    </row>
    <row r="56" spans="2:9">
      <c r="B56">
        <v>7</v>
      </c>
      <c r="C56" t="s">
        <v>327</v>
      </c>
      <c r="F56" t="s">
        <v>278</v>
      </c>
      <c r="G56">
        <v>4</v>
      </c>
      <c r="H56">
        <v>465</v>
      </c>
      <c r="I56">
        <f t="shared" si="2"/>
        <v>1860</v>
      </c>
    </row>
    <row r="57" spans="2:9">
      <c r="B57">
        <v>8</v>
      </c>
      <c r="C57" t="s">
        <v>509</v>
      </c>
      <c r="F57" t="s">
        <v>278</v>
      </c>
      <c r="G57">
        <v>2</v>
      </c>
      <c r="H57">
        <v>535</v>
      </c>
      <c r="I57">
        <f t="shared" si="2"/>
        <v>1070</v>
      </c>
    </row>
    <row r="58" spans="2:9">
      <c r="B58">
        <v>9</v>
      </c>
      <c r="C58" t="s">
        <v>279</v>
      </c>
      <c r="I58">
        <f t="shared" si="2"/>
        <v>0</v>
      </c>
    </row>
    <row r="59" spans="2:9">
      <c r="C59" t="s">
        <v>510</v>
      </c>
      <c r="F59" t="s">
        <v>278</v>
      </c>
      <c r="G59">
        <v>2</v>
      </c>
      <c r="H59">
        <v>370</v>
      </c>
      <c r="I59">
        <f t="shared" si="2"/>
        <v>740</v>
      </c>
    </row>
    <row r="60" spans="2:9">
      <c r="C60" t="s">
        <v>511</v>
      </c>
      <c r="F60" t="s">
        <v>278</v>
      </c>
      <c r="G60">
        <v>2</v>
      </c>
      <c r="H60">
        <v>370</v>
      </c>
      <c r="I60">
        <f t="shared" si="2"/>
        <v>740</v>
      </c>
    </row>
    <row r="61" spans="2:9">
      <c r="C61" t="s">
        <v>512</v>
      </c>
      <c r="F61" t="s">
        <v>278</v>
      </c>
      <c r="G61">
        <v>2</v>
      </c>
      <c r="H61">
        <v>370</v>
      </c>
      <c r="I61">
        <f t="shared" si="2"/>
        <v>740</v>
      </c>
    </row>
    <row r="62" spans="2:9">
      <c r="C62" t="s">
        <v>513</v>
      </c>
      <c r="F62" t="s">
        <v>278</v>
      </c>
      <c r="G62">
        <v>6</v>
      </c>
      <c r="H62">
        <v>370</v>
      </c>
      <c r="I62">
        <f t="shared" si="2"/>
        <v>2220</v>
      </c>
    </row>
    <row r="63" spans="2:9">
      <c r="C63" t="s">
        <v>514</v>
      </c>
      <c r="F63" t="s">
        <v>278</v>
      </c>
      <c r="G63">
        <v>2</v>
      </c>
      <c r="H63">
        <v>370</v>
      </c>
      <c r="I63">
        <f t="shared" si="2"/>
        <v>740</v>
      </c>
    </row>
    <row r="64" spans="2:9">
      <c r="B64">
        <v>10</v>
      </c>
      <c r="C64" t="s">
        <v>417</v>
      </c>
      <c r="F64" t="s">
        <v>317</v>
      </c>
      <c r="G64">
        <v>360</v>
      </c>
      <c r="H64">
        <v>139.94999999999999</v>
      </c>
      <c r="I64">
        <f t="shared" si="2"/>
        <v>50382</v>
      </c>
    </row>
    <row r="65" spans="2:10">
      <c r="B65">
        <v>11</v>
      </c>
      <c r="C65" t="s">
        <v>515</v>
      </c>
      <c r="F65">
        <v>0.15</v>
      </c>
      <c r="I65">
        <f>I64*F65</f>
        <v>7557.3</v>
      </c>
    </row>
    <row r="66" spans="2:10">
      <c r="E66" t="s">
        <v>280</v>
      </c>
      <c r="H66" t="s">
        <v>268</v>
      </c>
      <c r="I66">
        <f>SUM(I50:I65)</f>
        <v>82771.7</v>
      </c>
    </row>
    <row r="67" spans="2:10">
      <c r="B67" t="s">
        <v>281</v>
      </c>
      <c r="G67">
        <v>344.7</v>
      </c>
    </row>
    <row r="68" spans="2:10">
      <c r="B68" t="s">
        <v>282</v>
      </c>
      <c r="F68">
        <v>0.13614999999999999</v>
      </c>
      <c r="G68">
        <v>47</v>
      </c>
    </row>
    <row r="69" spans="2:10">
      <c r="B69" t="s">
        <v>283</v>
      </c>
      <c r="G69">
        <f>SUM(G67:G68)</f>
        <v>391.7</v>
      </c>
    </row>
    <row r="71" spans="2:10">
      <c r="B71" t="s">
        <v>284</v>
      </c>
    </row>
    <row r="72" spans="2:10">
      <c r="B72" t="s">
        <v>285</v>
      </c>
      <c r="H72" t="s">
        <v>268</v>
      </c>
      <c r="I72">
        <f>I25</f>
        <v>885195.66</v>
      </c>
    </row>
    <row r="73" spans="2:10">
      <c r="B73" t="s">
        <v>286</v>
      </c>
      <c r="H73" t="s">
        <v>268</v>
      </c>
      <c r="I73">
        <f>I45</f>
        <v>53075.199999999997</v>
      </c>
    </row>
    <row r="74" spans="2:10">
      <c r="B74" t="s">
        <v>287</v>
      </c>
      <c r="H74" t="s">
        <v>268</v>
      </c>
      <c r="I74">
        <f>I66</f>
        <v>82771.7</v>
      </c>
    </row>
    <row r="75" spans="2:10">
      <c r="G75" t="s">
        <v>230</v>
      </c>
      <c r="H75" t="s">
        <v>268</v>
      </c>
      <c r="I75">
        <f>SUM(I72:I74)</f>
        <v>1021042.5599999999</v>
      </c>
    </row>
    <row r="76" spans="2:10">
      <c r="B76" t="s">
        <v>516</v>
      </c>
      <c r="G76">
        <v>0.03</v>
      </c>
      <c r="I76">
        <f>I75*G76</f>
        <v>30631.276799999996</v>
      </c>
    </row>
    <row r="77" spans="2:10">
      <c r="B77" t="s">
        <v>517</v>
      </c>
      <c r="G77">
        <v>2.5000000000000001E-2</v>
      </c>
      <c r="I77">
        <f>I75*G77</f>
        <v>25526.063999999998</v>
      </c>
    </row>
    <row r="78" spans="2:10">
      <c r="B78" t="s">
        <v>518</v>
      </c>
      <c r="G78">
        <v>0.04</v>
      </c>
      <c r="I78">
        <f>I75*G78</f>
        <v>40841.702400000002</v>
      </c>
    </row>
    <row r="79" spans="2:10">
      <c r="G79" t="s">
        <v>230</v>
      </c>
      <c r="H79" t="s">
        <v>268</v>
      </c>
      <c r="I79">
        <f>SUM(I75:I78)</f>
        <v>1118041.6032</v>
      </c>
    </row>
    <row r="80" spans="2:10">
      <c r="B80" t="s">
        <v>519</v>
      </c>
      <c r="G80">
        <v>0.13614999999999999</v>
      </c>
      <c r="H80" t="s">
        <v>293</v>
      </c>
      <c r="I80">
        <f>I79*G80</f>
        <v>152221.36427567998</v>
      </c>
      <c r="J80">
        <f>I75+I76+I77+I78+I80</f>
        <v>1270262.9674756799</v>
      </c>
    </row>
    <row r="81" spans="2:10">
      <c r="J81">
        <f>J80/240</f>
        <v>5292.7623644819996</v>
      </c>
    </row>
    <row r="83" spans="2:10">
      <c r="B83" s="1" t="s">
        <v>520</v>
      </c>
    </row>
    <row r="84" spans="2:10">
      <c r="B84" t="s">
        <v>262</v>
      </c>
      <c r="D84" t="s">
        <v>297</v>
      </c>
      <c r="F84" t="s">
        <v>101</v>
      </c>
      <c r="G84" t="s">
        <v>100</v>
      </c>
      <c r="H84" t="s">
        <v>489</v>
      </c>
      <c r="I84" t="s">
        <v>490</v>
      </c>
    </row>
    <row r="85" spans="2:10">
      <c r="H85" t="s">
        <v>491</v>
      </c>
      <c r="I85" t="s">
        <v>492</v>
      </c>
    </row>
    <row r="86" spans="2:10">
      <c r="B86">
        <v>1</v>
      </c>
      <c r="C86" t="s">
        <v>312</v>
      </c>
      <c r="F86" t="s">
        <v>106</v>
      </c>
      <c r="G86">
        <v>140.4</v>
      </c>
      <c r="H86" s="77">
        <f>Lead!G6</f>
        <v>1139.7</v>
      </c>
      <c r="I86">
        <f t="shared" ref="I86:I88" si="3">H86*G86</f>
        <v>160013.88</v>
      </c>
    </row>
    <row r="87" spans="2:10">
      <c r="B87">
        <v>2</v>
      </c>
      <c r="C87" t="s">
        <v>313</v>
      </c>
      <c r="F87" t="s">
        <v>106</v>
      </c>
      <c r="G87">
        <v>75.599999999999994</v>
      </c>
      <c r="H87" s="77">
        <f>H86</f>
        <v>1139.7</v>
      </c>
      <c r="I87">
        <f t="shared" si="3"/>
        <v>86161.319999999992</v>
      </c>
    </row>
    <row r="88" spans="2:10">
      <c r="B88">
        <v>3</v>
      </c>
      <c r="C88" t="s">
        <v>493</v>
      </c>
      <c r="F88" t="s">
        <v>106</v>
      </c>
      <c r="G88">
        <v>96</v>
      </c>
      <c r="H88" s="77">
        <f>Lead!G10</f>
        <v>695.1</v>
      </c>
      <c r="I88">
        <f t="shared" si="3"/>
        <v>66729.600000000006</v>
      </c>
    </row>
    <row r="89" spans="2:10">
      <c r="I89">
        <f>SUM(I86:I88)</f>
        <v>312904.80000000005</v>
      </c>
    </row>
    <row r="91" spans="2:10">
      <c r="B91" t="s">
        <v>521</v>
      </c>
      <c r="I91">
        <f>I79+I80+I89</f>
        <v>1583167.76747568</v>
      </c>
    </row>
    <row r="92" spans="2:10">
      <c r="B92" t="s">
        <v>522</v>
      </c>
      <c r="I92" s="100">
        <f>ROUND(I91/240,1)</f>
        <v>6596.5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G61"/>
  <sheetViews>
    <sheetView workbookViewId="0">
      <selection activeCell="J56" sqref="J56"/>
    </sheetView>
  </sheetViews>
  <sheetFormatPr defaultColWidth="9" defaultRowHeight="15"/>
  <cols>
    <col min="2" max="2" width="6.7109375" customWidth="1"/>
    <col min="3" max="3" width="27.85546875" customWidth="1"/>
  </cols>
  <sheetData>
    <row r="1" spans="1:7" ht="76.5">
      <c r="A1" s="76" t="s">
        <v>523</v>
      </c>
      <c r="B1" s="680" t="s">
        <v>524</v>
      </c>
      <c r="C1" s="680"/>
      <c r="D1" s="680"/>
      <c r="E1" s="680"/>
      <c r="F1" s="680"/>
      <c r="G1" s="680"/>
    </row>
    <row r="2" spans="1:7">
      <c r="A2" t="s">
        <v>525</v>
      </c>
    </row>
    <row r="3" spans="1:7">
      <c r="B3" t="s">
        <v>526</v>
      </c>
    </row>
    <row r="4" spans="1:7">
      <c r="B4" t="s">
        <v>426</v>
      </c>
      <c r="C4" t="s">
        <v>527</v>
      </c>
    </row>
    <row r="5" spans="1:7">
      <c r="A5" t="s">
        <v>258</v>
      </c>
      <c r="C5" t="s">
        <v>259</v>
      </c>
      <c r="E5" t="s">
        <v>260</v>
      </c>
      <c r="F5">
        <v>15.76</v>
      </c>
      <c r="G5" t="s">
        <v>106</v>
      </c>
    </row>
    <row r="6" spans="1:7">
      <c r="B6" t="s">
        <v>261</v>
      </c>
    </row>
    <row r="7" spans="1:7">
      <c r="B7" t="s">
        <v>262</v>
      </c>
      <c r="C7" t="s">
        <v>297</v>
      </c>
      <c r="D7" t="s">
        <v>101</v>
      </c>
      <c r="E7" t="s">
        <v>100</v>
      </c>
      <c r="F7" t="s">
        <v>103</v>
      </c>
      <c r="G7" t="s">
        <v>264</v>
      </c>
    </row>
    <row r="8" spans="1:7">
      <c r="F8" t="s">
        <v>265</v>
      </c>
      <c r="G8" t="s">
        <v>265</v>
      </c>
    </row>
    <row r="9" spans="1:7">
      <c r="B9">
        <v>1</v>
      </c>
      <c r="C9" t="s">
        <v>309</v>
      </c>
      <c r="D9" t="s">
        <v>310</v>
      </c>
      <c r="E9">
        <v>5200.8</v>
      </c>
      <c r="F9" s="77">
        <f>Lead!E5</f>
        <v>4.22</v>
      </c>
      <c r="G9">
        <f>F9*E9</f>
        <v>21947.376</v>
      </c>
    </row>
    <row r="10" spans="1:7">
      <c r="C10" t="s">
        <v>311</v>
      </c>
      <c r="D10" t="s">
        <v>310</v>
      </c>
      <c r="E10">
        <v>90.739000000000004</v>
      </c>
      <c r="F10" s="77">
        <f>F9</f>
        <v>4.22</v>
      </c>
      <c r="G10">
        <f t="shared" ref="G10:G17" si="0">F10*E10</f>
        <v>382.91858000000002</v>
      </c>
    </row>
    <row r="11" spans="1:7">
      <c r="B11">
        <v>2</v>
      </c>
      <c r="C11" t="s">
        <v>312</v>
      </c>
      <c r="D11" t="s">
        <v>106</v>
      </c>
      <c r="E11">
        <v>8.1951999999999998</v>
      </c>
      <c r="F11" s="77">
        <f>Lead!E8</f>
        <v>1445</v>
      </c>
      <c r="G11">
        <f t="shared" si="0"/>
        <v>11842.064</v>
      </c>
    </row>
    <row r="12" spans="1:7">
      <c r="C12" t="s">
        <v>313</v>
      </c>
      <c r="D12" t="s">
        <v>106</v>
      </c>
      <c r="E12">
        <v>4.4127999999999998</v>
      </c>
      <c r="F12" s="77">
        <f>Lead!E9</f>
        <v>1052</v>
      </c>
      <c r="G12">
        <f t="shared" si="0"/>
        <v>4642.2655999999997</v>
      </c>
    </row>
    <row r="13" spans="1:7">
      <c r="B13">
        <v>3</v>
      </c>
      <c r="C13" t="s">
        <v>528</v>
      </c>
      <c r="D13" t="s">
        <v>106</v>
      </c>
      <c r="E13">
        <v>7.0919999999999996</v>
      </c>
      <c r="F13">
        <v>95</v>
      </c>
      <c r="G13">
        <f t="shared" si="0"/>
        <v>673.74</v>
      </c>
    </row>
    <row r="14" spans="1:7">
      <c r="B14">
        <v>4</v>
      </c>
      <c r="C14" t="s">
        <v>315</v>
      </c>
      <c r="D14" t="s">
        <v>310</v>
      </c>
      <c r="E14">
        <v>20.8032</v>
      </c>
      <c r="F14">
        <v>55</v>
      </c>
      <c r="G14">
        <f t="shared" si="0"/>
        <v>1144.1759999999999</v>
      </c>
    </row>
    <row r="15" spans="1:7">
      <c r="B15">
        <v>5</v>
      </c>
      <c r="C15" t="s">
        <v>529</v>
      </c>
      <c r="D15" t="s">
        <v>317</v>
      </c>
      <c r="E15">
        <v>39.4</v>
      </c>
      <c r="F15">
        <v>276.58999999999997</v>
      </c>
      <c r="G15">
        <f t="shared" si="0"/>
        <v>10897.646000000001</v>
      </c>
    </row>
    <row r="16" spans="1:7">
      <c r="C16" t="s">
        <v>413</v>
      </c>
      <c r="D16">
        <v>2.5</v>
      </c>
      <c r="G16">
        <f>G15*D16</f>
        <v>27244.115000000002</v>
      </c>
    </row>
    <row r="17" spans="2:7">
      <c r="B17">
        <v>6</v>
      </c>
      <c r="C17" t="s">
        <v>318</v>
      </c>
      <c r="D17" t="s">
        <v>319</v>
      </c>
      <c r="E17">
        <v>1</v>
      </c>
      <c r="F17">
        <v>30</v>
      </c>
      <c r="G17">
        <f t="shared" si="0"/>
        <v>30</v>
      </c>
    </row>
    <row r="18" spans="2:7">
      <c r="C18" t="s">
        <v>267</v>
      </c>
      <c r="F18" t="s">
        <v>268</v>
      </c>
      <c r="G18">
        <f>SUM(G9:G17)</f>
        <v>78804.301179999995</v>
      </c>
    </row>
    <row r="19" spans="2:7">
      <c r="B19" t="s">
        <v>269</v>
      </c>
    </row>
    <row r="20" spans="2:7">
      <c r="B20" t="s">
        <v>262</v>
      </c>
      <c r="C20" t="s">
        <v>270</v>
      </c>
      <c r="D20" t="s">
        <v>101</v>
      </c>
      <c r="E20" t="s">
        <v>100</v>
      </c>
      <c r="F20" t="s">
        <v>103</v>
      </c>
      <c r="G20" t="s">
        <v>264</v>
      </c>
    </row>
    <row r="21" spans="2:7">
      <c r="F21" t="s">
        <v>265</v>
      </c>
      <c r="G21" t="s">
        <v>265</v>
      </c>
    </row>
    <row r="22" spans="2:7">
      <c r="B22">
        <v>1</v>
      </c>
      <c r="C22" t="s">
        <v>414</v>
      </c>
      <c r="D22" t="s">
        <v>272</v>
      </c>
      <c r="E22">
        <v>8</v>
      </c>
      <c r="F22">
        <v>53.5</v>
      </c>
      <c r="G22">
        <f>F22*E22</f>
        <v>428</v>
      </c>
    </row>
    <row r="23" spans="2:7">
      <c r="C23" t="s">
        <v>273</v>
      </c>
      <c r="D23" t="s">
        <v>272</v>
      </c>
      <c r="E23">
        <v>8</v>
      </c>
      <c r="F23">
        <v>84.9</v>
      </c>
      <c r="G23">
        <f t="shared" ref="G23:G27" si="1">F23*E23</f>
        <v>679.2</v>
      </c>
    </row>
    <row r="24" spans="2:7">
      <c r="B24">
        <v>2</v>
      </c>
      <c r="C24" t="s">
        <v>295</v>
      </c>
      <c r="D24" t="s">
        <v>272</v>
      </c>
      <c r="E24">
        <v>0.5</v>
      </c>
      <c r="F24">
        <v>10.199999999999999</v>
      </c>
      <c r="G24">
        <f t="shared" si="1"/>
        <v>5.0999999999999996</v>
      </c>
    </row>
    <row r="25" spans="2:7">
      <c r="C25" t="s">
        <v>273</v>
      </c>
      <c r="D25" t="s">
        <v>272</v>
      </c>
      <c r="E25">
        <v>0.5</v>
      </c>
      <c r="F25">
        <v>84.9</v>
      </c>
      <c r="G25">
        <f t="shared" si="1"/>
        <v>42.45</v>
      </c>
    </row>
    <row r="26" spans="2:7">
      <c r="B26">
        <v>3</v>
      </c>
      <c r="C26" t="s">
        <v>322</v>
      </c>
      <c r="D26" t="s">
        <v>272</v>
      </c>
      <c r="E26">
        <v>8</v>
      </c>
      <c r="F26">
        <v>7.6</v>
      </c>
      <c r="G26">
        <f t="shared" si="1"/>
        <v>60.8</v>
      </c>
    </row>
    <row r="27" spans="2:7">
      <c r="C27" t="s">
        <v>273</v>
      </c>
      <c r="D27" t="s">
        <v>272</v>
      </c>
      <c r="E27">
        <v>8</v>
      </c>
      <c r="F27">
        <v>19.7</v>
      </c>
      <c r="G27">
        <f t="shared" si="1"/>
        <v>157.6</v>
      </c>
    </row>
    <row r="28" spans="2:7">
      <c r="C28" t="s">
        <v>274</v>
      </c>
      <c r="F28" t="s">
        <v>268</v>
      </c>
      <c r="G28">
        <f>SUM(G22:G27)</f>
        <v>1373.15</v>
      </c>
    </row>
    <row r="29" spans="2:7">
      <c r="B29" t="s">
        <v>275</v>
      </c>
    </row>
    <row r="30" spans="2:7">
      <c r="B30" t="s">
        <v>262</v>
      </c>
      <c r="C30" t="s">
        <v>270</v>
      </c>
      <c r="D30" t="s">
        <v>101</v>
      </c>
      <c r="E30" t="s">
        <v>100</v>
      </c>
      <c r="F30" t="s">
        <v>103</v>
      </c>
      <c r="G30" t="s">
        <v>264</v>
      </c>
    </row>
    <row r="31" spans="2:7">
      <c r="F31" t="s">
        <v>265</v>
      </c>
      <c r="G31" t="s">
        <v>265</v>
      </c>
    </row>
    <row r="32" spans="2:7">
      <c r="B32">
        <v>1</v>
      </c>
      <c r="C32" t="s">
        <v>323</v>
      </c>
      <c r="D32" t="s">
        <v>272</v>
      </c>
      <c r="E32">
        <v>8</v>
      </c>
      <c r="F32">
        <v>230.1</v>
      </c>
      <c r="G32">
        <f>F32*E32</f>
        <v>1840.8</v>
      </c>
    </row>
    <row r="33" spans="2:7">
      <c r="B33">
        <v>2</v>
      </c>
      <c r="C33" t="s">
        <v>324</v>
      </c>
      <c r="D33" t="s">
        <v>272</v>
      </c>
      <c r="E33">
        <v>0.5</v>
      </c>
      <c r="F33">
        <v>116.1</v>
      </c>
      <c r="G33">
        <f t="shared" ref="G33:G43" si="2">F33*E33</f>
        <v>58.05</v>
      </c>
    </row>
    <row r="34" spans="2:7">
      <c r="B34">
        <v>3</v>
      </c>
      <c r="C34" t="s">
        <v>415</v>
      </c>
      <c r="D34" t="s">
        <v>272</v>
      </c>
      <c r="E34">
        <v>8</v>
      </c>
      <c r="F34">
        <v>165.6</v>
      </c>
      <c r="G34">
        <f t="shared" si="2"/>
        <v>1324.8</v>
      </c>
    </row>
    <row r="35" spans="2:7">
      <c r="B35">
        <v>4</v>
      </c>
      <c r="C35" t="s">
        <v>327</v>
      </c>
      <c r="D35" t="s">
        <v>278</v>
      </c>
      <c r="E35">
        <v>2</v>
      </c>
      <c r="F35">
        <v>465</v>
      </c>
      <c r="G35">
        <f t="shared" si="2"/>
        <v>930</v>
      </c>
    </row>
    <row r="36" spans="2:7">
      <c r="B36">
        <v>5</v>
      </c>
      <c r="C36" t="s">
        <v>277</v>
      </c>
      <c r="D36" t="s">
        <v>278</v>
      </c>
      <c r="E36">
        <v>1</v>
      </c>
      <c r="F36">
        <v>475</v>
      </c>
      <c r="G36">
        <f t="shared" si="2"/>
        <v>475</v>
      </c>
    </row>
    <row r="37" spans="2:7">
      <c r="B37">
        <v>6</v>
      </c>
      <c r="C37" t="s">
        <v>279</v>
      </c>
      <c r="G37">
        <f t="shared" si="2"/>
        <v>0</v>
      </c>
    </row>
    <row r="38" spans="2:7">
      <c r="C38" t="s">
        <v>329</v>
      </c>
      <c r="D38" t="s">
        <v>278</v>
      </c>
      <c r="E38">
        <v>11</v>
      </c>
      <c r="F38">
        <v>370</v>
      </c>
      <c r="G38">
        <f t="shared" si="2"/>
        <v>4070</v>
      </c>
    </row>
    <row r="39" spans="2:7">
      <c r="C39" t="s">
        <v>330</v>
      </c>
      <c r="D39" t="s">
        <v>278</v>
      </c>
      <c r="E39">
        <v>4</v>
      </c>
      <c r="F39">
        <v>370</v>
      </c>
      <c r="G39">
        <f t="shared" si="2"/>
        <v>1480</v>
      </c>
    </row>
    <row r="40" spans="2:7">
      <c r="C40" t="s">
        <v>416</v>
      </c>
      <c r="D40" t="s">
        <v>278</v>
      </c>
      <c r="E40">
        <v>4</v>
      </c>
      <c r="F40">
        <v>370</v>
      </c>
      <c r="G40">
        <f t="shared" si="2"/>
        <v>1480</v>
      </c>
    </row>
    <row r="41" spans="2:7">
      <c r="C41" t="s">
        <v>332</v>
      </c>
      <c r="D41" t="s">
        <v>278</v>
      </c>
      <c r="E41">
        <v>15.76</v>
      </c>
      <c r="F41">
        <v>370</v>
      </c>
      <c r="G41">
        <f t="shared" si="2"/>
        <v>5831.2</v>
      </c>
    </row>
    <row r="42" spans="2:7">
      <c r="C42" t="s">
        <v>333</v>
      </c>
      <c r="D42" t="s">
        <v>278</v>
      </c>
      <c r="E42">
        <v>1</v>
      </c>
      <c r="F42">
        <v>370</v>
      </c>
      <c r="G42">
        <f t="shared" si="2"/>
        <v>370</v>
      </c>
    </row>
    <row r="43" spans="2:7">
      <c r="B43">
        <v>7</v>
      </c>
      <c r="C43" t="s">
        <v>417</v>
      </c>
      <c r="D43" t="s">
        <v>317</v>
      </c>
      <c r="E43">
        <v>39.4</v>
      </c>
      <c r="F43">
        <v>93.3</v>
      </c>
      <c r="G43">
        <f t="shared" si="2"/>
        <v>3676.02</v>
      </c>
    </row>
    <row r="44" spans="2:7">
      <c r="C44" t="s">
        <v>515</v>
      </c>
      <c r="D44">
        <v>2.5</v>
      </c>
      <c r="G44">
        <f>G43*D44</f>
        <v>9190.0499999999993</v>
      </c>
    </row>
    <row r="45" spans="2:7">
      <c r="C45" t="s">
        <v>280</v>
      </c>
      <c r="F45" t="s">
        <v>268</v>
      </c>
      <c r="G45">
        <f>SUM(G32:G44)</f>
        <v>30725.919999999998</v>
      </c>
    </row>
    <row r="46" spans="2:7">
      <c r="B46" t="s">
        <v>473</v>
      </c>
    </row>
    <row r="47" spans="2:7">
      <c r="B47" t="s">
        <v>262</v>
      </c>
      <c r="C47" t="s">
        <v>297</v>
      </c>
      <c r="D47" t="s">
        <v>101</v>
      </c>
      <c r="E47" t="s">
        <v>100</v>
      </c>
      <c r="F47" t="s">
        <v>103</v>
      </c>
      <c r="G47" t="s">
        <v>264</v>
      </c>
    </row>
    <row r="48" spans="2:7">
      <c r="F48" t="s">
        <v>265</v>
      </c>
      <c r="G48" t="s">
        <v>265</v>
      </c>
    </row>
    <row r="49" spans="2:7">
      <c r="B49">
        <v>1</v>
      </c>
      <c r="C49" t="s">
        <v>312</v>
      </c>
      <c r="D49" t="s">
        <v>106</v>
      </c>
      <c r="E49">
        <v>8.1951999999999998</v>
      </c>
      <c r="F49" s="77">
        <f>Lead!G6</f>
        <v>1139.7</v>
      </c>
      <c r="G49">
        <f>F49*E49</f>
        <v>9340.0694399999993</v>
      </c>
    </row>
    <row r="50" spans="2:7">
      <c r="B50">
        <v>2</v>
      </c>
      <c r="C50" t="s">
        <v>313</v>
      </c>
      <c r="D50" t="s">
        <v>106</v>
      </c>
      <c r="E50">
        <v>4.4127999999999998</v>
      </c>
      <c r="F50" s="77">
        <f>F49</f>
        <v>1139.7</v>
      </c>
      <c r="G50">
        <f t="shared" ref="G50:G51" si="3">F50*E50</f>
        <v>5029.2681599999996</v>
      </c>
    </row>
    <row r="51" spans="2:7">
      <c r="B51">
        <v>3</v>
      </c>
      <c r="C51" t="s">
        <v>528</v>
      </c>
      <c r="D51" t="s">
        <v>106</v>
      </c>
      <c r="E51">
        <v>7.0919999999999996</v>
      </c>
      <c r="F51" s="77">
        <f>Lead!G10</f>
        <v>695.1</v>
      </c>
      <c r="G51">
        <f t="shared" si="3"/>
        <v>4929.6491999999998</v>
      </c>
    </row>
    <row r="52" spans="2:7">
      <c r="C52" t="s">
        <v>267</v>
      </c>
      <c r="F52" t="s">
        <v>268</v>
      </c>
      <c r="G52">
        <f>SUM(G49:G51)</f>
        <v>19298.986799999999</v>
      </c>
    </row>
    <row r="53" spans="2:7">
      <c r="B53" t="s">
        <v>284</v>
      </c>
    </row>
    <row r="54" spans="2:7">
      <c r="B54" t="s">
        <v>474</v>
      </c>
      <c r="F54" t="s">
        <v>268</v>
      </c>
      <c r="G54">
        <f>G18</f>
        <v>78804.301179999995</v>
      </c>
    </row>
    <row r="55" spans="2:7">
      <c r="B55" t="s">
        <v>286</v>
      </c>
      <c r="F55" t="s">
        <v>268</v>
      </c>
      <c r="G55">
        <f>G28</f>
        <v>1373.15</v>
      </c>
    </row>
    <row r="56" spans="2:7">
      <c r="B56" t="s">
        <v>287</v>
      </c>
      <c r="F56" t="s">
        <v>268</v>
      </c>
      <c r="G56">
        <f>G45</f>
        <v>30725.919999999998</v>
      </c>
    </row>
    <row r="57" spans="2:7">
      <c r="F57" t="s">
        <v>288</v>
      </c>
      <c r="G57">
        <f>SUM(G54:G56)</f>
        <v>110903.37117999999</v>
      </c>
    </row>
    <row r="58" spans="2:7">
      <c r="B58" t="s">
        <v>289</v>
      </c>
      <c r="E58">
        <v>0.13614999999999999</v>
      </c>
      <c r="F58" t="s">
        <v>268</v>
      </c>
      <c r="G58">
        <f>G57*E58</f>
        <v>15099.493986156998</v>
      </c>
    </row>
    <row r="59" spans="2:7">
      <c r="B59" t="s">
        <v>475</v>
      </c>
      <c r="F59" t="s">
        <v>268</v>
      </c>
      <c r="G59">
        <f>G52</f>
        <v>19298.986799999999</v>
      </c>
    </row>
    <row r="60" spans="2:7">
      <c r="B60" t="s">
        <v>290</v>
      </c>
      <c r="D60">
        <v>15.76</v>
      </c>
      <c r="E60" t="s">
        <v>106</v>
      </c>
      <c r="F60" t="s">
        <v>268</v>
      </c>
      <c r="G60">
        <f>G59+G58+G57</f>
        <v>145301.85196615697</v>
      </c>
    </row>
    <row r="61" spans="2:7">
      <c r="B61" t="s">
        <v>291</v>
      </c>
      <c r="C61" t="s">
        <v>106</v>
      </c>
      <c r="D61" t="s">
        <v>530</v>
      </c>
      <c r="F61" t="s">
        <v>293</v>
      </c>
      <c r="G61" s="100">
        <f>ROUND(G60/15.76,1)</f>
        <v>9219.7000000000007</v>
      </c>
    </row>
  </sheetData>
  <mergeCells count="1">
    <mergeCell ref="B1:G1"/>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I67"/>
  <sheetViews>
    <sheetView workbookViewId="0">
      <selection activeCell="G67" sqref="G67"/>
    </sheetView>
  </sheetViews>
  <sheetFormatPr defaultColWidth="9" defaultRowHeight="15"/>
  <cols>
    <col min="1" max="1" width="5" customWidth="1"/>
    <col min="2" max="2" width="5.5703125" customWidth="1"/>
    <col min="3" max="3" width="35.42578125" customWidth="1"/>
    <col min="7" max="7" width="11" customWidth="1"/>
  </cols>
  <sheetData>
    <row r="1" spans="1:7">
      <c r="A1" s="681" t="s">
        <v>531</v>
      </c>
      <c r="B1" t="s">
        <v>532</v>
      </c>
    </row>
    <row r="2" spans="1:7">
      <c r="A2" s="681"/>
      <c r="B2" t="s">
        <v>533</v>
      </c>
    </row>
    <row r="3" spans="1:7">
      <c r="A3" s="681"/>
      <c r="B3" t="s">
        <v>534</v>
      </c>
    </row>
    <row r="4" spans="1:7">
      <c r="A4" s="681"/>
      <c r="B4" t="s">
        <v>535</v>
      </c>
    </row>
    <row r="5" spans="1:7">
      <c r="A5" s="681"/>
      <c r="B5" t="s">
        <v>536</v>
      </c>
    </row>
    <row r="6" spans="1:7">
      <c r="A6" s="681"/>
      <c r="B6" t="s">
        <v>537</v>
      </c>
    </row>
    <row r="7" spans="1:7">
      <c r="A7" t="s">
        <v>258</v>
      </c>
      <c r="C7" t="s">
        <v>259</v>
      </c>
      <c r="E7" t="s">
        <v>260</v>
      </c>
      <c r="F7">
        <v>15.76</v>
      </c>
      <c r="G7" t="s">
        <v>106</v>
      </c>
    </row>
    <row r="8" spans="1:7">
      <c r="B8" t="s">
        <v>261</v>
      </c>
    </row>
    <row r="9" spans="1:7">
      <c r="B9" t="s">
        <v>262</v>
      </c>
      <c r="C9" t="s">
        <v>297</v>
      </c>
      <c r="D9" t="s">
        <v>101</v>
      </c>
      <c r="E9" t="s">
        <v>100</v>
      </c>
      <c r="F9" t="s">
        <v>103</v>
      </c>
      <c r="G9" t="s">
        <v>264</v>
      </c>
    </row>
    <row r="10" spans="1:7">
      <c r="F10" t="s">
        <v>265</v>
      </c>
      <c r="G10" t="s">
        <v>265</v>
      </c>
    </row>
    <row r="11" spans="1:7">
      <c r="B11">
        <v>1</v>
      </c>
      <c r="C11" t="s">
        <v>309</v>
      </c>
      <c r="D11" t="s">
        <v>310</v>
      </c>
      <c r="E11">
        <v>5988.8</v>
      </c>
      <c r="F11" s="77">
        <f>Lead!E5</f>
        <v>4.22</v>
      </c>
      <c r="G11" s="78">
        <f>ROUND(F11*E11,3)</f>
        <v>25272.736000000001</v>
      </c>
    </row>
    <row r="12" spans="1:7">
      <c r="C12" t="s">
        <v>311</v>
      </c>
      <c r="D12" t="s">
        <v>310</v>
      </c>
      <c r="E12">
        <v>90.739000000000004</v>
      </c>
      <c r="F12" s="77">
        <f>F11</f>
        <v>4.22</v>
      </c>
      <c r="G12" s="78">
        <f t="shared" ref="G12:G18" si="0">ROUND(F12*E12,3)</f>
        <v>382.91899999999998</v>
      </c>
    </row>
    <row r="13" spans="1:7">
      <c r="B13">
        <v>2</v>
      </c>
      <c r="C13" t="s">
        <v>312</v>
      </c>
      <c r="D13" t="s">
        <v>106</v>
      </c>
      <c r="E13">
        <v>8.1951999999999998</v>
      </c>
      <c r="F13" s="77">
        <f>Lead!E8</f>
        <v>1445</v>
      </c>
      <c r="G13" s="78">
        <f t="shared" si="0"/>
        <v>11842.064</v>
      </c>
    </row>
    <row r="14" spans="1:7">
      <c r="C14" t="s">
        <v>313</v>
      </c>
      <c r="D14" t="s">
        <v>106</v>
      </c>
      <c r="E14">
        <v>4.4127999999999998</v>
      </c>
      <c r="F14" s="77">
        <f>Lead!E9</f>
        <v>1052</v>
      </c>
      <c r="G14" s="78">
        <f t="shared" si="0"/>
        <v>4642.2659999999996</v>
      </c>
    </row>
    <row r="15" spans="1:7">
      <c r="B15">
        <v>3</v>
      </c>
      <c r="C15" t="s">
        <v>314</v>
      </c>
      <c r="D15" t="s">
        <v>106</v>
      </c>
      <c r="E15">
        <v>7.0919999999999996</v>
      </c>
      <c r="F15" s="77">
        <f>Lead!E10</f>
        <v>460</v>
      </c>
      <c r="G15" s="78">
        <f t="shared" si="0"/>
        <v>3262.32</v>
      </c>
    </row>
    <row r="16" spans="1:7">
      <c r="B16">
        <v>4</v>
      </c>
      <c r="C16" t="s">
        <v>315</v>
      </c>
      <c r="D16" t="s">
        <v>310</v>
      </c>
      <c r="E16">
        <v>20.8032</v>
      </c>
      <c r="F16">
        <v>55</v>
      </c>
      <c r="G16" s="78">
        <f t="shared" si="0"/>
        <v>1144.1759999999999</v>
      </c>
    </row>
    <row r="17" spans="2:7">
      <c r="B17">
        <v>5</v>
      </c>
      <c r="C17" t="s">
        <v>495</v>
      </c>
      <c r="D17" t="s">
        <v>317</v>
      </c>
      <c r="E17">
        <v>7.88</v>
      </c>
      <c r="F17">
        <v>228.44</v>
      </c>
      <c r="G17" s="78">
        <f t="shared" si="0"/>
        <v>1800.107</v>
      </c>
    </row>
    <row r="18" spans="2:7">
      <c r="B18">
        <v>6</v>
      </c>
      <c r="C18" t="s">
        <v>538</v>
      </c>
      <c r="D18" t="s">
        <v>319</v>
      </c>
      <c r="E18">
        <v>5</v>
      </c>
      <c r="F18">
        <v>30</v>
      </c>
      <c r="G18" s="78">
        <f t="shared" si="0"/>
        <v>150</v>
      </c>
    </row>
    <row r="19" spans="2:7">
      <c r="C19" t="s">
        <v>267</v>
      </c>
      <c r="F19" t="s">
        <v>268</v>
      </c>
      <c r="G19" s="78">
        <f>SUM(G11:G18)</f>
        <v>48496.588000000003</v>
      </c>
    </row>
    <row r="20" spans="2:7">
      <c r="B20" t="s">
        <v>269</v>
      </c>
    </row>
    <row r="21" spans="2:7">
      <c r="B21" t="s">
        <v>262</v>
      </c>
      <c r="C21" t="s">
        <v>270</v>
      </c>
      <c r="D21" t="s">
        <v>101</v>
      </c>
      <c r="E21" t="s">
        <v>100</v>
      </c>
      <c r="F21" t="s">
        <v>103</v>
      </c>
      <c r="G21" t="s">
        <v>264</v>
      </c>
    </row>
    <row r="22" spans="2:7">
      <c r="F22" t="s">
        <v>265</v>
      </c>
      <c r="G22" t="s">
        <v>265</v>
      </c>
    </row>
    <row r="23" spans="2:7">
      <c r="B23">
        <v>1</v>
      </c>
      <c r="C23" t="s">
        <v>414</v>
      </c>
      <c r="D23" t="s">
        <v>272</v>
      </c>
      <c r="E23">
        <v>8</v>
      </c>
      <c r="F23">
        <v>53.5</v>
      </c>
      <c r="G23">
        <f>F23*E23</f>
        <v>428</v>
      </c>
    </row>
    <row r="24" spans="2:7">
      <c r="C24" t="s">
        <v>273</v>
      </c>
      <c r="D24" t="s">
        <v>272</v>
      </c>
      <c r="E24">
        <v>8</v>
      </c>
      <c r="F24">
        <v>84.9</v>
      </c>
      <c r="G24">
        <f t="shared" ref="G24:G28" si="1">F24*E24</f>
        <v>679.2</v>
      </c>
    </row>
    <row r="25" spans="2:7">
      <c r="B25">
        <v>2</v>
      </c>
      <c r="C25" t="s">
        <v>295</v>
      </c>
      <c r="D25" t="s">
        <v>272</v>
      </c>
      <c r="E25">
        <v>0.5</v>
      </c>
      <c r="F25">
        <v>10.199999999999999</v>
      </c>
      <c r="G25">
        <f t="shared" si="1"/>
        <v>5.0999999999999996</v>
      </c>
    </row>
    <row r="26" spans="2:7">
      <c r="C26" t="s">
        <v>273</v>
      </c>
      <c r="D26" t="s">
        <v>272</v>
      </c>
      <c r="E26">
        <v>0.5</v>
      </c>
      <c r="F26">
        <v>84.9</v>
      </c>
      <c r="G26">
        <f t="shared" si="1"/>
        <v>42.45</v>
      </c>
    </row>
    <row r="27" spans="2:7">
      <c r="B27">
        <v>3</v>
      </c>
      <c r="C27" t="s">
        <v>322</v>
      </c>
      <c r="D27" t="s">
        <v>272</v>
      </c>
      <c r="E27">
        <v>8</v>
      </c>
      <c r="F27">
        <v>7.6</v>
      </c>
      <c r="G27">
        <f t="shared" si="1"/>
        <v>60.8</v>
      </c>
    </row>
    <row r="28" spans="2:7">
      <c r="C28" t="s">
        <v>273</v>
      </c>
      <c r="D28" t="s">
        <v>272</v>
      </c>
      <c r="E28">
        <v>8</v>
      </c>
      <c r="F28">
        <v>19.7</v>
      </c>
      <c r="G28">
        <f t="shared" si="1"/>
        <v>157.6</v>
      </c>
    </row>
    <row r="29" spans="2:7">
      <c r="C29" t="s">
        <v>274</v>
      </c>
      <c r="F29" t="s">
        <v>268</v>
      </c>
      <c r="G29">
        <f>SUM(G23:G28)</f>
        <v>1373.15</v>
      </c>
    </row>
    <row r="30" spans="2:7">
      <c r="B30" t="s">
        <v>275</v>
      </c>
    </row>
    <row r="31" spans="2:7">
      <c r="B31" t="s">
        <v>262</v>
      </c>
      <c r="C31" t="s">
        <v>270</v>
      </c>
      <c r="D31" t="s">
        <v>101</v>
      </c>
      <c r="E31" t="s">
        <v>100</v>
      </c>
      <c r="F31" t="s">
        <v>103</v>
      </c>
      <c r="G31" t="s">
        <v>264</v>
      </c>
    </row>
    <row r="32" spans="2:7">
      <c r="F32" t="s">
        <v>265</v>
      </c>
      <c r="G32" t="s">
        <v>265</v>
      </c>
    </row>
    <row r="33" spans="2:7">
      <c r="B33">
        <v>1</v>
      </c>
      <c r="C33" t="s">
        <v>323</v>
      </c>
      <c r="D33" t="s">
        <v>272</v>
      </c>
      <c r="E33">
        <v>8</v>
      </c>
      <c r="F33">
        <v>230.1</v>
      </c>
      <c r="G33">
        <f>F33*E33</f>
        <v>1840.8</v>
      </c>
    </row>
    <row r="34" spans="2:7">
      <c r="B34">
        <v>2</v>
      </c>
      <c r="C34" t="s">
        <v>324</v>
      </c>
      <c r="D34" t="s">
        <v>272</v>
      </c>
      <c r="E34">
        <v>0.5</v>
      </c>
      <c r="F34">
        <v>116.1</v>
      </c>
      <c r="G34">
        <f t="shared" ref="G34:G44" si="2">F34*E34</f>
        <v>58.05</v>
      </c>
    </row>
    <row r="35" spans="2:7">
      <c r="B35">
        <v>3</v>
      </c>
      <c r="C35" t="s">
        <v>415</v>
      </c>
      <c r="D35" t="s">
        <v>272</v>
      </c>
      <c r="E35">
        <v>8</v>
      </c>
      <c r="F35">
        <v>165.6</v>
      </c>
      <c r="G35">
        <f t="shared" si="2"/>
        <v>1324.8</v>
      </c>
    </row>
    <row r="36" spans="2:7">
      <c r="B36">
        <v>4</v>
      </c>
      <c r="C36" t="s">
        <v>327</v>
      </c>
      <c r="D36" t="s">
        <v>278</v>
      </c>
      <c r="E36">
        <v>2</v>
      </c>
      <c r="F36">
        <v>465</v>
      </c>
      <c r="G36">
        <f t="shared" si="2"/>
        <v>930</v>
      </c>
    </row>
    <row r="37" spans="2:7">
      <c r="B37">
        <v>5</v>
      </c>
      <c r="C37" t="s">
        <v>277</v>
      </c>
      <c r="D37" t="s">
        <v>278</v>
      </c>
      <c r="E37">
        <v>1</v>
      </c>
      <c r="F37">
        <v>475</v>
      </c>
      <c r="G37">
        <f t="shared" si="2"/>
        <v>475</v>
      </c>
    </row>
    <row r="38" spans="2:7">
      <c r="B38">
        <v>6</v>
      </c>
      <c r="C38" t="s">
        <v>279</v>
      </c>
      <c r="G38">
        <f t="shared" si="2"/>
        <v>0</v>
      </c>
    </row>
    <row r="39" spans="2:7">
      <c r="C39" t="s">
        <v>329</v>
      </c>
      <c r="D39" t="s">
        <v>278</v>
      </c>
      <c r="E39">
        <v>11</v>
      </c>
      <c r="F39">
        <v>370</v>
      </c>
      <c r="G39">
        <f t="shared" si="2"/>
        <v>4070</v>
      </c>
    </row>
    <row r="40" spans="2:7">
      <c r="C40" t="s">
        <v>330</v>
      </c>
      <c r="D40" t="s">
        <v>278</v>
      </c>
      <c r="E40">
        <v>4</v>
      </c>
      <c r="F40">
        <v>370</v>
      </c>
      <c r="G40">
        <f t="shared" si="2"/>
        <v>1480</v>
      </c>
    </row>
    <row r="41" spans="2:7">
      <c r="C41" t="s">
        <v>416</v>
      </c>
      <c r="D41" t="s">
        <v>278</v>
      </c>
      <c r="E41">
        <v>4</v>
      </c>
      <c r="F41">
        <v>370</v>
      </c>
      <c r="G41">
        <f t="shared" si="2"/>
        <v>1480</v>
      </c>
    </row>
    <row r="42" spans="2:7">
      <c r="C42" t="s">
        <v>332</v>
      </c>
      <c r="D42" t="s">
        <v>278</v>
      </c>
      <c r="E42">
        <v>15.76</v>
      </c>
      <c r="F42">
        <v>370</v>
      </c>
      <c r="G42">
        <f t="shared" si="2"/>
        <v>5831.2</v>
      </c>
    </row>
    <row r="43" spans="2:7">
      <c r="C43" t="s">
        <v>333</v>
      </c>
      <c r="D43" t="s">
        <v>278</v>
      </c>
      <c r="E43">
        <v>2</v>
      </c>
      <c r="F43">
        <v>370</v>
      </c>
      <c r="G43">
        <f t="shared" si="2"/>
        <v>740</v>
      </c>
    </row>
    <row r="44" spans="2:7">
      <c r="B44">
        <v>7</v>
      </c>
      <c r="C44" t="s">
        <v>417</v>
      </c>
      <c r="D44" t="s">
        <v>317</v>
      </c>
      <c r="E44">
        <v>7.88</v>
      </c>
      <c r="F44">
        <v>93.3</v>
      </c>
      <c r="G44">
        <f t="shared" si="2"/>
        <v>735.20399999999995</v>
      </c>
    </row>
    <row r="45" spans="2:7">
      <c r="C45" t="s">
        <v>280</v>
      </c>
      <c r="F45" t="s">
        <v>268</v>
      </c>
      <c r="G45">
        <f>SUM(G33:G44)</f>
        <v>18965.054</v>
      </c>
    </row>
    <row r="46" spans="2:7">
      <c r="B46" t="s">
        <v>281</v>
      </c>
      <c r="E46">
        <v>1049.7</v>
      </c>
    </row>
    <row r="47" spans="2:7">
      <c r="B47" t="s">
        <v>282</v>
      </c>
      <c r="D47">
        <v>0.13614999999999999</v>
      </c>
      <c r="E47">
        <v>142.9</v>
      </c>
    </row>
    <row r="48" spans="2:7">
      <c r="B48" t="s">
        <v>283</v>
      </c>
      <c r="E48">
        <v>1192.5999999999999</v>
      </c>
    </row>
    <row r="49" spans="2:9">
      <c r="B49" t="s">
        <v>284</v>
      </c>
    </row>
    <row r="50" spans="2:9">
      <c r="B50" t="s">
        <v>285</v>
      </c>
      <c r="F50" t="s">
        <v>268</v>
      </c>
      <c r="G50" s="78">
        <f>G19</f>
        <v>48496.588000000003</v>
      </c>
    </row>
    <row r="51" spans="2:9">
      <c r="B51" t="s">
        <v>286</v>
      </c>
      <c r="F51" t="s">
        <v>268</v>
      </c>
      <c r="G51">
        <f>G29</f>
        <v>1373.15</v>
      </c>
    </row>
    <row r="52" spans="2:9">
      <c r="B52" t="s">
        <v>287</v>
      </c>
      <c r="F52" t="s">
        <v>268</v>
      </c>
      <c r="G52">
        <f>G45</f>
        <v>18965.054</v>
      </c>
    </row>
    <row r="53" spans="2:9">
      <c r="F53" t="s">
        <v>288</v>
      </c>
      <c r="G53" s="78">
        <f>SUM(G50:G52)</f>
        <v>68834.792000000001</v>
      </c>
    </row>
    <row r="54" spans="2:9">
      <c r="B54" t="s">
        <v>289</v>
      </c>
      <c r="E54">
        <v>0.13614999999999999</v>
      </c>
      <c r="F54" t="s">
        <v>268</v>
      </c>
      <c r="G54">
        <f>G53*E54</f>
        <v>9371.8569308000006</v>
      </c>
    </row>
    <row r="55" spans="2:9">
      <c r="G55" s="78"/>
    </row>
    <row r="56" spans="2:9">
      <c r="G56" s="79"/>
    </row>
    <row r="58" spans="2:9">
      <c r="B58" s="80" t="s">
        <v>473</v>
      </c>
      <c r="C58" s="81"/>
      <c r="D58" s="81"/>
      <c r="E58" s="81"/>
      <c r="F58" s="81"/>
      <c r="G58" s="81"/>
      <c r="I58" s="73"/>
    </row>
    <row r="59" spans="2:9">
      <c r="B59" s="82" t="s">
        <v>262</v>
      </c>
      <c r="C59" s="83" t="s">
        <v>297</v>
      </c>
      <c r="D59" s="82" t="s">
        <v>101</v>
      </c>
      <c r="E59" s="82" t="s">
        <v>100</v>
      </c>
      <c r="F59" s="82" t="s">
        <v>103</v>
      </c>
      <c r="G59" s="82" t="s">
        <v>264</v>
      </c>
      <c r="I59" s="73"/>
    </row>
    <row r="60" spans="2:9">
      <c r="B60" s="84"/>
      <c r="C60" s="85"/>
      <c r="D60" s="84"/>
      <c r="E60" s="84"/>
      <c r="F60" s="84" t="s">
        <v>265</v>
      </c>
      <c r="G60" s="84" t="s">
        <v>265</v>
      </c>
      <c r="I60" s="73"/>
    </row>
    <row r="61" spans="2:9">
      <c r="B61" s="86">
        <v>1</v>
      </c>
      <c r="C61" t="s">
        <v>312</v>
      </c>
      <c r="D61" t="s">
        <v>106</v>
      </c>
      <c r="E61">
        <v>8.1951999999999998</v>
      </c>
      <c r="F61" s="87">
        <f>Lead!G7</f>
        <v>1139.7</v>
      </c>
      <c r="G61" s="88">
        <f>ROUND(F61*E61,2)</f>
        <v>9340.07</v>
      </c>
      <c r="I61" s="77"/>
    </row>
    <row r="62" spans="2:9">
      <c r="B62" s="86">
        <v>2</v>
      </c>
      <c r="C62" t="s">
        <v>313</v>
      </c>
      <c r="D62" t="s">
        <v>106</v>
      </c>
      <c r="E62">
        <v>4.4127999999999998</v>
      </c>
      <c r="F62" s="87">
        <f>F61</f>
        <v>1139.7</v>
      </c>
      <c r="G62" s="88">
        <f t="shared" ref="G62:G63" si="3">ROUND(F62*E62,2)</f>
        <v>5029.2700000000004</v>
      </c>
      <c r="I62" s="77"/>
    </row>
    <row r="63" spans="2:9">
      <c r="B63" s="86">
        <v>3</v>
      </c>
      <c r="C63" t="s">
        <v>314</v>
      </c>
      <c r="D63" t="s">
        <v>106</v>
      </c>
      <c r="E63">
        <v>7.0919999999999996</v>
      </c>
      <c r="F63" s="87">
        <f>Lead!G10</f>
        <v>695.1</v>
      </c>
      <c r="G63" s="88">
        <f t="shared" si="3"/>
        <v>4929.6499999999996</v>
      </c>
    </row>
    <row r="64" spans="2:9">
      <c r="B64" s="89"/>
      <c r="C64" s="90" t="s">
        <v>267</v>
      </c>
      <c r="D64" s="91"/>
      <c r="E64" s="92"/>
      <c r="F64" s="93" t="s">
        <v>268</v>
      </c>
      <c r="G64" s="94">
        <f>SUM(G61:G63)</f>
        <v>19298.989999999998</v>
      </c>
    </row>
    <row r="65" spans="2:7">
      <c r="B65" s="95"/>
      <c r="C65" s="81"/>
      <c r="D65" s="81"/>
      <c r="E65" s="96"/>
      <c r="F65" s="96"/>
      <c r="G65" s="97"/>
    </row>
    <row r="66" spans="2:7">
      <c r="B66" s="81" t="s">
        <v>539</v>
      </c>
      <c r="C66" s="81"/>
      <c r="D66" s="98">
        <v>15.76</v>
      </c>
      <c r="E66" s="98" t="s">
        <v>106</v>
      </c>
      <c r="F66" s="96" t="s">
        <v>268</v>
      </c>
      <c r="G66" s="98">
        <f>G53+G54+G64</f>
        <v>97505.638930799993</v>
      </c>
    </row>
    <row r="67" spans="2:7">
      <c r="B67" s="81" t="s">
        <v>540</v>
      </c>
      <c r="C67" s="98"/>
      <c r="D67" s="81" t="s">
        <v>530</v>
      </c>
      <c r="E67" s="81"/>
      <c r="F67" s="96" t="s">
        <v>293</v>
      </c>
      <c r="G67" s="99">
        <f>ROUND(G66/D66,1)</f>
        <v>6186.9</v>
      </c>
    </row>
  </sheetData>
  <mergeCells count="1">
    <mergeCell ref="A1:A6"/>
  </mergeCells>
  <printOptions gridLines="1"/>
  <pageMargins left="0.95" right="0.7" top="0.5" bottom="0.5" header="0.3" footer="0.3"/>
  <pageSetup paperSize="9" scale="95" orientation="portrait" horizontalDpi="300" verticalDpi="300" r:id="rId1"/>
</worksheet>
</file>

<file path=xl/worksheets/sheet19.xml><?xml version="1.0" encoding="utf-8"?>
<worksheet xmlns="http://schemas.openxmlformats.org/spreadsheetml/2006/main" xmlns:r="http://schemas.openxmlformats.org/officeDocument/2006/relationships">
  <dimension ref="A1:I67"/>
  <sheetViews>
    <sheetView workbookViewId="0">
      <selection activeCell="J21" sqref="J21"/>
    </sheetView>
  </sheetViews>
  <sheetFormatPr defaultColWidth="9" defaultRowHeight="15"/>
  <cols>
    <col min="1" max="1" width="5" customWidth="1"/>
    <col min="2" max="2" width="5.5703125" customWidth="1"/>
    <col min="3" max="3" width="35.42578125" customWidth="1"/>
    <col min="7" max="7" width="11" customWidth="1"/>
  </cols>
  <sheetData>
    <row r="1" spans="1:7">
      <c r="A1" s="681" t="s">
        <v>531</v>
      </c>
      <c r="B1" t="s">
        <v>541</v>
      </c>
    </row>
    <row r="2" spans="1:7">
      <c r="A2" s="681"/>
      <c r="B2" t="s">
        <v>533</v>
      </c>
    </row>
    <row r="3" spans="1:7">
      <c r="A3" s="681"/>
      <c r="B3" t="s">
        <v>534</v>
      </c>
    </row>
    <row r="4" spans="1:7">
      <c r="A4" s="681"/>
      <c r="B4" t="s">
        <v>535</v>
      </c>
    </row>
    <row r="5" spans="1:7">
      <c r="A5" s="681"/>
      <c r="B5" t="s">
        <v>536</v>
      </c>
    </row>
    <row r="6" spans="1:7">
      <c r="A6" s="681"/>
      <c r="B6" t="s">
        <v>537</v>
      </c>
    </row>
    <row r="7" spans="1:7">
      <c r="A7" t="s">
        <v>258</v>
      </c>
      <c r="C7" t="s">
        <v>259</v>
      </c>
      <c r="E7" t="s">
        <v>260</v>
      </c>
      <c r="F7">
        <v>15.76</v>
      </c>
      <c r="G7" t="s">
        <v>106</v>
      </c>
    </row>
    <row r="8" spans="1:7">
      <c r="B8" t="s">
        <v>261</v>
      </c>
    </row>
    <row r="9" spans="1:7">
      <c r="B9" t="s">
        <v>262</v>
      </c>
      <c r="C9" t="s">
        <v>297</v>
      </c>
      <c r="D9" t="s">
        <v>101</v>
      </c>
      <c r="E9" t="s">
        <v>100</v>
      </c>
      <c r="F9" t="s">
        <v>103</v>
      </c>
      <c r="G9" t="s">
        <v>264</v>
      </c>
    </row>
    <row r="10" spans="1:7">
      <c r="F10" t="s">
        <v>265</v>
      </c>
      <c r="G10" t="s">
        <v>265</v>
      </c>
    </row>
    <row r="11" spans="1:7">
      <c r="B11">
        <v>1</v>
      </c>
      <c r="C11" t="s">
        <v>309</v>
      </c>
      <c r="D11" t="s">
        <v>310</v>
      </c>
      <c r="E11">
        <f>F7*407</f>
        <v>6414.32</v>
      </c>
      <c r="F11" s="77">
        <f>Lead!E5</f>
        <v>4.22</v>
      </c>
      <c r="G11" s="78">
        <f>ROUND(F11*E11,3)</f>
        <v>27068.43</v>
      </c>
    </row>
    <row r="12" spans="1:7">
      <c r="C12" t="s">
        <v>311</v>
      </c>
      <c r="D12" t="s">
        <v>310</v>
      </c>
      <c r="E12">
        <v>97.186000000000007</v>
      </c>
      <c r="F12" s="77">
        <f>F11</f>
        <v>4.22</v>
      </c>
      <c r="G12" s="78">
        <f t="shared" ref="G12:G18" si="0">ROUND(F12*E12,3)</f>
        <v>410.125</v>
      </c>
    </row>
    <row r="13" spans="1:7">
      <c r="B13">
        <v>2</v>
      </c>
      <c r="C13" t="s">
        <v>312</v>
      </c>
      <c r="D13" t="s">
        <v>106</v>
      </c>
      <c r="E13">
        <v>8.1951999999999998</v>
      </c>
      <c r="F13" s="77">
        <f>Lead!E8</f>
        <v>1445</v>
      </c>
      <c r="G13" s="78">
        <f t="shared" si="0"/>
        <v>11842.064</v>
      </c>
    </row>
    <row r="14" spans="1:7">
      <c r="C14" t="s">
        <v>313</v>
      </c>
      <c r="D14" t="s">
        <v>106</v>
      </c>
      <c r="E14">
        <v>4.4127999999999998</v>
      </c>
      <c r="F14" s="77">
        <f>Lead!E9</f>
        <v>1052</v>
      </c>
      <c r="G14" s="78">
        <f t="shared" si="0"/>
        <v>4642.2659999999996</v>
      </c>
    </row>
    <row r="15" spans="1:7">
      <c r="B15">
        <v>3</v>
      </c>
      <c r="C15" t="s">
        <v>314</v>
      </c>
      <c r="D15" t="s">
        <v>106</v>
      </c>
      <c r="E15">
        <v>7.0919999999999996</v>
      </c>
      <c r="F15" s="77">
        <f>Lead!E10</f>
        <v>460</v>
      </c>
      <c r="G15" s="78">
        <f t="shared" si="0"/>
        <v>3262.32</v>
      </c>
    </row>
    <row r="16" spans="1:7">
      <c r="B16">
        <v>4</v>
      </c>
      <c r="C16" t="s">
        <v>315</v>
      </c>
      <c r="D16" t="s">
        <v>310</v>
      </c>
      <c r="E16">
        <v>20.8032</v>
      </c>
      <c r="F16">
        <v>55</v>
      </c>
      <c r="G16" s="78">
        <f t="shared" si="0"/>
        <v>1144.1759999999999</v>
      </c>
    </row>
    <row r="17" spans="2:7">
      <c r="B17">
        <v>5</v>
      </c>
      <c r="C17" t="s">
        <v>495</v>
      </c>
      <c r="D17" t="s">
        <v>317</v>
      </c>
      <c r="E17">
        <v>7.88</v>
      </c>
      <c r="F17">
        <v>228.44</v>
      </c>
      <c r="G17" s="78">
        <f t="shared" si="0"/>
        <v>1800.107</v>
      </c>
    </row>
    <row r="18" spans="2:7">
      <c r="B18">
        <v>6</v>
      </c>
      <c r="C18" t="s">
        <v>538</v>
      </c>
      <c r="D18" t="s">
        <v>319</v>
      </c>
      <c r="E18">
        <v>5</v>
      </c>
      <c r="F18">
        <v>30</v>
      </c>
      <c r="G18" s="78">
        <f t="shared" si="0"/>
        <v>150</v>
      </c>
    </row>
    <row r="19" spans="2:7">
      <c r="C19" t="s">
        <v>267</v>
      </c>
      <c r="F19" t="s">
        <v>268</v>
      </c>
      <c r="G19" s="78">
        <f>SUM(G11:G18)</f>
        <v>50319.487999999998</v>
      </c>
    </row>
    <row r="20" spans="2:7">
      <c r="B20" t="s">
        <v>269</v>
      </c>
    </row>
    <row r="21" spans="2:7">
      <c r="B21" t="s">
        <v>262</v>
      </c>
      <c r="C21" t="s">
        <v>270</v>
      </c>
      <c r="D21" t="s">
        <v>101</v>
      </c>
      <c r="E21" t="s">
        <v>100</v>
      </c>
      <c r="F21" t="s">
        <v>103</v>
      </c>
      <c r="G21" t="s">
        <v>264</v>
      </c>
    </row>
    <row r="22" spans="2:7">
      <c r="F22" t="s">
        <v>265</v>
      </c>
      <c r="G22" t="s">
        <v>265</v>
      </c>
    </row>
    <row r="23" spans="2:7">
      <c r="B23">
        <v>1</v>
      </c>
      <c r="C23" t="s">
        <v>414</v>
      </c>
      <c r="D23" t="s">
        <v>272</v>
      </c>
      <c r="E23">
        <v>8</v>
      </c>
      <c r="F23">
        <v>53.5</v>
      </c>
      <c r="G23">
        <f>F23*E23</f>
        <v>428</v>
      </c>
    </row>
    <row r="24" spans="2:7">
      <c r="C24" t="s">
        <v>273</v>
      </c>
      <c r="D24" t="s">
        <v>272</v>
      </c>
      <c r="E24">
        <v>8</v>
      </c>
      <c r="F24">
        <v>84.9</v>
      </c>
      <c r="G24">
        <f t="shared" ref="G24:G28" si="1">F24*E24</f>
        <v>679.2</v>
      </c>
    </row>
    <row r="25" spans="2:7">
      <c r="B25">
        <v>2</v>
      </c>
      <c r="C25" t="s">
        <v>295</v>
      </c>
      <c r="D25" t="s">
        <v>272</v>
      </c>
      <c r="E25">
        <v>0.5</v>
      </c>
      <c r="F25">
        <v>10.199999999999999</v>
      </c>
      <c r="G25">
        <f t="shared" si="1"/>
        <v>5.0999999999999996</v>
      </c>
    </row>
    <row r="26" spans="2:7">
      <c r="C26" t="s">
        <v>273</v>
      </c>
      <c r="D26" t="s">
        <v>272</v>
      </c>
      <c r="E26">
        <v>0.5</v>
      </c>
      <c r="F26">
        <v>84.9</v>
      </c>
      <c r="G26">
        <f t="shared" si="1"/>
        <v>42.45</v>
      </c>
    </row>
    <row r="27" spans="2:7">
      <c r="B27">
        <v>3</v>
      </c>
      <c r="C27" t="s">
        <v>322</v>
      </c>
      <c r="D27" t="s">
        <v>272</v>
      </c>
      <c r="E27">
        <v>8</v>
      </c>
      <c r="F27">
        <v>7.6</v>
      </c>
      <c r="G27">
        <f t="shared" si="1"/>
        <v>60.8</v>
      </c>
    </row>
    <row r="28" spans="2:7">
      <c r="C28" t="s">
        <v>273</v>
      </c>
      <c r="D28" t="s">
        <v>272</v>
      </c>
      <c r="E28">
        <v>8</v>
      </c>
      <c r="F28">
        <v>19.7</v>
      </c>
      <c r="G28">
        <f t="shared" si="1"/>
        <v>157.6</v>
      </c>
    </row>
    <row r="29" spans="2:7">
      <c r="C29" t="s">
        <v>274</v>
      </c>
      <c r="F29" t="s">
        <v>268</v>
      </c>
      <c r="G29">
        <f>SUM(G23:G28)</f>
        <v>1373.15</v>
      </c>
    </row>
    <row r="30" spans="2:7">
      <c r="B30" t="s">
        <v>275</v>
      </c>
    </row>
    <row r="31" spans="2:7">
      <c r="B31" t="s">
        <v>262</v>
      </c>
      <c r="C31" t="s">
        <v>270</v>
      </c>
      <c r="D31" t="s">
        <v>101</v>
      </c>
      <c r="E31" t="s">
        <v>100</v>
      </c>
      <c r="F31" t="s">
        <v>103</v>
      </c>
      <c r="G31" t="s">
        <v>264</v>
      </c>
    </row>
    <row r="32" spans="2:7">
      <c r="F32" t="s">
        <v>265</v>
      </c>
      <c r="G32" t="s">
        <v>265</v>
      </c>
    </row>
    <row r="33" spans="2:7">
      <c r="B33">
        <v>1</v>
      </c>
      <c r="C33" t="s">
        <v>323</v>
      </c>
      <c r="D33" t="s">
        <v>272</v>
      </c>
      <c r="E33">
        <v>8</v>
      </c>
      <c r="F33">
        <v>230.1</v>
      </c>
      <c r="G33">
        <f>F33*E33</f>
        <v>1840.8</v>
      </c>
    </row>
    <row r="34" spans="2:7">
      <c r="B34">
        <v>2</v>
      </c>
      <c r="C34" t="s">
        <v>324</v>
      </c>
      <c r="D34" t="s">
        <v>272</v>
      </c>
      <c r="E34">
        <v>0.5</v>
      </c>
      <c r="F34">
        <v>116.1</v>
      </c>
      <c r="G34">
        <f t="shared" ref="G34:G44" si="2">F34*E34</f>
        <v>58.05</v>
      </c>
    </row>
    <row r="35" spans="2:7">
      <c r="B35">
        <v>3</v>
      </c>
      <c r="C35" t="s">
        <v>415</v>
      </c>
      <c r="D35" t="s">
        <v>272</v>
      </c>
      <c r="E35">
        <v>8</v>
      </c>
      <c r="F35">
        <v>165.6</v>
      </c>
      <c r="G35">
        <f t="shared" si="2"/>
        <v>1324.8</v>
      </c>
    </row>
    <row r="36" spans="2:7">
      <c r="B36">
        <v>4</v>
      </c>
      <c r="C36" t="s">
        <v>327</v>
      </c>
      <c r="D36" t="s">
        <v>278</v>
      </c>
      <c r="E36">
        <v>2</v>
      </c>
      <c r="F36">
        <v>465</v>
      </c>
      <c r="G36">
        <f t="shared" si="2"/>
        <v>930</v>
      </c>
    </row>
    <row r="37" spans="2:7">
      <c r="B37">
        <v>5</v>
      </c>
      <c r="C37" t="s">
        <v>277</v>
      </c>
      <c r="D37" t="s">
        <v>278</v>
      </c>
      <c r="E37">
        <v>1</v>
      </c>
      <c r="F37">
        <v>475</v>
      </c>
      <c r="G37">
        <f t="shared" si="2"/>
        <v>475</v>
      </c>
    </row>
    <row r="38" spans="2:7">
      <c r="B38">
        <v>6</v>
      </c>
      <c r="C38" t="s">
        <v>279</v>
      </c>
      <c r="G38">
        <f t="shared" si="2"/>
        <v>0</v>
      </c>
    </row>
    <row r="39" spans="2:7">
      <c r="C39" t="s">
        <v>329</v>
      </c>
      <c r="D39" t="s">
        <v>278</v>
      </c>
      <c r="E39">
        <v>11</v>
      </c>
      <c r="F39">
        <v>370</v>
      </c>
      <c r="G39">
        <f t="shared" si="2"/>
        <v>4070</v>
      </c>
    </row>
    <row r="40" spans="2:7">
      <c r="C40" t="s">
        <v>330</v>
      </c>
      <c r="D40" t="s">
        <v>278</v>
      </c>
      <c r="E40">
        <v>4</v>
      </c>
      <c r="F40">
        <v>370</v>
      </c>
      <c r="G40">
        <f t="shared" si="2"/>
        <v>1480</v>
      </c>
    </row>
    <row r="41" spans="2:7">
      <c r="C41" t="s">
        <v>416</v>
      </c>
      <c r="D41" t="s">
        <v>278</v>
      </c>
      <c r="E41">
        <v>4</v>
      </c>
      <c r="F41">
        <v>370</v>
      </c>
      <c r="G41">
        <f t="shared" si="2"/>
        <v>1480</v>
      </c>
    </row>
    <row r="42" spans="2:7">
      <c r="C42" t="s">
        <v>332</v>
      </c>
      <c r="D42" t="s">
        <v>278</v>
      </c>
      <c r="E42">
        <v>15.76</v>
      </c>
      <c r="F42">
        <v>370</v>
      </c>
      <c r="G42">
        <f t="shared" si="2"/>
        <v>5831.2</v>
      </c>
    </row>
    <row r="43" spans="2:7">
      <c r="C43" t="s">
        <v>333</v>
      </c>
      <c r="D43" t="s">
        <v>278</v>
      </c>
      <c r="E43">
        <v>2</v>
      </c>
      <c r="F43">
        <v>370</v>
      </c>
      <c r="G43">
        <f t="shared" si="2"/>
        <v>740</v>
      </c>
    </row>
    <row r="44" spans="2:7">
      <c r="B44">
        <v>7</v>
      </c>
      <c r="C44" t="s">
        <v>417</v>
      </c>
      <c r="D44" t="s">
        <v>317</v>
      </c>
      <c r="E44">
        <v>7.88</v>
      </c>
      <c r="F44">
        <v>93.3</v>
      </c>
      <c r="G44">
        <f t="shared" si="2"/>
        <v>735.20399999999995</v>
      </c>
    </row>
    <row r="45" spans="2:7">
      <c r="C45" t="s">
        <v>280</v>
      </c>
      <c r="F45" t="s">
        <v>268</v>
      </c>
      <c r="G45">
        <f>SUM(G33:G44)</f>
        <v>18965.054</v>
      </c>
    </row>
    <row r="46" spans="2:7">
      <c r="B46" t="s">
        <v>281</v>
      </c>
      <c r="E46">
        <v>1049.7</v>
      </c>
    </row>
    <row r="47" spans="2:7">
      <c r="B47" t="s">
        <v>282</v>
      </c>
      <c r="D47">
        <v>0.13614999999999999</v>
      </c>
      <c r="E47">
        <v>142.9</v>
      </c>
    </row>
    <row r="48" spans="2:7">
      <c r="B48" t="s">
        <v>283</v>
      </c>
      <c r="E48">
        <v>1192.5999999999999</v>
      </c>
    </row>
    <row r="49" spans="2:9">
      <c r="B49" t="s">
        <v>284</v>
      </c>
    </row>
    <row r="50" spans="2:9">
      <c r="B50" t="s">
        <v>285</v>
      </c>
      <c r="F50" t="s">
        <v>268</v>
      </c>
      <c r="G50" s="78">
        <f>G19</f>
        <v>50319.487999999998</v>
      </c>
    </row>
    <row r="51" spans="2:9">
      <c r="B51" t="s">
        <v>286</v>
      </c>
      <c r="F51" t="s">
        <v>268</v>
      </c>
      <c r="G51">
        <f>G29</f>
        <v>1373.15</v>
      </c>
    </row>
    <row r="52" spans="2:9">
      <c r="B52" t="s">
        <v>287</v>
      </c>
      <c r="F52" t="s">
        <v>268</v>
      </c>
      <c r="G52">
        <f>G45</f>
        <v>18965.054</v>
      </c>
    </row>
    <row r="53" spans="2:9">
      <c r="F53" t="s">
        <v>288</v>
      </c>
      <c r="G53" s="78">
        <f>SUM(G50:G52)</f>
        <v>70657.691999999995</v>
      </c>
    </row>
    <row r="54" spans="2:9">
      <c r="B54" t="s">
        <v>289</v>
      </c>
      <c r="E54">
        <v>0.13614999999999999</v>
      </c>
      <c r="F54" t="s">
        <v>268</v>
      </c>
      <c r="G54">
        <f>G53*E54</f>
        <v>9620.0447657999994</v>
      </c>
    </row>
    <row r="55" spans="2:9">
      <c r="G55" s="78"/>
    </row>
    <row r="56" spans="2:9">
      <c r="G56" s="79"/>
    </row>
    <row r="58" spans="2:9">
      <c r="B58" s="80" t="s">
        <v>473</v>
      </c>
      <c r="C58" s="81"/>
      <c r="D58" s="81"/>
      <c r="E58" s="81"/>
      <c r="F58" s="81"/>
      <c r="G58" s="81"/>
      <c r="I58" s="73"/>
    </row>
    <row r="59" spans="2:9">
      <c r="B59" s="82" t="s">
        <v>262</v>
      </c>
      <c r="C59" s="83" t="s">
        <v>297</v>
      </c>
      <c r="D59" s="82" t="s">
        <v>101</v>
      </c>
      <c r="E59" s="82" t="s">
        <v>100</v>
      </c>
      <c r="F59" s="82" t="s">
        <v>103</v>
      </c>
      <c r="G59" s="82" t="s">
        <v>264</v>
      </c>
      <c r="I59" s="73"/>
    </row>
    <row r="60" spans="2:9">
      <c r="B60" s="84"/>
      <c r="C60" s="85"/>
      <c r="D60" s="84"/>
      <c r="E60" s="84"/>
      <c r="F60" s="84" t="s">
        <v>265</v>
      </c>
      <c r="G60" s="84" t="s">
        <v>265</v>
      </c>
      <c r="I60" s="73"/>
    </row>
    <row r="61" spans="2:9">
      <c r="B61" s="86">
        <v>1</v>
      </c>
      <c r="C61" t="s">
        <v>312</v>
      </c>
      <c r="D61" t="s">
        <v>106</v>
      </c>
      <c r="E61">
        <v>8.1951999999999998</v>
      </c>
      <c r="F61" s="87">
        <f>Lead!G7</f>
        <v>1139.7</v>
      </c>
      <c r="G61" s="88">
        <f>ROUND(F61*E61,2)</f>
        <v>9340.07</v>
      </c>
      <c r="I61" s="77"/>
    </row>
    <row r="62" spans="2:9">
      <c r="B62" s="86">
        <v>2</v>
      </c>
      <c r="C62" t="s">
        <v>313</v>
      </c>
      <c r="D62" t="s">
        <v>106</v>
      </c>
      <c r="E62">
        <v>4.4127999999999998</v>
      </c>
      <c r="F62" s="87">
        <f>F61</f>
        <v>1139.7</v>
      </c>
      <c r="G62" s="88">
        <f t="shared" ref="G62:G63" si="3">ROUND(F62*E62,2)</f>
        <v>5029.2700000000004</v>
      </c>
      <c r="I62" s="77"/>
    </row>
    <row r="63" spans="2:9">
      <c r="B63" s="86">
        <v>3</v>
      </c>
      <c r="C63" t="s">
        <v>314</v>
      </c>
      <c r="D63" t="s">
        <v>106</v>
      </c>
      <c r="E63">
        <v>7.0919999999999996</v>
      </c>
      <c r="F63" s="87">
        <f>Lead!G10</f>
        <v>695.1</v>
      </c>
      <c r="G63" s="88">
        <f t="shared" si="3"/>
        <v>4929.6499999999996</v>
      </c>
    </row>
    <row r="64" spans="2:9">
      <c r="B64" s="89"/>
      <c r="C64" s="90" t="s">
        <v>267</v>
      </c>
      <c r="D64" s="91"/>
      <c r="E64" s="92"/>
      <c r="F64" s="93" t="s">
        <v>268</v>
      </c>
      <c r="G64" s="94">
        <f>SUM(G61:G63)</f>
        <v>19298.989999999998</v>
      </c>
    </row>
    <row r="65" spans="2:7">
      <c r="B65" s="95"/>
      <c r="C65" s="81"/>
      <c r="D65" s="81"/>
      <c r="E65" s="96"/>
      <c r="F65" s="96"/>
      <c r="G65" s="97"/>
    </row>
    <row r="66" spans="2:7">
      <c r="B66" s="81" t="s">
        <v>539</v>
      </c>
      <c r="C66" s="81"/>
      <c r="D66" s="98">
        <v>15.76</v>
      </c>
      <c r="E66" s="98" t="s">
        <v>106</v>
      </c>
      <c r="F66" s="96" t="s">
        <v>268</v>
      </c>
      <c r="G66" s="98">
        <f>G53+G54+G64</f>
        <v>99576.726765800006</v>
      </c>
    </row>
    <row r="67" spans="2:7">
      <c r="B67" s="81" t="s">
        <v>540</v>
      </c>
      <c r="C67" s="98"/>
      <c r="D67" s="81" t="s">
        <v>530</v>
      </c>
      <c r="E67" s="81"/>
      <c r="F67" s="96" t="s">
        <v>293</v>
      </c>
      <c r="G67" s="99">
        <f>ROUND(G66/D66,1)</f>
        <v>6318.3</v>
      </c>
    </row>
  </sheetData>
  <mergeCells count="1">
    <mergeCell ref="A1:A6"/>
  </mergeCells>
  <printOptions gridLines="1"/>
  <pageMargins left="0.95" right="0.7" top="0.5" bottom="0.5" header="0.3" footer="0.3"/>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sheetPr>
    <tabColor rgb="FF00B050"/>
  </sheetPr>
  <dimension ref="A1:J58"/>
  <sheetViews>
    <sheetView workbookViewId="0">
      <selection activeCell="J8" sqref="J8"/>
    </sheetView>
  </sheetViews>
  <sheetFormatPr defaultColWidth="9.140625" defaultRowHeight="15.75"/>
  <cols>
    <col min="1" max="1" width="3.85546875" style="277" customWidth="1"/>
    <col min="2" max="2" width="33" style="277" customWidth="1"/>
    <col min="3" max="3" width="3.42578125" style="277" customWidth="1"/>
    <col min="4" max="4" width="45" style="277" customWidth="1"/>
    <col min="5" max="16384" width="9.140625" style="277"/>
  </cols>
  <sheetData>
    <row r="1" spans="1:10" ht="20.25" customHeight="1">
      <c r="A1" s="588" t="s">
        <v>0</v>
      </c>
      <c r="B1" s="588"/>
      <c r="C1" s="588"/>
      <c r="D1" s="588"/>
    </row>
    <row r="2" spans="1:10" ht="58.5" customHeight="1">
      <c r="A2" s="278">
        <v>1</v>
      </c>
      <c r="B2" s="279" t="s">
        <v>1</v>
      </c>
      <c r="C2" s="270" t="s">
        <v>2</v>
      </c>
      <c r="D2" s="585" t="s">
        <v>1154</v>
      </c>
      <c r="E2" s="280"/>
      <c r="F2" s="280"/>
      <c r="G2" s="280"/>
      <c r="H2" s="280"/>
      <c r="I2" s="280"/>
      <c r="J2" s="280"/>
    </row>
    <row r="3" spans="1:10">
      <c r="A3" s="278">
        <v>2</v>
      </c>
      <c r="B3" s="281" t="s">
        <v>4</v>
      </c>
      <c r="C3" s="270" t="s">
        <v>2</v>
      </c>
      <c r="D3" s="282" t="str">
        <f>Absrtact!G36</f>
        <v>2399.26  Lakh</v>
      </c>
    </row>
    <row r="4" spans="1:10">
      <c r="A4" s="278">
        <v>3</v>
      </c>
      <c r="B4" s="186" t="s">
        <v>5</v>
      </c>
      <c r="C4" s="270" t="s">
        <v>2</v>
      </c>
      <c r="D4" s="277" t="s">
        <v>6</v>
      </c>
    </row>
    <row r="5" spans="1:10">
      <c r="A5" s="271">
        <v>4</v>
      </c>
      <c r="B5" s="283" t="s">
        <v>7</v>
      </c>
      <c r="C5" s="270" t="s">
        <v>2</v>
      </c>
      <c r="D5" s="284"/>
    </row>
    <row r="6" spans="1:10" ht="31.5">
      <c r="A6" s="278">
        <v>5</v>
      </c>
      <c r="B6" s="279" t="s">
        <v>8</v>
      </c>
      <c r="C6" s="270" t="s">
        <v>2</v>
      </c>
      <c r="D6" s="274" t="s">
        <v>900</v>
      </c>
    </row>
    <row r="7" spans="1:10">
      <c r="A7" s="278">
        <v>6</v>
      </c>
      <c r="B7" s="186" t="s">
        <v>9</v>
      </c>
      <c r="C7" s="270" t="s">
        <v>2</v>
      </c>
      <c r="D7" s="271" t="s">
        <v>10</v>
      </c>
    </row>
    <row r="8" spans="1:10">
      <c r="A8" s="278">
        <v>7</v>
      </c>
      <c r="B8" s="186" t="s">
        <v>11</v>
      </c>
      <c r="C8" s="270" t="s">
        <v>2</v>
      </c>
      <c r="D8" s="271" t="s">
        <v>710</v>
      </c>
    </row>
    <row r="9" spans="1:10" ht="30">
      <c r="A9" s="278">
        <v>8</v>
      </c>
      <c r="B9" s="285" t="s">
        <v>12</v>
      </c>
      <c r="C9" s="270" t="s">
        <v>2</v>
      </c>
      <c r="D9" s="271" t="s">
        <v>901</v>
      </c>
    </row>
    <row r="10" spans="1:10" ht="21" customHeight="1">
      <c r="A10" s="278">
        <v>9</v>
      </c>
      <c r="B10" s="186" t="s">
        <v>13</v>
      </c>
      <c r="C10" s="270" t="s">
        <v>2</v>
      </c>
      <c r="D10" s="271" t="s">
        <v>14</v>
      </c>
    </row>
    <row r="11" spans="1:10">
      <c r="A11" s="278">
        <v>10</v>
      </c>
      <c r="B11" s="281" t="s">
        <v>15</v>
      </c>
      <c r="C11" s="270" t="s">
        <v>2</v>
      </c>
      <c r="D11" s="271" t="s">
        <v>704</v>
      </c>
    </row>
    <row r="12" spans="1:10" ht="45">
      <c r="A12" s="278">
        <v>11</v>
      </c>
      <c r="B12" s="286" t="s">
        <v>16</v>
      </c>
      <c r="C12" s="270" t="s">
        <v>2</v>
      </c>
      <c r="D12" s="271" t="s">
        <v>704</v>
      </c>
    </row>
    <row r="13" spans="1:10">
      <c r="A13" s="278">
        <v>12</v>
      </c>
      <c r="B13" s="186" t="s">
        <v>17</v>
      </c>
      <c r="C13" s="270" t="s">
        <v>2</v>
      </c>
      <c r="D13" s="271" t="s">
        <v>704</v>
      </c>
    </row>
    <row r="14" spans="1:10">
      <c r="A14" s="278">
        <v>13</v>
      </c>
      <c r="B14" s="186" t="s">
        <v>18</v>
      </c>
      <c r="C14" s="270" t="s">
        <v>2</v>
      </c>
      <c r="D14" s="271" t="s">
        <v>704</v>
      </c>
    </row>
    <row r="15" spans="1:10" ht="45">
      <c r="A15" s="278">
        <v>14</v>
      </c>
      <c r="B15" s="285" t="s">
        <v>19</v>
      </c>
      <c r="C15" s="270" t="s">
        <v>2</v>
      </c>
      <c r="D15" s="271" t="s">
        <v>20</v>
      </c>
    </row>
    <row r="16" spans="1:10" ht="30">
      <c r="A16" s="278">
        <v>15</v>
      </c>
      <c r="B16" s="467" t="s">
        <v>21</v>
      </c>
      <c r="C16" s="270" t="s">
        <v>2</v>
      </c>
      <c r="D16" s="271" t="s">
        <v>20</v>
      </c>
    </row>
    <row r="17" spans="1:4" ht="30">
      <c r="A17" s="278">
        <v>16</v>
      </c>
      <c r="B17" s="287" t="s">
        <v>22</v>
      </c>
      <c r="C17" s="270" t="s">
        <v>2</v>
      </c>
      <c r="D17" s="271" t="s">
        <v>20</v>
      </c>
    </row>
    <row r="18" spans="1:4" ht="60">
      <c r="A18" s="278">
        <v>17</v>
      </c>
      <c r="B18" s="285" t="s">
        <v>23</v>
      </c>
      <c r="C18" s="270" t="s">
        <v>2</v>
      </c>
      <c r="D18" s="271" t="s">
        <v>20</v>
      </c>
    </row>
    <row r="19" spans="1:4" ht="45">
      <c r="A19" s="278">
        <v>18</v>
      </c>
      <c r="B19" s="285" t="s">
        <v>24</v>
      </c>
      <c r="C19" s="270" t="s">
        <v>2</v>
      </c>
      <c r="D19" s="271" t="s">
        <v>705</v>
      </c>
    </row>
    <row r="20" spans="1:4" ht="30">
      <c r="A20" s="278">
        <v>19</v>
      </c>
      <c r="B20" s="285" t="s">
        <v>25</v>
      </c>
      <c r="C20" s="270" t="s">
        <v>2</v>
      </c>
      <c r="D20" s="271" t="s">
        <v>1150</v>
      </c>
    </row>
    <row r="21" spans="1:4" ht="30">
      <c r="A21" s="278">
        <v>20</v>
      </c>
      <c r="B21" s="285" t="s">
        <v>26</v>
      </c>
      <c r="C21" s="270" t="s">
        <v>2</v>
      </c>
      <c r="D21" s="271" t="s">
        <v>27</v>
      </c>
    </row>
    <row r="22" spans="1:4" ht="30">
      <c r="A22" s="278">
        <v>21</v>
      </c>
      <c r="B22" s="285" t="s">
        <v>28</v>
      </c>
      <c r="C22" s="270" t="s">
        <v>2</v>
      </c>
      <c r="D22" s="271" t="s">
        <v>704</v>
      </c>
    </row>
    <row r="23" spans="1:4" ht="30">
      <c r="A23" s="278">
        <v>22</v>
      </c>
      <c r="B23" s="285" t="s">
        <v>29</v>
      </c>
      <c r="C23" s="270" t="s">
        <v>2</v>
      </c>
      <c r="D23" s="271" t="s">
        <v>20</v>
      </c>
    </row>
    <row r="24" spans="1:4" ht="30">
      <c r="A24" s="278">
        <v>23</v>
      </c>
      <c r="B24" s="285" t="s">
        <v>30</v>
      </c>
      <c r="C24" s="270" t="s">
        <v>2</v>
      </c>
      <c r="D24" s="271" t="s">
        <v>20</v>
      </c>
    </row>
    <row r="25" spans="1:4" ht="45">
      <c r="A25" s="278">
        <v>24</v>
      </c>
      <c r="B25" s="285" t="s">
        <v>31</v>
      </c>
      <c r="C25" s="270" t="s">
        <v>2</v>
      </c>
      <c r="D25" s="271"/>
    </row>
    <row r="26" spans="1:4" ht="30">
      <c r="A26" s="278">
        <v>25</v>
      </c>
      <c r="B26" s="288" t="s">
        <v>32</v>
      </c>
      <c r="C26" s="270" t="s">
        <v>2</v>
      </c>
      <c r="D26" s="271"/>
    </row>
    <row r="27" spans="1:4" ht="30">
      <c r="A27" s="278">
        <v>26</v>
      </c>
      <c r="B27" s="285" t="s">
        <v>33</v>
      </c>
      <c r="C27" s="270" t="s">
        <v>2</v>
      </c>
      <c r="D27" s="271" t="s">
        <v>704</v>
      </c>
    </row>
    <row r="28" spans="1:4" ht="45">
      <c r="A28" s="278">
        <v>27</v>
      </c>
      <c r="B28" s="288" t="s">
        <v>34</v>
      </c>
      <c r="C28" s="270" t="s">
        <v>2</v>
      </c>
      <c r="D28" s="271"/>
    </row>
    <row r="29" spans="1:4" ht="45">
      <c r="A29" s="278">
        <v>28</v>
      </c>
      <c r="B29" s="289" t="s">
        <v>35</v>
      </c>
      <c r="C29" s="270" t="s">
        <v>2</v>
      </c>
      <c r="D29" s="271"/>
    </row>
    <row r="30" spans="1:4" ht="45">
      <c r="A30" s="278">
        <v>29</v>
      </c>
      <c r="B30" s="288" t="s">
        <v>36</v>
      </c>
      <c r="C30" s="270" t="s">
        <v>2</v>
      </c>
      <c r="D30" s="271"/>
    </row>
    <row r="31" spans="1:4" ht="60">
      <c r="A31" s="278">
        <v>30</v>
      </c>
      <c r="B31" s="289" t="s">
        <v>899</v>
      </c>
      <c r="C31" s="270" t="s">
        <v>2</v>
      </c>
      <c r="D31" s="278"/>
    </row>
    <row r="32" spans="1:4" ht="45">
      <c r="A32" s="278">
        <v>31</v>
      </c>
      <c r="B32" s="288" t="s">
        <v>37</v>
      </c>
      <c r="C32" s="270" t="s">
        <v>2</v>
      </c>
      <c r="D32" s="271"/>
    </row>
    <row r="33" spans="1:4" ht="67.5" customHeight="1">
      <c r="A33" s="278">
        <v>32</v>
      </c>
      <c r="B33" s="290" t="s">
        <v>38</v>
      </c>
      <c r="C33" s="270" t="s">
        <v>2</v>
      </c>
      <c r="D33" s="271"/>
    </row>
    <row r="34" spans="1:4" ht="105">
      <c r="A34" s="278">
        <v>33</v>
      </c>
      <c r="B34" s="290" t="s">
        <v>39</v>
      </c>
      <c r="C34" s="270" t="s">
        <v>2</v>
      </c>
      <c r="D34" s="272"/>
    </row>
    <row r="35" spans="1:4" ht="30">
      <c r="A35" s="278">
        <v>34</v>
      </c>
      <c r="B35" s="285" t="s">
        <v>40</v>
      </c>
      <c r="C35" s="270" t="s">
        <v>2</v>
      </c>
      <c r="D35" s="271"/>
    </row>
    <row r="36" spans="1:4" ht="45">
      <c r="A36" s="278">
        <v>35</v>
      </c>
      <c r="B36" s="288" t="s">
        <v>41</v>
      </c>
      <c r="C36" s="270" t="s">
        <v>2</v>
      </c>
      <c r="D36" s="271"/>
    </row>
    <row r="37" spans="1:4" ht="30">
      <c r="A37" s="278">
        <v>36</v>
      </c>
      <c r="B37" s="285" t="s">
        <v>42</v>
      </c>
      <c r="C37" s="270" t="s">
        <v>2</v>
      </c>
      <c r="D37" s="271" t="s">
        <v>704</v>
      </c>
    </row>
    <row r="38" spans="1:4">
      <c r="A38" s="278">
        <v>37</v>
      </c>
      <c r="B38" s="288" t="s">
        <v>43</v>
      </c>
      <c r="C38" s="270" t="s">
        <v>2</v>
      </c>
      <c r="D38" s="271"/>
    </row>
    <row r="39" spans="1:4" ht="30">
      <c r="A39" s="278">
        <v>38</v>
      </c>
      <c r="B39" s="289" t="s">
        <v>44</v>
      </c>
      <c r="C39" s="270" t="s">
        <v>2</v>
      </c>
      <c r="D39" s="271"/>
    </row>
    <row r="40" spans="1:4" ht="30">
      <c r="A40" s="278">
        <v>39</v>
      </c>
      <c r="B40" s="289" t="s">
        <v>45</v>
      </c>
      <c r="C40" s="270" t="s">
        <v>2</v>
      </c>
      <c r="D40" s="271"/>
    </row>
    <row r="41" spans="1:4">
      <c r="C41" s="270"/>
    </row>
    <row r="42" spans="1:4">
      <c r="C42" s="270"/>
    </row>
    <row r="43" spans="1:4">
      <c r="C43" s="270"/>
    </row>
    <row r="44" spans="1:4">
      <c r="C44" s="270"/>
    </row>
    <row r="45" spans="1:4">
      <c r="C45" s="270"/>
    </row>
    <row r="46" spans="1:4">
      <c r="C46" s="270"/>
    </row>
    <row r="47" spans="1:4">
      <c r="C47" s="270"/>
    </row>
    <row r="48" spans="1:4">
      <c r="C48" s="270"/>
    </row>
    <row r="49" spans="3:3">
      <c r="C49" s="270"/>
    </row>
    <row r="50" spans="3:3">
      <c r="C50" s="270"/>
    </row>
    <row r="51" spans="3:3">
      <c r="C51" s="270"/>
    </row>
    <row r="52" spans="3:3">
      <c r="C52" s="270"/>
    </row>
    <row r="53" spans="3:3">
      <c r="C53" s="270"/>
    </row>
    <row r="54" spans="3:3">
      <c r="C54" s="270"/>
    </row>
    <row r="55" spans="3:3">
      <c r="C55" s="270"/>
    </row>
    <row r="56" spans="3:3">
      <c r="C56" s="270"/>
    </row>
    <row r="57" spans="3:3">
      <c r="C57" s="270"/>
    </row>
    <row r="58" spans="3:3">
      <c r="C58" s="270"/>
    </row>
  </sheetData>
  <mergeCells count="1">
    <mergeCell ref="A1:D1"/>
  </mergeCells>
  <printOptions gridLine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F19"/>
  <sheetViews>
    <sheetView workbookViewId="0">
      <selection activeCell="L13" sqref="L13"/>
    </sheetView>
  </sheetViews>
  <sheetFormatPr defaultColWidth="9.140625" defaultRowHeight="15"/>
  <cols>
    <col min="1" max="2" width="9.140625" style="3"/>
    <col min="3" max="3" width="38.5703125" style="3" customWidth="1"/>
    <col min="4" max="4" width="10.85546875" style="3" customWidth="1"/>
    <col min="5" max="5" width="9.140625" style="3"/>
    <col min="6" max="6" width="10" style="3" customWidth="1"/>
    <col min="7" max="16384" width="9.140625" style="3"/>
  </cols>
  <sheetData>
    <row r="1" spans="1:6" ht="79.5" customHeight="1">
      <c r="A1" s="682" t="s">
        <v>542</v>
      </c>
      <c r="B1" s="682"/>
      <c r="C1" s="682"/>
      <c r="D1" s="682"/>
      <c r="E1" s="682"/>
      <c r="F1" s="682"/>
    </row>
    <row r="2" spans="1:6">
      <c r="A2" s="3" t="s">
        <v>543</v>
      </c>
      <c r="C2" s="3" t="s">
        <v>544</v>
      </c>
    </row>
    <row r="3" spans="1:6">
      <c r="A3" s="3" t="s">
        <v>100</v>
      </c>
      <c r="B3" s="3" t="s">
        <v>545</v>
      </c>
      <c r="C3" s="3" t="s">
        <v>546</v>
      </c>
      <c r="D3" s="3" t="s">
        <v>103</v>
      </c>
      <c r="E3" s="3" t="s">
        <v>547</v>
      </c>
      <c r="F3" s="3" t="s">
        <v>264</v>
      </c>
    </row>
    <row r="4" spans="1:6">
      <c r="A4" s="3" t="s">
        <v>548</v>
      </c>
    </row>
    <row r="5" spans="1:6" ht="30">
      <c r="A5" s="3">
        <v>4</v>
      </c>
      <c r="B5" s="3" t="s">
        <v>310</v>
      </c>
      <c r="C5" s="72" t="s">
        <v>549</v>
      </c>
      <c r="D5" s="3">
        <v>38</v>
      </c>
      <c r="E5" s="3" t="s">
        <v>550</v>
      </c>
      <c r="F5" s="73">
        <f>D5*A5</f>
        <v>152</v>
      </c>
    </row>
    <row r="6" spans="1:6">
      <c r="A6" s="3">
        <v>2</v>
      </c>
      <c r="B6" s="3" t="s">
        <v>551</v>
      </c>
      <c r="C6" s="3" t="s">
        <v>552</v>
      </c>
      <c r="D6" s="3">
        <v>268</v>
      </c>
      <c r="E6" s="3" t="s">
        <v>553</v>
      </c>
      <c r="F6" s="73">
        <f>D6*A6</f>
        <v>536</v>
      </c>
    </row>
    <row r="7" spans="1:6">
      <c r="A7" s="3">
        <v>6</v>
      </c>
      <c r="B7" s="3" t="s">
        <v>108</v>
      </c>
      <c r="C7" s="3" t="s">
        <v>554</v>
      </c>
      <c r="D7" s="3">
        <v>23</v>
      </c>
      <c r="E7" s="3" t="s">
        <v>553</v>
      </c>
      <c r="F7" s="73">
        <f>D7*A7</f>
        <v>138</v>
      </c>
    </row>
    <row r="8" spans="1:6">
      <c r="A8" s="3">
        <v>2</v>
      </c>
      <c r="B8" s="3" t="s">
        <v>108</v>
      </c>
      <c r="C8" s="3" t="s">
        <v>555</v>
      </c>
      <c r="D8" s="3">
        <v>195</v>
      </c>
      <c r="E8" s="3" t="s">
        <v>553</v>
      </c>
      <c r="F8" s="73">
        <f>D8*A8</f>
        <v>390</v>
      </c>
    </row>
    <row r="9" spans="1:6">
      <c r="F9" s="73"/>
    </row>
    <row r="10" spans="1:6">
      <c r="A10" s="3" t="s">
        <v>556</v>
      </c>
      <c r="F10" s="73"/>
    </row>
    <row r="11" spans="1:6">
      <c r="A11" s="3">
        <v>0.02</v>
      </c>
      <c r="B11" s="3" t="s">
        <v>108</v>
      </c>
      <c r="C11" s="3" t="s">
        <v>471</v>
      </c>
      <c r="D11" s="3">
        <v>465</v>
      </c>
      <c r="F11" s="73">
        <f>D11*A11</f>
        <v>9.3000000000000007</v>
      </c>
    </row>
    <row r="12" spans="1:6">
      <c r="A12" s="3">
        <v>0.02</v>
      </c>
      <c r="B12" s="3" t="s">
        <v>108</v>
      </c>
      <c r="C12" s="3" t="s">
        <v>557</v>
      </c>
      <c r="D12" s="3">
        <v>465</v>
      </c>
      <c r="F12" s="73">
        <f>D12*A12</f>
        <v>9.3000000000000007</v>
      </c>
    </row>
    <row r="13" spans="1:6">
      <c r="A13" s="3">
        <v>0.02</v>
      </c>
      <c r="B13" s="3" t="s">
        <v>108</v>
      </c>
      <c r="C13" s="3" t="s">
        <v>362</v>
      </c>
      <c r="D13" s="3">
        <v>370</v>
      </c>
      <c r="F13" s="73">
        <f>D13*A13</f>
        <v>7.4</v>
      </c>
    </row>
    <row r="14" spans="1:6">
      <c r="C14" s="3" t="s">
        <v>558</v>
      </c>
      <c r="F14" s="73"/>
    </row>
    <row r="15" spans="1:6">
      <c r="A15" s="3">
        <v>0.01</v>
      </c>
      <c r="B15" s="3" t="s">
        <v>108</v>
      </c>
      <c r="C15" s="3" t="s">
        <v>471</v>
      </c>
      <c r="D15" s="3">
        <v>465</v>
      </c>
      <c r="F15" s="73">
        <f>D15*A15</f>
        <v>4.6500000000000004</v>
      </c>
    </row>
    <row r="16" spans="1:6">
      <c r="A16" s="3">
        <v>0.01</v>
      </c>
      <c r="B16" s="3" t="s">
        <v>108</v>
      </c>
      <c r="C16" s="3" t="s">
        <v>472</v>
      </c>
      <c r="D16" s="3">
        <v>465</v>
      </c>
      <c r="F16" s="73">
        <f>D16*A16</f>
        <v>4.6500000000000004</v>
      </c>
    </row>
    <row r="17" spans="1:6">
      <c r="A17" s="3">
        <v>0.2</v>
      </c>
      <c r="B17" s="3" t="s">
        <v>108</v>
      </c>
      <c r="C17" s="3" t="s">
        <v>362</v>
      </c>
      <c r="D17" s="3">
        <v>370</v>
      </c>
      <c r="F17" s="73">
        <f>D17*A17</f>
        <v>74</v>
      </c>
    </row>
    <row r="18" spans="1:6">
      <c r="F18" s="74"/>
    </row>
    <row r="19" spans="1:6">
      <c r="C19" s="3" t="s">
        <v>559</v>
      </c>
      <c r="E19" s="3" t="s">
        <v>560</v>
      </c>
      <c r="F19" s="75">
        <f>SUM(F5:F18)</f>
        <v>1325.3</v>
      </c>
    </row>
  </sheetData>
  <mergeCells count="1">
    <mergeCell ref="A1:F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dimension ref="A1:P232"/>
  <sheetViews>
    <sheetView workbookViewId="0">
      <selection activeCell="N12" sqref="N12"/>
    </sheetView>
  </sheetViews>
  <sheetFormatPr defaultColWidth="9.140625" defaultRowHeight="12.75"/>
  <cols>
    <col min="1" max="1" width="4.85546875" style="22" customWidth="1"/>
    <col min="2" max="2" width="4.85546875" style="23" customWidth="1"/>
    <col min="3" max="4" width="9.140625" style="22"/>
    <col min="5" max="5" width="9.42578125" style="22" customWidth="1"/>
    <col min="6" max="6" width="9.140625" style="22"/>
    <col min="7" max="7" width="8.7109375" style="22" customWidth="1"/>
    <col min="8" max="8" width="8.85546875" style="22" customWidth="1"/>
    <col min="9" max="9" width="8.7109375" style="22" customWidth="1"/>
    <col min="10" max="10" width="5" style="22" customWidth="1"/>
    <col min="11" max="11" width="10.42578125" style="22" customWidth="1"/>
    <col min="12" max="16384" width="9.140625" style="22"/>
  </cols>
  <sheetData>
    <row r="1" spans="3:15">
      <c r="C1" s="692" t="s">
        <v>561</v>
      </c>
      <c r="D1" s="693"/>
      <c r="E1" s="693"/>
      <c r="F1" s="693"/>
      <c r="G1" s="693"/>
      <c r="H1" s="693"/>
      <c r="I1" s="693"/>
      <c r="J1" s="693"/>
      <c r="K1" s="693"/>
    </row>
    <row r="2" spans="3:15" ht="103.5" customHeight="1">
      <c r="C2" s="685" t="s">
        <v>562</v>
      </c>
      <c r="D2" s="685"/>
      <c r="E2" s="685"/>
      <c r="F2" s="685"/>
      <c r="G2" s="685"/>
      <c r="H2" s="685"/>
      <c r="I2" s="685"/>
      <c r="J2" s="685"/>
      <c r="K2" s="685"/>
    </row>
    <row r="3" spans="3:15">
      <c r="C3" s="24" t="s">
        <v>373</v>
      </c>
      <c r="E3" s="25"/>
      <c r="G3" s="25"/>
      <c r="H3" s="26"/>
      <c r="I3" s="26"/>
      <c r="J3" s="26"/>
    </row>
    <row r="4" spans="3:15">
      <c r="C4" s="24" t="s">
        <v>563</v>
      </c>
      <c r="E4" s="25"/>
      <c r="G4" s="25" t="s">
        <v>564</v>
      </c>
      <c r="H4" s="26"/>
      <c r="I4" s="26"/>
      <c r="J4" s="26"/>
    </row>
    <row r="5" spans="3:15">
      <c r="C5" s="27" t="s">
        <v>565</v>
      </c>
      <c r="D5" s="25" t="s">
        <v>566</v>
      </c>
      <c r="E5" s="28"/>
      <c r="F5" s="28"/>
      <c r="G5" s="28"/>
      <c r="H5" s="28"/>
      <c r="I5" s="46"/>
      <c r="J5" s="46"/>
      <c r="K5" s="46"/>
    </row>
    <row r="6" spans="3:15">
      <c r="C6" s="29">
        <v>0.4</v>
      </c>
      <c r="D6" s="30" t="s">
        <v>382</v>
      </c>
      <c r="E6" s="25" t="s">
        <v>471</v>
      </c>
      <c r="G6" s="25"/>
      <c r="H6" s="26"/>
      <c r="I6" s="45">
        <v>465</v>
      </c>
      <c r="J6" s="23" t="s">
        <v>382</v>
      </c>
      <c r="K6" s="47">
        <f>ROUND(C6*I6,2)</f>
        <v>186</v>
      </c>
    </row>
    <row r="7" spans="3:15">
      <c r="C7" s="29">
        <v>2</v>
      </c>
      <c r="D7" s="30" t="s">
        <v>382</v>
      </c>
      <c r="E7" s="25" t="s">
        <v>567</v>
      </c>
      <c r="G7" s="25"/>
      <c r="H7" s="26"/>
      <c r="I7" s="45">
        <v>370</v>
      </c>
      <c r="J7" s="23" t="s">
        <v>382</v>
      </c>
      <c r="K7" s="47">
        <f>ROUND(C7*I7,2)</f>
        <v>740</v>
      </c>
    </row>
    <row r="8" spans="3:15">
      <c r="C8" s="31">
        <v>8</v>
      </c>
      <c r="D8" s="32" t="s">
        <v>382</v>
      </c>
      <c r="E8" s="25" t="s">
        <v>568</v>
      </c>
      <c r="G8" s="25"/>
      <c r="H8" s="26"/>
      <c r="I8" s="45">
        <v>370</v>
      </c>
      <c r="J8" s="23" t="s">
        <v>382</v>
      </c>
      <c r="K8" s="47">
        <f>ROUND(C8*I8,2)</f>
        <v>2960</v>
      </c>
    </row>
    <row r="9" spans="3:15">
      <c r="C9" s="31">
        <v>20</v>
      </c>
      <c r="D9" s="32" t="s">
        <v>569</v>
      </c>
      <c r="E9" s="25" t="s">
        <v>570</v>
      </c>
      <c r="G9" s="25"/>
      <c r="H9" s="26"/>
      <c r="I9" s="45">
        <v>0</v>
      </c>
      <c r="J9" s="23"/>
      <c r="K9" s="47">
        <f>ROUND(I9*C9%,2)</f>
        <v>0</v>
      </c>
    </row>
    <row r="10" spans="3:15">
      <c r="C10" s="25"/>
      <c r="D10" s="25"/>
      <c r="E10" s="25" t="s">
        <v>230</v>
      </c>
      <c r="G10" s="25"/>
      <c r="H10" s="26"/>
      <c r="I10" s="26"/>
      <c r="J10" s="26"/>
      <c r="K10" s="48">
        <f>SUM(K6:K9)</f>
        <v>3886</v>
      </c>
    </row>
    <row r="11" spans="3:15">
      <c r="C11" s="27" t="s">
        <v>571</v>
      </c>
      <c r="D11" s="25" t="s">
        <v>572</v>
      </c>
      <c r="G11" s="25"/>
      <c r="H11" s="26"/>
      <c r="I11" s="26"/>
      <c r="J11" s="26"/>
    </row>
    <row r="12" spans="3:15">
      <c r="C12" s="31">
        <v>6</v>
      </c>
      <c r="D12" s="32" t="s">
        <v>573</v>
      </c>
      <c r="E12" s="25" t="s">
        <v>574</v>
      </c>
      <c r="G12" s="25"/>
      <c r="H12" s="26"/>
      <c r="I12" s="45">
        <v>3220</v>
      </c>
      <c r="J12" s="45" t="s">
        <v>573</v>
      </c>
      <c r="K12" s="47">
        <f>ROUND(C12*I12,2)</f>
        <v>19320</v>
      </c>
    </row>
    <row r="13" spans="3:15">
      <c r="C13" s="31">
        <v>12</v>
      </c>
      <c r="D13" s="32" t="s">
        <v>573</v>
      </c>
      <c r="E13" s="25" t="s">
        <v>575</v>
      </c>
      <c r="G13" s="25"/>
      <c r="H13" s="26"/>
      <c r="I13" s="45">
        <v>425</v>
      </c>
      <c r="J13" s="45" t="s">
        <v>573</v>
      </c>
      <c r="K13" s="47">
        <f>ROUND(C13*I13,2)</f>
        <v>5100</v>
      </c>
    </row>
    <row r="14" spans="3:15">
      <c r="C14" s="31">
        <v>6</v>
      </c>
      <c r="D14" s="32" t="s">
        <v>573</v>
      </c>
      <c r="E14" s="25" t="s">
        <v>576</v>
      </c>
      <c r="G14" s="25"/>
      <c r="H14" s="26"/>
      <c r="I14" s="45">
        <v>2609.1</v>
      </c>
      <c r="J14" s="45" t="s">
        <v>573</v>
      </c>
      <c r="K14" s="47">
        <f>ROUND(C14*I14,2)</f>
        <v>15654.6</v>
      </c>
      <c r="O14" s="49"/>
    </row>
    <row r="15" spans="3:15">
      <c r="C15" s="31">
        <v>3</v>
      </c>
      <c r="D15" s="32" t="s">
        <v>573</v>
      </c>
      <c r="E15" s="25" t="s">
        <v>577</v>
      </c>
      <c r="G15" s="25"/>
      <c r="H15" s="26"/>
      <c r="I15" s="50">
        <v>630</v>
      </c>
      <c r="J15" s="45" t="s">
        <v>573</v>
      </c>
      <c r="K15" s="47">
        <f>ROUND(C15*I15,2)</f>
        <v>1890</v>
      </c>
    </row>
    <row r="16" spans="3:15">
      <c r="C16" s="25"/>
      <c r="D16" s="25"/>
      <c r="E16" s="25" t="s">
        <v>230</v>
      </c>
      <c r="G16" s="25"/>
      <c r="H16" s="26"/>
      <c r="I16" s="26"/>
      <c r="J16" s="26"/>
      <c r="K16" s="48">
        <f>SUM(K12:K15)</f>
        <v>41964.6</v>
      </c>
    </row>
    <row r="17" spans="1:11">
      <c r="C17" s="27" t="s">
        <v>578</v>
      </c>
      <c r="D17" s="26" t="s">
        <v>579</v>
      </c>
      <c r="E17" s="26"/>
      <c r="G17" s="26"/>
      <c r="H17" s="26"/>
      <c r="I17" s="26"/>
      <c r="J17" s="26"/>
    </row>
    <row r="18" spans="1:11">
      <c r="C18" s="26"/>
      <c r="D18" s="26"/>
      <c r="E18" s="683" t="s">
        <v>580</v>
      </c>
      <c r="F18" s="683"/>
      <c r="G18" s="683"/>
      <c r="H18" s="683"/>
      <c r="I18" s="33"/>
      <c r="J18" s="26"/>
    </row>
    <row r="19" spans="1:11">
      <c r="C19" s="34">
        <v>255</v>
      </c>
      <c r="D19" s="35" t="s">
        <v>106</v>
      </c>
      <c r="E19" s="689" t="s">
        <v>581</v>
      </c>
      <c r="F19" s="689"/>
      <c r="G19" s="689"/>
      <c r="H19" s="689"/>
      <c r="I19" s="45">
        <v>592</v>
      </c>
      <c r="J19" s="23" t="s">
        <v>132</v>
      </c>
      <c r="K19" s="45">
        <f>ROUND(C19*I19,2)</f>
        <v>150960</v>
      </c>
    </row>
    <row r="20" spans="1:11">
      <c r="C20" s="34">
        <v>129</v>
      </c>
      <c r="D20" s="35" t="s">
        <v>106</v>
      </c>
      <c r="E20" s="689" t="s">
        <v>582</v>
      </c>
      <c r="F20" s="689"/>
      <c r="G20" s="689"/>
      <c r="H20" s="689"/>
      <c r="I20" s="45">
        <v>489</v>
      </c>
      <c r="J20" s="23" t="s">
        <v>132</v>
      </c>
      <c r="K20" s="45">
        <f>ROUND(C20*I20,2)</f>
        <v>63081</v>
      </c>
    </row>
    <row r="21" spans="1:11">
      <c r="C21" s="30"/>
      <c r="D21" s="26"/>
      <c r="E21" s="36" t="s">
        <v>230</v>
      </c>
      <c r="G21" s="26"/>
      <c r="H21" s="26"/>
      <c r="I21" s="26"/>
      <c r="J21" s="26"/>
      <c r="K21" s="48">
        <f>SUM(K19:K20)</f>
        <v>214041</v>
      </c>
    </row>
    <row r="22" spans="1:11">
      <c r="C22" s="30"/>
      <c r="D22" s="26"/>
      <c r="E22" s="26"/>
      <c r="G22" s="26"/>
      <c r="H22" s="26"/>
      <c r="I22" s="26"/>
      <c r="J22" s="26"/>
      <c r="K22" s="51"/>
    </row>
    <row r="23" spans="1:11">
      <c r="C23" s="30"/>
      <c r="D23" s="26"/>
      <c r="E23" s="26" t="s">
        <v>583</v>
      </c>
      <c r="G23" s="26"/>
      <c r="H23" s="26"/>
      <c r="I23" s="26"/>
      <c r="J23" s="26"/>
      <c r="K23" s="51">
        <f>K10+K16+K21</f>
        <v>259891.6</v>
      </c>
    </row>
    <row r="24" spans="1:11">
      <c r="C24" s="30"/>
      <c r="D24" s="26"/>
      <c r="E24" s="26"/>
      <c r="G24" s="26"/>
      <c r="H24" s="26"/>
      <c r="I24" s="26"/>
      <c r="J24" s="26"/>
      <c r="K24" s="51"/>
    </row>
    <row r="25" spans="1:11">
      <c r="A25" s="13"/>
      <c r="B25" s="37" t="s">
        <v>584</v>
      </c>
      <c r="C25" s="38" t="s">
        <v>585</v>
      </c>
      <c r="D25" s="13"/>
      <c r="E25" s="13"/>
      <c r="F25" s="13"/>
      <c r="G25" s="13"/>
      <c r="H25" s="13"/>
      <c r="I25" s="13"/>
      <c r="J25" s="13"/>
      <c r="K25" s="13">
        <f>ROUND(K23*13.615%,2)</f>
        <v>35384.239999999998</v>
      </c>
    </row>
    <row r="26" spans="1:11">
      <c r="A26" s="13"/>
      <c r="B26" s="13"/>
      <c r="C26" s="38"/>
      <c r="D26" s="13"/>
      <c r="E26" s="13"/>
      <c r="F26" s="13"/>
      <c r="G26" s="13"/>
      <c r="H26" s="13"/>
      <c r="I26" s="13"/>
      <c r="J26" s="13"/>
      <c r="K26" s="13"/>
    </row>
    <row r="27" spans="1:11">
      <c r="A27" s="13"/>
      <c r="B27" s="22" t="s">
        <v>296</v>
      </c>
      <c r="H27" s="13"/>
      <c r="I27" s="13"/>
      <c r="J27" s="13"/>
      <c r="K27" s="13"/>
    </row>
    <row r="28" spans="1:11">
      <c r="A28" s="13"/>
      <c r="B28" s="22"/>
      <c r="C28" s="22" t="s">
        <v>297</v>
      </c>
      <c r="D28" s="13"/>
      <c r="E28" s="22" t="s">
        <v>101</v>
      </c>
      <c r="F28" s="22" t="s">
        <v>100</v>
      </c>
      <c r="G28" s="22" t="s">
        <v>298</v>
      </c>
      <c r="H28" s="22" t="s">
        <v>264</v>
      </c>
      <c r="I28" s="13"/>
      <c r="J28" s="13"/>
      <c r="K28" s="13"/>
    </row>
    <row r="29" spans="1:11" ht="12.75" customHeight="1">
      <c r="A29" s="690" t="s">
        <v>581</v>
      </c>
      <c r="B29" s="690"/>
      <c r="C29" s="690"/>
      <c r="D29" s="39"/>
      <c r="E29" s="39" t="s">
        <v>106</v>
      </c>
      <c r="F29" s="34">
        <v>255</v>
      </c>
      <c r="G29" s="40">
        <f>Lead!G9</f>
        <v>1139.7</v>
      </c>
      <c r="H29" s="13">
        <f>ROUND(F29*G29,2)</f>
        <v>290623.5</v>
      </c>
      <c r="I29" s="13"/>
      <c r="J29" s="13"/>
      <c r="K29" s="13"/>
    </row>
    <row r="30" spans="1:11" ht="12.75" customHeight="1">
      <c r="A30" s="41" t="s">
        <v>582</v>
      </c>
      <c r="B30" s="41"/>
      <c r="C30" s="41"/>
      <c r="D30" s="41"/>
      <c r="E30" s="41" t="s">
        <v>106</v>
      </c>
      <c r="F30" s="34">
        <v>129</v>
      </c>
      <c r="G30" s="40">
        <f>G29</f>
        <v>1139.7</v>
      </c>
      <c r="H30" s="13">
        <f>ROUND(F30*G30,2)</f>
        <v>147021.29999999999</v>
      </c>
      <c r="I30" s="13"/>
      <c r="J30" s="13"/>
      <c r="K30" s="13"/>
    </row>
    <row r="31" spans="1:11">
      <c r="A31" s="13"/>
      <c r="B31" s="13"/>
      <c r="C31" s="13"/>
      <c r="D31" s="13"/>
      <c r="E31" s="13"/>
      <c r="F31" s="13"/>
      <c r="G31" s="40"/>
      <c r="H31" s="13"/>
      <c r="I31" s="13"/>
      <c r="J31" s="13"/>
      <c r="K31" s="13"/>
    </row>
    <row r="32" spans="1:11">
      <c r="A32" s="13"/>
      <c r="B32" s="13"/>
      <c r="C32" s="13"/>
      <c r="D32" s="13"/>
      <c r="E32" s="13"/>
      <c r="F32" s="42"/>
      <c r="G32" s="40"/>
      <c r="H32" s="13"/>
      <c r="I32" s="13"/>
      <c r="J32" s="13"/>
      <c r="K32" s="13"/>
    </row>
    <row r="33" spans="1:11">
      <c r="A33" s="13"/>
      <c r="B33" s="13"/>
      <c r="C33" s="13"/>
      <c r="D33" s="13"/>
      <c r="E33" s="13"/>
      <c r="F33" s="13"/>
      <c r="G33" s="13" t="s">
        <v>586</v>
      </c>
      <c r="H33" s="13">
        <f>SUM(H29:H32)</f>
        <v>437644.79999999999</v>
      </c>
      <c r="I33" s="13"/>
      <c r="J33" s="13"/>
      <c r="K33" s="13"/>
    </row>
    <row r="34" spans="1:11">
      <c r="A34" s="13"/>
      <c r="B34" s="13"/>
      <c r="C34" s="13"/>
      <c r="D34" s="13"/>
      <c r="E34" s="13"/>
      <c r="F34" s="13"/>
      <c r="G34" s="13"/>
      <c r="H34" s="13"/>
      <c r="I34" s="13"/>
      <c r="J34" s="13"/>
      <c r="K34" s="13"/>
    </row>
    <row r="35" spans="1:11">
      <c r="A35" s="13"/>
      <c r="B35" s="13" t="s">
        <v>587</v>
      </c>
      <c r="C35" s="13"/>
      <c r="D35" s="13"/>
      <c r="E35" s="13"/>
      <c r="F35" s="13"/>
      <c r="G35" s="13"/>
      <c r="H35" s="40">
        <f>K23+K25+H33</f>
        <v>732920.64</v>
      </c>
      <c r="I35" s="13"/>
      <c r="J35" s="13"/>
      <c r="K35" s="13"/>
    </row>
    <row r="36" spans="1:11">
      <c r="A36" s="13"/>
      <c r="B36" s="13"/>
      <c r="C36" s="13"/>
      <c r="D36" s="13"/>
      <c r="E36" s="13"/>
      <c r="F36" s="13"/>
      <c r="G36" s="13"/>
      <c r="H36" s="13"/>
      <c r="I36" s="13"/>
      <c r="J36" s="13"/>
      <c r="K36" s="13"/>
    </row>
    <row r="37" spans="1:11">
      <c r="A37" s="13"/>
      <c r="B37" s="13" t="s">
        <v>588</v>
      </c>
      <c r="C37" s="13"/>
      <c r="D37" s="13"/>
      <c r="E37" s="13"/>
      <c r="F37" s="13"/>
      <c r="G37" s="13"/>
      <c r="H37" s="40">
        <f>ROUND(H35/300,1)</f>
        <v>2443.1</v>
      </c>
      <c r="I37" s="13"/>
      <c r="J37" s="13"/>
      <c r="K37" s="13"/>
    </row>
    <row r="38" spans="1:11">
      <c r="A38" s="13"/>
      <c r="B38" s="13"/>
      <c r="C38" s="13"/>
      <c r="D38" s="13"/>
      <c r="E38" s="13"/>
      <c r="F38" s="13"/>
      <c r="G38" s="13"/>
      <c r="H38" s="13"/>
      <c r="I38" s="13"/>
      <c r="J38" s="13"/>
      <c r="K38" s="13"/>
    </row>
    <row r="39" spans="1:11">
      <c r="C39" s="26"/>
      <c r="D39" s="26"/>
      <c r="E39" s="26"/>
      <c r="F39" s="26"/>
      <c r="G39" s="26"/>
      <c r="H39" s="26"/>
      <c r="I39" s="26"/>
      <c r="J39" s="26"/>
      <c r="K39" s="51"/>
    </row>
    <row r="40" spans="1:11" ht="99.75" customHeight="1">
      <c r="C40" s="688" t="s">
        <v>589</v>
      </c>
      <c r="D40" s="688"/>
      <c r="E40" s="688"/>
      <c r="F40" s="688"/>
      <c r="G40" s="688"/>
      <c r="H40" s="688"/>
      <c r="I40" s="688"/>
      <c r="J40" s="688"/>
      <c r="K40" s="688"/>
    </row>
    <row r="41" spans="1:11">
      <c r="C41" s="26" t="s">
        <v>373</v>
      </c>
      <c r="D41" s="26"/>
      <c r="E41" s="26"/>
      <c r="G41" s="25" t="s">
        <v>590</v>
      </c>
      <c r="H41" s="26"/>
      <c r="I41" s="26"/>
      <c r="J41" s="26"/>
    </row>
    <row r="42" spans="1:11">
      <c r="C42" s="26" t="s">
        <v>591</v>
      </c>
      <c r="D42" s="26"/>
      <c r="E42" s="26"/>
      <c r="G42" s="26"/>
      <c r="H42" s="26"/>
      <c r="I42" s="26"/>
      <c r="J42" s="26"/>
    </row>
    <row r="43" spans="1:11">
      <c r="C43" s="43" t="s">
        <v>565</v>
      </c>
      <c r="D43" s="44" t="s">
        <v>566</v>
      </c>
      <c r="G43" s="26"/>
      <c r="H43" s="26"/>
      <c r="I43" s="26"/>
      <c r="J43" s="26"/>
    </row>
    <row r="44" spans="1:11">
      <c r="C44" s="29">
        <v>0.48</v>
      </c>
      <c r="D44" s="30" t="s">
        <v>592</v>
      </c>
      <c r="E44" s="26" t="s">
        <v>471</v>
      </c>
      <c r="G44" s="26"/>
      <c r="H44" s="26"/>
      <c r="I44" s="45">
        <v>465</v>
      </c>
      <c r="J44" s="45" t="s">
        <v>382</v>
      </c>
      <c r="K44" s="47">
        <f>ROUND(C44*I44,2)</f>
        <v>223.2</v>
      </c>
    </row>
    <row r="45" spans="1:11">
      <c r="C45" s="29">
        <v>2</v>
      </c>
      <c r="D45" s="30" t="s">
        <v>592</v>
      </c>
      <c r="E45" s="26" t="s">
        <v>567</v>
      </c>
      <c r="G45" s="26"/>
      <c r="H45" s="26"/>
      <c r="I45" s="45">
        <v>370</v>
      </c>
      <c r="J45" s="45" t="s">
        <v>382</v>
      </c>
      <c r="K45" s="47">
        <f>ROUND(C45*I45,2)</f>
        <v>740</v>
      </c>
    </row>
    <row r="46" spans="1:11">
      <c r="C46" s="29">
        <v>10</v>
      </c>
      <c r="D46" s="30" t="s">
        <v>592</v>
      </c>
      <c r="E46" s="26" t="s">
        <v>593</v>
      </c>
      <c r="G46" s="26"/>
      <c r="H46" s="26"/>
      <c r="I46" s="45">
        <v>370</v>
      </c>
      <c r="J46" s="45" t="s">
        <v>382</v>
      </c>
      <c r="K46" s="47">
        <f>ROUND(C46*I46,2)</f>
        <v>3700</v>
      </c>
    </row>
    <row r="47" spans="1:11">
      <c r="C47" s="31">
        <v>20</v>
      </c>
      <c r="D47" s="32" t="s">
        <v>569</v>
      </c>
      <c r="E47" s="25" t="s">
        <v>570</v>
      </c>
      <c r="G47" s="25"/>
      <c r="H47" s="26"/>
      <c r="I47" s="45">
        <v>0</v>
      </c>
      <c r="J47" s="23"/>
      <c r="K47" s="47">
        <f>ROUND(I47*C47%,2)</f>
        <v>0</v>
      </c>
    </row>
    <row r="48" spans="1:11">
      <c r="C48" s="45"/>
      <c r="D48" s="45"/>
      <c r="E48" s="26" t="s">
        <v>230</v>
      </c>
      <c r="G48" s="26"/>
      <c r="H48" s="26"/>
      <c r="I48" s="45"/>
      <c r="J48" s="26"/>
      <c r="K48" s="48">
        <f>SUM(K44:K47)</f>
        <v>4663.2</v>
      </c>
    </row>
    <row r="49" spans="3:15">
      <c r="C49" s="43" t="s">
        <v>571</v>
      </c>
      <c r="D49" s="44" t="s">
        <v>572</v>
      </c>
      <c r="G49" s="26"/>
      <c r="H49" s="26"/>
      <c r="I49" s="45"/>
      <c r="J49" s="26"/>
      <c r="K49" s="52"/>
    </row>
    <row r="50" spans="3:15">
      <c r="C50" s="29">
        <v>6.6</v>
      </c>
      <c r="D50" s="30" t="s">
        <v>573</v>
      </c>
      <c r="E50" s="26" t="s">
        <v>594</v>
      </c>
      <c r="G50" s="26"/>
      <c r="H50" s="26"/>
      <c r="I50" s="45">
        <v>1650</v>
      </c>
      <c r="J50" s="45" t="s">
        <v>573</v>
      </c>
      <c r="K50" s="47">
        <f t="shared" ref="K50:K55" si="0">ROUND(C50*I50,2)</f>
        <v>10890</v>
      </c>
    </row>
    <row r="51" spans="3:15">
      <c r="C51" s="29">
        <v>6</v>
      </c>
      <c r="D51" s="30" t="s">
        <v>573</v>
      </c>
      <c r="E51" s="26" t="s">
        <v>595</v>
      </c>
      <c r="G51" s="26"/>
      <c r="H51" s="26"/>
      <c r="I51" s="45">
        <v>1320</v>
      </c>
      <c r="J51" s="45" t="s">
        <v>573</v>
      </c>
      <c r="K51" s="47">
        <f t="shared" si="0"/>
        <v>7920</v>
      </c>
    </row>
    <row r="52" spans="3:15">
      <c r="C52" s="29">
        <v>6</v>
      </c>
      <c r="D52" s="30" t="s">
        <v>573</v>
      </c>
      <c r="E52" s="26" t="s">
        <v>596</v>
      </c>
      <c r="G52" s="26"/>
      <c r="H52" s="26"/>
      <c r="I52" s="45">
        <v>1650</v>
      </c>
      <c r="J52" s="45" t="s">
        <v>573</v>
      </c>
      <c r="K52" s="47">
        <f t="shared" si="0"/>
        <v>9900</v>
      </c>
    </row>
    <row r="53" spans="3:15">
      <c r="C53" s="29">
        <v>6</v>
      </c>
      <c r="D53" s="30" t="s">
        <v>573</v>
      </c>
      <c r="E53" s="26" t="s">
        <v>597</v>
      </c>
      <c r="G53" s="26"/>
      <c r="H53" s="26"/>
      <c r="I53" s="45">
        <v>2250</v>
      </c>
      <c r="J53" s="45" t="s">
        <v>573</v>
      </c>
      <c r="K53" s="47">
        <f t="shared" si="0"/>
        <v>13500</v>
      </c>
    </row>
    <row r="54" spans="3:15">
      <c r="C54" s="29">
        <v>3.9</v>
      </c>
      <c r="D54" s="30" t="s">
        <v>573</v>
      </c>
      <c r="E54" s="26" t="s">
        <v>598</v>
      </c>
      <c r="G54" s="26"/>
      <c r="H54" s="26"/>
      <c r="I54" s="45">
        <v>2637.2</v>
      </c>
      <c r="J54" s="45" t="s">
        <v>573</v>
      </c>
      <c r="K54" s="47">
        <f t="shared" si="0"/>
        <v>10285.08</v>
      </c>
    </row>
    <row r="55" spans="3:15">
      <c r="C55" s="29">
        <v>3</v>
      </c>
      <c r="D55" s="30" t="s">
        <v>573</v>
      </c>
      <c r="E55" s="26" t="s">
        <v>599</v>
      </c>
      <c r="G55" s="26"/>
      <c r="H55" s="26"/>
      <c r="I55" s="45">
        <v>630</v>
      </c>
      <c r="J55" s="45" t="s">
        <v>573</v>
      </c>
      <c r="K55" s="47">
        <f t="shared" si="0"/>
        <v>1890</v>
      </c>
    </row>
    <row r="56" spans="3:15">
      <c r="C56" s="26"/>
      <c r="D56" s="26"/>
      <c r="E56" s="26" t="s">
        <v>230</v>
      </c>
      <c r="G56" s="26"/>
      <c r="H56" s="26"/>
      <c r="I56" s="45"/>
      <c r="J56" s="26"/>
      <c r="K56" s="48">
        <f>SUM(K50:K55)</f>
        <v>54385.08</v>
      </c>
    </row>
    <row r="57" spans="3:15">
      <c r="C57" s="43" t="s">
        <v>578</v>
      </c>
      <c r="D57" s="44" t="s">
        <v>579</v>
      </c>
      <c r="G57" s="26"/>
      <c r="H57" s="26"/>
      <c r="I57" s="45"/>
      <c r="J57" s="26"/>
      <c r="K57" s="52"/>
    </row>
    <row r="58" spans="3:15">
      <c r="C58" s="29">
        <v>89.1</v>
      </c>
      <c r="D58" s="30" t="s">
        <v>106</v>
      </c>
      <c r="E58" s="26" t="s">
        <v>600</v>
      </c>
      <c r="G58" s="26"/>
      <c r="H58" s="26"/>
      <c r="I58" s="45">
        <v>1145</v>
      </c>
      <c r="J58" s="23" t="s">
        <v>106</v>
      </c>
      <c r="K58" s="47">
        <f>ROUND(C58*I58,2)</f>
        <v>102019.5</v>
      </c>
    </row>
    <row r="59" spans="3:15">
      <c r="C59" s="29"/>
      <c r="D59" s="30"/>
      <c r="E59" s="26" t="s">
        <v>601</v>
      </c>
      <c r="G59" s="26"/>
      <c r="H59" s="26"/>
      <c r="I59" s="45"/>
      <c r="J59" s="23"/>
      <c r="K59" s="47"/>
    </row>
    <row r="60" spans="3:15">
      <c r="C60" s="29">
        <v>118.8</v>
      </c>
      <c r="D60" s="30" t="s">
        <v>106</v>
      </c>
      <c r="E60" s="26" t="s">
        <v>602</v>
      </c>
      <c r="G60" s="26"/>
      <c r="H60" s="26"/>
      <c r="I60" s="45">
        <v>914</v>
      </c>
      <c r="J60" s="23" t="s">
        <v>106</v>
      </c>
      <c r="K60" s="47">
        <f>ROUND(C60*I60,2)</f>
        <v>108583.2</v>
      </c>
      <c r="O60" s="49"/>
    </row>
    <row r="61" spans="3:15">
      <c r="C61" s="29"/>
      <c r="D61" s="30"/>
      <c r="E61" s="683" t="s">
        <v>603</v>
      </c>
      <c r="F61" s="683"/>
      <c r="G61" s="683"/>
      <c r="H61" s="683"/>
      <c r="I61" s="45"/>
      <c r="J61" s="23"/>
      <c r="K61" s="47"/>
    </row>
    <row r="62" spans="3:15">
      <c r="C62" s="29">
        <v>89.1</v>
      </c>
      <c r="D62" s="30" t="s">
        <v>106</v>
      </c>
      <c r="E62" s="691" t="s">
        <v>604</v>
      </c>
      <c r="F62" s="691"/>
      <c r="G62" s="691"/>
      <c r="H62" s="691"/>
      <c r="I62" s="45">
        <v>438</v>
      </c>
      <c r="J62" s="23" t="s">
        <v>106</v>
      </c>
      <c r="K62" s="47">
        <f>ROUND(C62*I62,2)</f>
        <v>39025.800000000003</v>
      </c>
    </row>
    <row r="63" spans="3:15">
      <c r="C63" s="29"/>
      <c r="D63" s="30"/>
      <c r="E63" s="26" t="s">
        <v>230</v>
      </c>
      <c r="G63" s="26"/>
      <c r="H63" s="26"/>
      <c r="I63" s="26"/>
      <c r="J63" s="26"/>
      <c r="K63" s="48">
        <f>SUM(K58:K62)</f>
        <v>249628.5</v>
      </c>
    </row>
    <row r="64" spans="3:15">
      <c r="C64" s="29"/>
      <c r="D64" s="30"/>
      <c r="E64" s="26"/>
      <c r="G64" s="26"/>
      <c r="H64" s="26"/>
      <c r="I64" s="26"/>
      <c r="J64" s="26"/>
      <c r="K64" s="51"/>
    </row>
    <row r="65" spans="1:11">
      <c r="C65" s="29"/>
      <c r="D65" s="30"/>
      <c r="E65" s="26"/>
      <c r="G65" s="26"/>
      <c r="H65" s="26"/>
      <c r="I65" s="26"/>
      <c r="J65" s="26"/>
      <c r="K65" s="51"/>
    </row>
    <row r="66" spans="1:11">
      <c r="C66" s="30"/>
      <c r="D66" s="26"/>
      <c r="E66" s="26" t="s">
        <v>583</v>
      </c>
      <c r="G66" s="26"/>
      <c r="H66" s="26"/>
      <c r="I66" s="26"/>
      <c r="J66" s="26"/>
      <c r="K66" s="51">
        <f>K48+K56+K63</f>
        <v>308676.78000000003</v>
      </c>
    </row>
    <row r="67" spans="1:11">
      <c r="C67" s="30"/>
      <c r="D67" s="26"/>
      <c r="E67" s="26"/>
      <c r="G67" s="26"/>
      <c r="H67" s="26"/>
      <c r="I67" s="26"/>
      <c r="J67" s="26"/>
      <c r="K67" s="51"/>
    </row>
    <row r="68" spans="1:11">
      <c r="A68" s="13"/>
      <c r="B68" s="37" t="s">
        <v>584</v>
      </c>
      <c r="C68" s="38" t="s">
        <v>585</v>
      </c>
      <c r="D68" s="13"/>
      <c r="E68" s="13"/>
      <c r="F68" s="13"/>
      <c r="G68" s="13"/>
      <c r="H68" s="13"/>
      <c r="I68" s="13"/>
      <c r="J68" s="13"/>
      <c r="K68" s="13">
        <f>ROUND(K66*13.615%,2)</f>
        <v>42026.34</v>
      </c>
    </row>
    <row r="69" spans="1:11">
      <c r="A69" s="13"/>
      <c r="B69" s="13"/>
      <c r="C69" s="38"/>
      <c r="D69" s="13"/>
      <c r="E69" s="13"/>
      <c r="F69" s="13"/>
      <c r="G69" s="13"/>
      <c r="H69" s="13"/>
      <c r="I69" s="13"/>
      <c r="J69" s="13"/>
      <c r="K69" s="13"/>
    </row>
    <row r="70" spans="1:11">
      <c r="A70" s="13"/>
      <c r="B70" s="22" t="s">
        <v>296</v>
      </c>
      <c r="H70" s="13"/>
      <c r="I70" s="13"/>
      <c r="J70" s="13"/>
      <c r="K70" s="13"/>
    </row>
    <row r="71" spans="1:11">
      <c r="A71" s="13"/>
      <c r="B71" s="22"/>
      <c r="C71" s="22" t="s">
        <v>297</v>
      </c>
      <c r="D71" s="13"/>
      <c r="E71" s="22" t="s">
        <v>101</v>
      </c>
      <c r="F71" s="22" t="s">
        <v>100</v>
      </c>
      <c r="G71" s="22" t="s">
        <v>298</v>
      </c>
      <c r="H71" s="22" t="s">
        <v>264</v>
      </c>
      <c r="I71" s="13"/>
      <c r="J71" s="13"/>
      <c r="K71" s="13"/>
    </row>
    <row r="72" spans="1:11">
      <c r="A72" s="690" t="s">
        <v>605</v>
      </c>
      <c r="B72" s="690"/>
      <c r="C72" s="690"/>
      <c r="D72" s="39"/>
      <c r="E72" s="39" t="s">
        <v>106</v>
      </c>
      <c r="F72" s="34">
        <f>C58</f>
        <v>89.1</v>
      </c>
      <c r="G72" s="40">
        <f>Lead!G9</f>
        <v>1139.7</v>
      </c>
      <c r="H72" s="13">
        <f>ROUND(F72*G72,2)</f>
        <v>101547.27</v>
      </c>
      <c r="I72" s="13"/>
      <c r="J72" s="13"/>
      <c r="K72" s="13"/>
    </row>
    <row r="73" spans="1:11">
      <c r="A73" s="41"/>
      <c r="B73" s="41" t="s">
        <v>606</v>
      </c>
      <c r="C73" s="41"/>
      <c r="D73" s="41"/>
      <c r="E73" s="41" t="s">
        <v>106</v>
      </c>
      <c r="F73" s="34">
        <f>C60</f>
        <v>118.8</v>
      </c>
      <c r="G73" s="40">
        <f>G72</f>
        <v>1139.7</v>
      </c>
      <c r="H73" s="13">
        <f>ROUND(F73*G73,2)</f>
        <v>135396.35999999999</v>
      </c>
      <c r="I73" s="13"/>
      <c r="J73" s="13"/>
      <c r="K73" s="13"/>
    </row>
    <row r="74" spans="1:11">
      <c r="A74" s="13"/>
      <c r="B74" s="13" t="s">
        <v>607</v>
      </c>
      <c r="C74" s="13"/>
      <c r="D74" s="13"/>
      <c r="E74" s="13" t="s">
        <v>106</v>
      </c>
      <c r="F74" s="40">
        <f>C62</f>
        <v>89.1</v>
      </c>
      <c r="G74" s="40">
        <f>G72</f>
        <v>1139.7</v>
      </c>
      <c r="H74" s="13">
        <f>ROUND(F74*G74,2)</f>
        <v>101547.27</v>
      </c>
      <c r="I74" s="13"/>
      <c r="J74" s="13"/>
      <c r="K74" s="13"/>
    </row>
    <row r="75" spans="1:11">
      <c r="A75" s="13"/>
      <c r="B75" s="13"/>
      <c r="C75" s="13"/>
      <c r="D75" s="13"/>
      <c r="E75" s="13"/>
      <c r="F75" s="42"/>
      <c r="G75" s="40"/>
      <c r="H75" s="13"/>
      <c r="I75" s="13"/>
      <c r="J75" s="13"/>
      <c r="K75" s="13"/>
    </row>
    <row r="76" spans="1:11">
      <c r="A76" s="13"/>
      <c r="B76" s="13"/>
      <c r="C76" s="13"/>
      <c r="D76" s="13"/>
      <c r="E76" s="13"/>
      <c r="F76" s="13"/>
      <c r="G76" s="13" t="s">
        <v>586</v>
      </c>
      <c r="H76" s="13">
        <f>SUM(H72:H75)</f>
        <v>338490.9</v>
      </c>
      <c r="I76" s="13"/>
      <c r="J76" s="13"/>
      <c r="K76" s="13">
        <f>H76</f>
        <v>338490.9</v>
      </c>
    </row>
    <row r="77" spans="1:11">
      <c r="A77" s="13"/>
      <c r="B77" s="13"/>
      <c r="C77" s="13"/>
      <c r="D77" s="13"/>
      <c r="E77" s="13"/>
      <c r="F77" s="13"/>
      <c r="G77" s="13"/>
      <c r="H77" s="13"/>
      <c r="I77" s="13"/>
      <c r="J77" s="13"/>
      <c r="K77" s="13"/>
    </row>
    <row r="78" spans="1:11">
      <c r="A78" s="13"/>
      <c r="B78" s="13" t="s">
        <v>608</v>
      </c>
      <c r="C78" s="13"/>
      <c r="D78" s="13"/>
      <c r="E78" s="13"/>
      <c r="F78" s="13"/>
      <c r="G78" s="13"/>
      <c r="H78" s="40"/>
      <c r="I78" s="13"/>
      <c r="J78" s="13"/>
      <c r="K78" s="40">
        <f>K66+K68+K76</f>
        <v>689194.02</v>
      </c>
    </row>
    <row r="79" spans="1:11">
      <c r="A79" s="13"/>
      <c r="B79" s="13"/>
      <c r="C79" s="13"/>
      <c r="D79" s="13"/>
      <c r="E79" s="13"/>
      <c r="F79" s="13"/>
      <c r="G79" s="13"/>
      <c r="H79" s="13"/>
      <c r="I79" s="13"/>
      <c r="J79" s="13"/>
      <c r="K79" s="13"/>
    </row>
    <row r="80" spans="1:11">
      <c r="A80" s="13"/>
      <c r="B80" s="13" t="s">
        <v>609</v>
      </c>
      <c r="C80" s="13"/>
      <c r="D80" s="13"/>
      <c r="E80" s="13"/>
      <c r="F80" s="13"/>
      <c r="G80" s="13"/>
      <c r="H80" s="40"/>
      <c r="I80" s="13"/>
      <c r="J80" s="13"/>
      <c r="K80" s="18">
        <f>ROUND(K78/225,1)</f>
        <v>3063.1</v>
      </c>
    </row>
    <row r="81" spans="1:11">
      <c r="A81" s="13"/>
      <c r="B81" s="13"/>
      <c r="C81" s="13"/>
      <c r="D81" s="13"/>
      <c r="E81" s="13"/>
      <c r="F81" s="13"/>
      <c r="G81" s="13"/>
      <c r="H81" s="40"/>
      <c r="I81" s="13"/>
      <c r="J81" s="13"/>
      <c r="K81" s="13"/>
    </row>
    <row r="82" spans="1:11">
      <c r="A82" s="13"/>
      <c r="B82" s="13"/>
      <c r="C82" s="13"/>
      <c r="D82" s="13"/>
      <c r="E82" s="13"/>
      <c r="F82" s="13"/>
      <c r="G82" s="13"/>
      <c r="H82" s="40"/>
      <c r="I82" s="13"/>
      <c r="J82" s="13"/>
      <c r="K82" s="13"/>
    </row>
    <row r="83" spans="1:11">
      <c r="A83" s="13"/>
      <c r="B83" s="13"/>
      <c r="C83" s="13"/>
      <c r="D83" s="13"/>
      <c r="E83" s="13"/>
      <c r="F83" s="13"/>
      <c r="G83" s="13"/>
      <c r="H83" s="40"/>
      <c r="I83" s="13"/>
      <c r="J83" s="13"/>
      <c r="K83" s="13"/>
    </row>
    <row r="84" spans="1:11" ht="81" customHeight="1">
      <c r="C84" s="688" t="s">
        <v>610</v>
      </c>
      <c r="D84" s="688"/>
      <c r="E84" s="688"/>
      <c r="F84" s="688"/>
      <c r="G84" s="688"/>
      <c r="H84" s="688"/>
      <c r="I84" s="688"/>
      <c r="J84" s="688"/>
      <c r="K84" s="688"/>
    </row>
    <row r="85" spans="1:11">
      <c r="C85" s="22" t="s">
        <v>611</v>
      </c>
      <c r="G85" s="25" t="s">
        <v>612</v>
      </c>
    </row>
    <row r="86" spans="1:11">
      <c r="C86" s="22" t="s">
        <v>613</v>
      </c>
    </row>
    <row r="87" spans="1:11">
      <c r="C87" s="53" t="s">
        <v>565</v>
      </c>
      <c r="D87" s="54" t="s">
        <v>566</v>
      </c>
    </row>
    <row r="88" spans="1:11">
      <c r="C88" s="36">
        <v>0.44</v>
      </c>
      <c r="D88" s="26" t="s">
        <v>592</v>
      </c>
      <c r="E88" s="22" t="s">
        <v>471</v>
      </c>
      <c r="I88" s="45">
        <v>465</v>
      </c>
      <c r="J88" s="45" t="s">
        <v>382</v>
      </c>
      <c r="K88" s="45">
        <f>ROUND(C88*I88,2)</f>
        <v>204.6</v>
      </c>
    </row>
    <row r="89" spans="1:11">
      <c r="C89" s="29">
        <v>9</v>
      </c>
      <c r="D89" s="26" t="s">
        <v>592</v>
      </c>
      <c r="E89" s="22" t="s">
        <v>362</v>
      </c>
      <c r="I89" s="45">
        <v>370</v>
      </c>
      <c r="J89" s="45" t="s">
        <v>382</v>
      </c>
      <c r="K89" s="45">
        <f>ROUND(C89*I89,2)</f>
        <v>3330</v>
      </c>
    </row>
    <row r="90" spans="1:11">
      <c r="C90" s="29">
        <v>2</v>
      </c>
      <c r="D90" s="26" t="s">
        <v>592</v>
      </c>
      <c r="E90" s="22" t="s">
        <v>567</v>
      </c>
      <c r="I90" s="45">
        <v>370</v>
      </c>
      <c r="J90" s="45" t="s">
        <v>382</v>
      </c>
      <c r="K90" s="45">
        <f>ROUND(C90*I90,2)</f>
        <v>740</v>
      </c>
    </row>
    <row r="91" spans="1:11">
      <c r="C91" s="31">
        <v>20</v>
      </c>
      <c r="D91" s="32" t="s">
        <v>569</v>
      </c>
      <c r="E91" s="25" t="s">
        <v>614</v>
      </c>
      <c r="G91" s="25"/>
      <c r="H91" s="26"/>
      <c r="I91" s="45">
        <v>0</v>
      </c>
      <c r="J91" s="23"/>
      <c r="K91" s="47">
        <f>ROUND(I91*C91%,2)</f>
        <v>0</v>
      </c>
    </row>
    <row r="92" spans="1:11">
      <c r="C92" s="23"/>
      <c r="D92" s="23"/>
      <c r="E92" s="22" t="s">
        <v>230</v>
      </c>
      <c r="I92" s="45"/>
      <c r="J92" s="45"/>
      <c r="K92" s="61">
        <f>SUM(K88:K91)</f>
        <v>4274.6000000000004</v>
      </c>
    </row>
    <row r="93" spans="1:11">
      <c r="C93" s="53" t="s">
        <v>571</v>
      </c>
      <c r="D93" s="54" t="s">
        <v>572</v>
      </c>
      <c r="I93" s="45"/>
      <c r="J93" s="45"/>
      <c r="K93" s="45"/>
    </row>
    <row r="94" spans="1:11">
      <c r="C94" s="29">
        <v>7.2</v>
      </c>
      <c r="D94" s="26" t="s">
        <v>573</v>
      </c>
      <c r="E94" s="687" t="s">
        <v>615</v>
      </c>
      <c r="F94" s="687"/>
      <c r="G94" s="687"/>
      <c r="H94" s="687"/>
      <c r="I94" s="45">
        <v>375</v>
      </c>
      <c r="J94" s="45" t="s">
        <v>573</v>
      </c>
      <c r="K94" s="45">
        <f t="shared" ref="K94:K100" si="1">ROUND(C94*I94,2)</f>
        <v>2700</v>
      </c>
    </row>
    <row r="95" spans="1:11">
      <c r="C95" s="29">
        <v>7.2</v>
      </c>
      <c r="D95" s="26" t="s">
        <v>573</v>
      </c>
      <c r="E95" s="22" t="s">
        <v>616</v>
      </c>
      <c r="I95" s="45">
        <v>538.20000000000005</v>
      </c>
      <c r="J95" s="45" t="s">
        <v>573</v>
      </c>
      <c r="K95" s="45">
        <f t="shared" si="1"/>
        <v>3875.04</v>
      </c>
    </row>
    <row r="96" spans="1:11">
      <c r="C96" s="29">
        <v>6</v>
      </c>
      <c r="D96" s="26" t="s">
        <v>573</v>
      </c>
      <c r="E96" s="683" t="s">
        <v>617</v>
      </c>
      <c r="F96" s="683"/>
      <c r="G96" s="683"/>
      <c r="H96" s="683"/>
      <c r="I96" s="45">
        <v>2695</v>
      </c>
      <c r="J96" s="45" t="s">
        <v>573</v>
      </c>
      <c r="K96" s="45">
        <f t="shared" si="1"/>
        <v>16170</v>
      </c>
    </row>
    <row r="97" spans="3:11">
      <c r="C97" s="29">
        <v>6</v>
      </c>
      <c r="D97" s="26" t="s">
        <v>573</v>
      </c>
      <c r="E97" s="689" t="s">
        <v>618</v>
      </c>
      <c r="F97" s="689"/>
      <c r="G97" s="689"/>
      <c r="H97" s="689"/>
      <c r="I97" s="45">
        <v>909.7</v>
      </c>
      <c r="J97" s="45" t="s">
        <v>573</v>
      </c>
      <c r="K97" s="45">
        <f t="shared" si="1"/>
        <v>5458.2</v>
      </c>
    </row>
    <row r="98" spans="3:11">
      <c r="C98" s="29">
        <v>6</v>
      </c>
      <c r="D98" s="26" t="s">
        <v>573</v>
      </c>
      <c r="E98" s="683" t="s">
        <v>619</v>
      </c>
      <c r="F98" s="683"/>
      <c r="G98" s="683"/>
      <c r="H98" s="683"/>
      <c r="I98" s="45">
        <v>1650</v>
      </c>
      <c r="J98" s="45" t="s">
        <v>573</v>
      </c>
      <c r="K98" s="45">
        <f t="shared" si="1"/>
        <v>9900</v>
      </c>
    </row>
    <row r="99" spans="3:11">
      <c r="C99" s="29">
        <v>6</v>
      </c>
      <c r="D99" s="26" t="s">
        <v>573</v>
      </c>
      <c r="E99" s="55" t="s">
        <v>620</v>
      </c>
      <c r="F99" s="55"/>
      <c r="I99" s="45">
        <v>1500</v>
      </c>
      <c r="J99" s="45" t="s">
        <v>573</v>
      </c>
      <c r="K99" s="45">
        <f t="shared" si="1"/>
        <v>9000</v>
      </c>
    </row>
    <row r="100" spans="3:11">
      <c r="C100" s="29">
        <v>6</v>
      </c>
      <c r="D100" s="26" t="s">
        <v>573</v>
      </c>
      <c r="E100" s="22" t="s">
        <v>621</v>
      </c>
      <c r="I100" s="45">
        <v>1101</v>
      </c>
      <c r="J100" s="45" t="s">
        <v>622</v>
      </c>
      <c r="K100" s="45">
        <f t="shared" si="1"/>
        <v>6606</v>
      </c>
    </row>
    <row r="101" spans="3:11">
      <c r="C101" s="29"/>
      <c r="D101" s="26"/>
      <c r="E101" s="22" t="s">
        <v>230</v>
      </c>
      <c r="I101" s="45"/>
      <c r="J101" s="45"/>
      <c r="K101" s="61">
        <f>SUM(K94:K100)</f>
        <v>53709.24</v>
      </c>
    </row>
    <row r="102" spans="3:11">
      <c r="C102" s="53" t="s">
        <v>578</v>
      </c>
      <c r="D102" s="54" t="s">
        <v>579</v>
      </c>
      <c r="I102" s="45"/>
      <c r="J102" s="45"/>
      <c r="K102" s="45"/>
    </row>
    <row r="103" spans="3:11">
      <c r="C103" s="36">
        <f>0.75*9000/1000</f>
        <v>6.75</v>
      </c>
      <c r="D103" s="26" t="s">
        <v>233</v>
      </c>
      <c r="E103" s="22" t="s">
        <v>623</v>
      </c>
      <c r="I103" s="45">
        <v>31245.29</v>
      </c>
      <c r="J103" s="45" t="s">
        <v>233</v>
      </c>
      <c r="K103" s="45">
        <f>ROUND(C103*I103,2)</f>
        <v>210905.71</v>
      </c>
    </row>
    <row r="104" spans="3:11">
      <c r="C104" s="29">
        <f>0.004*9000</f>
        <v>36</v>
      </c>
      <c r="D104" s="26" t="s">
        <v>106</v>
      </c>
      <c r="E104" s="683" t="s">
        <v>624</v>
      </c>
      <c r="F104" s="683"/>
      <c r="G104" s="683"/>
      <c r="H104" s="683"/>
      <c r="I104" s="45">
        <v>875</v>
      </c>
      <c r="J104" s="45" t="s">
        <v>106</v>
      </c>
      <c r="K104" s="45">
        <f>ROUND(C104*I104,2)</f>
        <v>31500</v>
      </c>
    </row>
    <row r="105" spans="3:11">
      <c r="C105" s="36"/>
      <c r="D105" s="26"/>
      <c r="E105" s="22" t="s">
        <v>230</v>
      </c>
      <c r="I105" s="45"/>
      <c r="J105" s="45"/>
      <c r="K105" s="61">
        <f>SUM(K103:K104)</f>
        <v>242405.71</v>
      </c>
    </row>
    <row r="106" spans="3:11">
      <c r="C106" s="36"/>
      <c r="D106" s="26"/>
      <c r="I106" s="45"/>
      <c r="J106" s="45"/>
      <c r="K106" s="50"/>
    </row>
    <row r="107" spans="3:11">
      <c r="C107" s="36"/>
      <c r="D107" s="26"/>
      <c r="I107" s="45"/>
      <c r="J107" s="45"/>
      <c r="K107" s="50"/>
    </row>
    <row r="108" spans="3:11">
      <c r="D108" s="26" t="s">
        <v>625</v>
      </c>
      <c r="I108" s="45"/>
      <c r="J108" s="45"/>
      <c r="K108" s="50">
        <f>K92+K101+K105</f>
        <v>300389.55</v>
      </c>
    </row>
    <row r="109" spans="3:11">
      <c r="C109" s="36"/>
      <c r="D109" s="26"/>
      <c r="I109" s="45"/>
      <c r="J109" s="45"/>
      <c r="K109" s="50"/>
    </row>
    <row r="110" spans="3:11">
      <c r="C110" s="36"/>
      <c r="D110" s="26"/>
      <c r="I110" s="45"/>
      <c r="J110" s="45"/>
      <c r="K110" s="50"/>
    </row>
    <row r="111" spans="3:11">
      <c r="C111" s="36" t="s">
        <v>626</v>
      </c>
      <c r="D111" s="38" t="s">
        <v>585</v>
      </c>
      <c r="I111" s="45"/>
      <c r="J111" s="45"/>
      <c r="K111" s="50">
        <f>ROUND(K108*13.615%,2)</f>
        <v>40898.04</v>
      </c>
    </row>
    <row r="112" spans="3:11">
      <c r="C112" s="36"/>
      <c r="D112" s="26"/>
      <c r="I112" s="45"/>
      <c r="J112" s="45"/>
      <c r="K112" s="50"/>
    </row>
    <row r="113" spans="3:11">
      <c r="C113" s="22" t="s">
        <v>296</v>
      </c>
      <c r="D113" s="26"/>
      <c r="I113" s="45"/>
      <c r="J113" s="45"/>
      <c r="K113" s="50"/>
    </row>
    <row r="114" spans="3:11">
      <c r="C114" s="36"/>
      <c r="D114" s="26"/>
      <c r="I114" s="45"/>
      <c r="J114" s="45"/>
      <c r="K114" s="50"/>
    </row>
    <row r="115" spans="3:11">
      <c r="C115" s="22" t="s">
        <v>297</v>
      </c>
      <c r="D115" s="13"/>
      <c r="E115" s="22" t="s">
        <v>101</v>
      </c>
      <c r="F115" s="22" t="s">
        <v>100</v>
      </c>
      <c r="G115" s="22" t="s">
        <v>298</v>
      </c>
      <c r="H115" s="22" t="s">
        <v>264</v>
      </c>
      <c r="I115" s="45"/>
      <c r="J115" s="45"/>
      <c r="K115" s="50"/>
    </row>
    <row r="116" spans="3:11">
      <c r="C116" s="22" t="s">
        <v>623</v>
      </c>
      <c r="E116" s="22" t="s">
        <v>233</v>
      </c>
      <c r="F116" s="36">
        <f>0.75*9000/1000</f>
        <v>6.75</v>
      </c>
      <c r="G116" s="49" t="e">
        <f>Lead!#REF!</f>
        <v>#REF!</v>
      </c>
      <c r="H116" s="22" t="e">
        <f>ROUND(G116*F116,2)</f>
        <v>#REF!</v>
      </c>
      <c r="I116" s="45"/>
      <c r="J116" s="45"/>
      <c r="K116" s="50"/>
    </row>
    <row r="117" spans="3:11" ht="12.75" customHeight="1">
      <c r="C117" s="56" t="s">
        <v>624</v>
      </c>
      <c r="D117" s="57"/>
      <c r="E117" s="57" t="s">
        <v>132</v>
      </c>
      <c r="F117" s="29">
        <f>0.004*9000</f>
        <v>36</v>
      </c>
      <c r="G117" s="49" t="e">
        <f>G116</f>
        <v>#REF!</v>
      </c>
      <c r="H117" s="22" t="e">
        <f>ROUND(G117*F117,2)</f>
        <v>#REF!</v>
      </c>
      <c r="I117" s="45"/>
      <c r="J117" s="45"/>
      <c r="K117" s="50"/>
    </row>
    <row r="118" spans="3:11">
      <c r="C118" s="36"/>
      <c r="D118" s="26"/>
      <c r="F118" s="22" t="s">
        <v>627</v>
      </c>
      <c r="H118" s="22" t="e">
        <f>SUM(H116:H117)</f>
        <v>#REF!</v>
      </c>
      <c r="I118" s="45"/>
      <c r="J118" s="45"/>
      <c r="K118" s="50"/>
    </row>
    <row r="119" spans="3:11">
      <c r="C119" s="36"/>
      <c r="D119" s="26"/>
      <c r="I119" s="45"/>
      <c r="J119" s="45"/>
      <c r="K119" s="50"/>
    </row>
    <row r="120" spans="3:11">
      <c r="C120" s="36"/>
      <c r="D120" s="26"/>
      <c r="I120" s="45"/>
      <c r="J120" s="45"/>
      <c r="K120" s="50"/>
    </row>
    <row r="121" spans="3:11">
      <c r="C121" s="36"/>
      <c r="D121" s="26"/>
      <c r="I121" s="45"/>
      <c r="J121" s="45"/>
      <c r="K121" s="50"/>
    </row>
    <row r="122" spans="3:11">
      <c r="C122" s="56" t="s">
        <v>628</v>
      </c>
      <c r="D122" s="56"/>
      <c r="E122" s="56"/>
      <c r="F122" s="56"/>
      <c r="G122" s="56"/>
      <c r="I122" s="45"/>
      <c r="J122" s="45"/>
      <c r="K122" s="50" t="e">
        <f>K108+K111+H118</f>
        <v>#REF!</v>
      </c>
    </row>
    <row r="123" spans="3:11">
      <c r="C123" s="36"/>
      <c r="D123" s="26"/>
      <c r="I123" s="45"/>
      <c r="J123" s="45"/>
      <c r="K123" s="50"/>
    </row>
    <row r="124" spans="3:11">
      <c r="C124" s="58" t="s">
        <v>629</v>
      </c>
      <c r="D124" s="58"/>
      <c r="E124" s="59" t="e">
        <f>K122</f>
        <v>#REF!</v>
      </c>
      <c r="F124" s="295" t="s">
        <v>630</v>
      </c>
      <c r="G124" s="26"/>
      <c r="H124" s="26"/>
      <c r="I124" s="26"/>
      <c r="J124" s="26"/>
      <c r="K124" s="51" t="e">
        <f>ROUND(K122/9000,1)</f>
        <v>#REF!</v>
      </c>
    </row>
    <row r="125" spans="3:11">
      <c r="C125" s="29"/>
      <c r="D125" s="30"/>
      <c r="E125" s="60"/>
      <c r="G125" s="26"/>
      <c r="H125" s="26"/>
      <c r="I125" s="26"/>
      <c r="J125" s="26"/>
      <c r="K125" s="62" t="s">
        <v>119</v>
      </c>
    </row>
    <row r="126" spans="3:11">
      <c r="C126" s="29"/>
      <c r="D126" s="30"/>
      <c r="E126" s="60"/>
      <c r="G126" s="26"/>
      <c r="H126" s="26"/>
      <c r="I126" s="26"/>
      <c r="J126" s="26"/>
      <c r="K126" s="51"/>
    </row>
    <row r="127" spans="3:11">
      <c r="C127" s="29"/>
      <c r="D127" s="30"/>
      <c r="E127" s="60"/>
      <c r="G127" s="26"/>
      <c r="H127" s="26"/>
      <c r="I127" s="26"/>
      <c r="J127" s="26"/>
      <c r="K127" s="51"/>
    </row>
    <row r="128" spans="3:11" ht="72" customHeight="1">
      <c r="C128" s="685" t="s">
        <v>631</v>
      </c>
      <c r="D128" s="685"/>
      <c r="E128" s="685"/>
      <c r="F128" s="685"/>
      <c r="G128" s="685"/>
      <c r="H128" s="685"/>
      <c r="I128" s="685"/>
      <c r="J128" s="685"/>
      <c r="K128" s="685"/>
    </row>
    <row r="129" spans="3:11">
      <c r="C129" s="22" t="s">
        <v>632</v>
      </c>
      <c r="G129" s="25" t="s">
        <v>633</v>
      </c>
    </row>
    <row r="130" spans="3:11">
      <c r="C130" s="22" t="s">
        <v>634</v>
      </c>
    </row>
    <row r="131" spans="3:11">
      <c r="C131" s="53" t="s">
        <v>565</v>
      </c>
      <c r="D131" s="54" t="s">
        <v>566</v>
      </c>
    </row>
    <row r="132" spans="3:11">
      <c r="C132" s="31">
        <v>0.08</v>
      </c>
      <c r="D132" s="32" t="s">
        <v>635</v>
      </c>
      <c r="E132" s="22" t="s">
        <v>471</v>
      </c>
      <c r="I132" s="45">
        <v>465</v>
      </c>
      <c r="J132" s="47" t="s">
        <v>382</v>
      </c>
      <c r="K132" s="45">
        <f>ROUND(C132*I132,2)</f>
        <v>37.200000000000003</v>
      </c>
    </row>
    <row r="133" spans="3:11">
      <c r="C133" s="31">
        <v>2</v>
      </c>
      <c r="D133" s="32" t="s">
        <v>635</v>
      </c>
      <c r="E133" s="22" t="s">
        <v>362</v>
      </c>
      <c r="I133" s="45">
        <v>370</v>
      </c>
      <c r="J133" s="47" t="s">
        <v>382</v>
      </c>
      <c r="K133" s="45">
        <f>ROUND(C133*I133,2)</f>
        <v>740</v>
      </c>
    </row>
    <row r="134" spans="3:11">
      <c r="C134" s="31">
        <v>20</v>
      </c>
      <c r="D134" s="32" t="s">
        <v>569</v>
      </c>
      <c r="E134" s="25" t="s">
        <v>570</v>
      </c>
      <c r="G134" s="25"/>
      <c r="H134" s="26"/>
      <c r="I134" s="45">
        <v>0</v>
      </c>
      <c r="J134" s="23"/>
      <c r="K134" s="47">
        <f>ROUND(I134*C134%,2)</f>
        <v>0</v>
      </c>
    </row>
    <row r="135" spans="3:11">
      <c r="C135" s="47"/>
      <c r="D135" s="47"/>
      <c r="E135" s="22" t="s">
        <v>230</v>
      </c>
      <c r="I135" s="47"/>
      <c r="J135" s="47"/>
      <c r="K135" s="48">
        <f>SUM(K132:K134)</f>
        <v>777.2</v>
      </c>
    </row>
    <row r="136" spans="3:11">
      <c r="C136" s="53" t="s">
        <v>571</v>
      </c>
      <c r="D136" s="54" t="s">
        <v>572</v>
      </c>
      <c r="I136" s="47"/>
      <c r="J136" s="47"/>
      <c r="K136" s="47"/>
    </row>
    <row r="137" spans="3:11">
      <c r="C137" s="63">
        <v>2.8</v>
      </c>
      <c r="D137" s="24" t="s">
        <v>573</v>
      </c>
      <c r="E137" s="686" t="s">
        <v>636</v>
      </c>
      <c r="F137" s="686"/>
      <c r="G137" s="686"/>
      <c r="H137" s="686"/>
      <c r="I137" s="50">
        <v>375</v>
      </c>
      <c r="J137" s="50" t="s">
        <v>573</v>
      </c>
      <c r="K137" s="50">
        <f>ROUND(C137*I137,2)</f>
        <v>1050</v>
      </c>
    </row>
    <row r="138" spans="3:11">
      <c r="C138" s="29">
        <v>2.8</v>
      </c>
      <c r="D138" s="30" t="s">
        <v>573</v>
      </c>
      <c r="E138" s="56" t="s">
        <v>616</v>
      </c>
      <c r="F138" s="56"/>
      <c r="G138" s="56"/>
      <c r="H138" s="56"/>
      <c r="I138" s="45">
        <v>538.20000000000005</v>
      </c>
      <c r="J138" s="45" t="s">
        <v>573</v>
      </c>
      <c r="K138" s="45">
        <f>ROUND(C138*I138,2)</f>
        <v>1506.96</v>
      </c>
    </row>
    <row r="139" spans="3:11">
      <c r="C139" s="63">
        <v>2</v>
      </c>
      <c r="D139" s="24" t="s">
        <v>573</v>
      </c>
      <c r="E139" s="686" t="s">
        <v>637</v>
      </c>
      <c r="F139" s="686"/>
      <c r="G139" s="686"/>
      <c r="H139" s="686"/>
      <c r="I139" s="50">
        <v>860</v>
      </c>
      <c r="J139" s="50" t="s">
        <v>573</v>
      </c>
      <c r="K139" s="50">
        <f>ROUND(C139*I139,2)</f>
        <v>1720</v>
      </c>
    </row>
    <row r="140" spans="3:11">
      <c r="C140" s="47"/>
      <c r="D140" s="47"/>
      <c r="E140" s="22" t="s">
        <v>230</v>
      </c>
      <c r="F140" s="22" t="s">
        <v>527</v>
      </c>
      <c r="I140" s="47"/>
      <c r="J140" s="47"/>
      <c r="K140" s="48">
        <f>SUM(K137:K139)</f>
        <v>4276.96</v>
      </c>
    </row>
    <row r="141" spans="3:11">
      <c r="C141" s="53" t="s">
        <v>578</v>
      </c>
      <c r="D141" s="22" t="s">
        <v>579</v>
      </c>
      <c r="I141" s="47"/>
      <c r="J141" s="47"/>
      <c r="K141" s="47"/>
    </row>
    <row r="142" spans="3:11">
      <c r="C142" s="29">
        <v>0.7</v>
      </c>
      <c r="D142" s="30" t="s">
        <v>233</v>
      </c>
      <c r="E142" s="687" t="s">
        <v>638</v>
      </c>
      <c r="F142" s="687"/>
      <c r="G142" s="687"/>
      <c r="H142" s="687"/>
      <c r="I142" s="47">
        <v>48159</v>
      </c>
      <c r="J142" s="47" t="s">
        <v>233</v>
      </c>
      <c r="K142" s="45">
        <f>ROUND(C142*I142,2)</f>
        <v>33711.300000000003</v>
      </c>
    </row>
    <row r="143" spans="3:11">
      <c r="C143" s="29"/>
      <c r="D143" s="30"/>
      <c r="E143" s="22" t="s">
        <v>230</v>
      </c>
      <c r="I143" s="47"/>
      <c r="J143" s="47"/>
      <c r="K143" s="48">
        <f>SUM(K142)</f>
        <v>33711.300000000003</v>
      </c>
    </row>
    <row r="144" spans="3:11">
      <c r="C144" s="29"/>
      <c r="D144" s="30"/>
      <c r="I144" s="47"/>
      <c r="J144" s="47"/>
      <c r="K144" s="51"/>
    </row>
    <row r="145" spans="3:11">
      <c r="C145" s="29"/>
      <c r="D145" s="30"/>
      <c r="I145" s="47"/>
      <c r="J145" s="47"/>
      <c r="K145" s="51"/>
    </row>
    <row r="146" spans="3:11">
      <c r="D146" s="26" t="s">
        <v>625</v>
      </c>
      <c r="I146" s="47"/>
      <c r="J146" s="47"/>
      <c r="K146" s="51">
        <f>K143+K140+K135</f>
        <v>38765.46</v>
      </c>
    </row>
    <row r="147" spans="3:11">
      <c r="C147" s="36"/>
      <c r="D147" s="26"/>
      <c r="I147" s="47"/>
      <c r="J147" s="47"/>
      <c r="K147" s="51"/>
    </row>
    <row r="148" spans="3:11">
      <c r="C148" s="36"/>
      <c r="D148" s="26"/>
      <c r="I148" s="47"/>
      <c r="J148" s="47"/>
      <c r="K148" s="51"/>
    </row>
    <row r="149" spans="3:11">
      <c r="C149" s="36" t="s">
        <v>626</v>
      </c>
      <c r="D149" s="38" t="s">
        <v>585</v>
      </c>
      <c r="I149" s="47"/>
      <c r="J149" s="47"/>
      <c r="K149" s="51">
        <f>ROUND(K146*13.615%,2)</f>
        <v>5277.92</v>
      </c>
    </row>
    <row r="150" spans="3:11">
      <c r="C150" s="36"/>
      <c r="D150" s="26"/>
      <c r="I150" s="47"/>
      <c r="J150" s="47"/>
      <c r="K150" s="51"/>
    </row>
    <row r="151" spans="3:11">
      <c r="C151" s="22" t="s">
        <v>296</v>
      </c>
      <c r="D151" s="26"/>
      <c r="I151" s="47"/>
      <c r="J151" s="47"/>
      <c r="K151" s="51"/>
    </row>
    <row r="152" spans="3:11">
      <c r="C152" s="36"/>
      <c r="D152" s="26"/>
      <c r="I152" s="47"/>
      <c r="J152" s="47"/>
      <c r="K152" s="51"/>
    </row>
    <row r="153" spans="3:11">
      <c r="C153" s="22" t="s">
        <v>297</v>
      </c>
      <c r="D153" s="13"/>
      <c r="E153" s="22" t="s">
        <v>101</v>
      </c>
      <c r="F153" s="22" t="s">
        <v>100</v>
      </c>
      <c r="G153" s="22" t="s">
        <v>298</v>
      </c>
      <c r="H153" s="22" t="s">
        <v>264</v>
      </c>
      <c r="I153" s="47"/>
      <c r="J153" s="47"/>
      <c r="K153" s="51"/>
    </row>
    <row r="154" spans="3:11">
      <c r="C154" s="55" t="s">
        <v>638</v>
      </c>
      <c r="D154" s="64"/>
      <c r="E154" s="64" t="s">
        <v>233</v>
      </c>
      <c r="F154" s="65">
        <f>C142</f>
        <v>0.7</v>
      </c>
      <c r="G154" s="49" t="e">
        <f>Lead!#REF!</f>
        <v>#REF!</v>
      </c>
      <c r="H154" s="22" t="e">
        <f>ROUND(G154*F154,2)</f>
        <v>#REF!</v>
      </c>
      <c r="I154" s="47"/>
      <c r="J154" s="47"/>
      <c r="K154" s="51"/>
    </row>
    <row r="155" spans="3:11">
      <c r="C155" s="29"/>
      <c r="D155" s="30"/>
      <c r="I155" s="47"/>
      <c r="J155" s="47"/>
      <c r="K155" s="51"/>
    </row>
    <row r="156" spans="3:11">
      <c r="C156" s="29"/>
      <c r="D156" s="30"/>
      <c r="I156" s="47"/>
      <c r="J156" s="47"/>
      <c r="K156" s="51"/>
    </row>
    <row r="157" spans="3:11">
      <c r="C157" s="56" t="s">
        <v>639</v>
      </c>
      <c r="D157" s="30"/>
      <c r="I157" s="47"/>
      <c r="J157" s="47"/>
      <c r="K157" s="51" t="e">
        <f>ROUND((H154+K149+K146),2)</f>
        <v>#REF!</v>
      </c>
    </row>
    <row r="158" spans="3:11">
      <c r="C158" s="36"/>
      <c r="D158" s="30"/>
      <c r="I158" s="47"/>
      <c r="J158" s="47"/>
      <c r="K158" s="51"/>
    </row>
    <row r="159" spans="3:11">
      <c r="C159" s="58" t="s">
        <v>629</v>
      </c>
      <c r="D159" s="30"/>
      <c r="G159" s="49" t="e">
        <f>K157</f>
        <v>#REF!</v>
      </c>
      <c r="H159" s="296" t="s">
        <v>640</v>
      </c>
      <c r="I159" s="47"/>
      <c r="J159" s="47"/>
      <c r="K159" s="51" t="e">
        <f>ROUND(K157/3500,1)</f>
        <v>#REF!</v>
      </c>
    </row>
    <row r="160" spans="3:11">
      <c r="C160" s="29"/>
      <c r="D160" s="30"/>
      <c r="I160" s="47"/>
      <c r="J160" s="47"/>
      <c r="K160" s="51" t="s">
        <v>119</v>
      </c>
    </row>
    <row r="161" spans="3:11">
      <c r="C161" s="29"/>
      <c r="D161" s="30"/>
      <c r="I161" s="47"/>
      <c r="J161" s="47"/>
      <c r="K161" s="51"/>
    </row>
    <row r="162" spans="3:11">
      <c r="K162" s="68"/>
    </row>
    <row r="163" spans="3:11" ht="123.75" customHeight="1">
      <c r="C163" s="684" t="s">
        <v>641</v>
      </c>
      <c r="D163" s="684"/>
      <c r="E163" s="684"/>
      <c r="F163" s="684"/>
      <c r="G163" s="684"/>
      <c r="H163" s="684"/>
      <c r="I163" s="684"/>
      <c r="J163" s="684"/>
      <c r="K163" s="684"/>
    </row>
    <row r="164" spans="3:11">
      <c r="C164" s="28" t="s">
        <v>373</v>
      </c>
      <c r="D164" s="25"/>
      <c r="E164" s="25"/>
      <c r="F164" s="38"/>
      <c r="G164" s="25"/>
      <c r="H164" s="25"/>
      <c r="I164" s="25"/>
      <c r="J164" s="25"/>
      <c r="K164" s="38"/>
    </row>
    <row r="165" spans="3:11">
      <c r="C165" s="52"/>
      <c r="D165" s="52" t="s">
        <v>642</v>
      </c>
      <c r="E165" s="26"/>
      <c r="G165" s="25" t="s">
        <v>643</v>
      </c>
      <c r="H165" s="26"/>
      <c r="I165" s="26"/>
      <c r="J165" s="26"/>
    </row>
    <row r="166" spans="3:11">
      <c r="C166" s="66" t="s">
        <v>565</v>
      </c>
      <c r="D166" s="44" t="s">
        <v>566</v>
      </c>
      <c r="G166" s="26"/>
      <c r="H166" s="26"/>
      <c r="I166" s="26"/>
      <c r="J166" s="26"/>
    </row>
    <row r="167" spans="3:11">
      <c r="C167" s="45">
        <v>0.84</v>
      </c>
      <c r="D167" s="30" t="s">
        <v>592</v>
      </c>
      <c r="E167" s="26" t="s">
        <v>471</v>
      </c>
      <c r="G167" s="26"/>
      <c r="H167" s="26"/>
      <c r="I167" s="45">
        <v>465</v>
      </c>
      <c r="J167" s="45" t="s">
        <v>592</v>
      </c>
      <c r="K167" s="47">
        <f>ROUND(C167*I167,2)</f>
        <v>390.6</v>
      </c>
    </row>
    <row r="168" spans="3:11">
      <c r="C168" s="45">
        <v>14</v>
      </c>
      <c r="D168" s="30" t="s">
        <v>592</v>
      </c>
      <c r="E168" s="683" t="s">
        <v>644</v>
      </c>
      <c r="F168" s="683"/>
      <c r="G168" s="683"/>
      <c r="H168" s="683"/>
      <c r="I168" s="45">
        <v>370</v>
      </c>
      <c r="J168" s="45" t="s">
        <v>592</v>
      </c>
      <c r="K168" s="45">
        <f>ROUND(C168*I168,2)</f>
        <v>5180</v>
      </c>
    </row>
    <row r="169" spans="3:11">
      <c r="C169" s="45">
        <v>5</v>
      </c>
      <c r="D169" s="30" t="s">
        <v>592</v>
      </c>
      <c r="E169" s="26" t="s">
        <v>567</v>
      </c>
      <c r="G169" s="26"/>
      <c r="H169" s="26"/>
      <c r="I169" s="45">
        <v>370</v>
      </c>
      <c r="J169" s="45" t="s">
        <v>592</v>
      </c>
      <c r="K169" s="47">
        <f>ROUND(C169*I169,2)</f>
        <v>1850</v>
      </c>
    </row>
    <row r="170" spans="3:11">
      <c r="C170" s="31">
        <v>20</v>
      </c>
      <c r="D170" s="32" t="s">
        <v>569</v>
      </c>
      <c r="E170" s="25" t="s">
        <v>570</v>
      </c>
      <c r="G170" s="25"/>
      <c r="H170" s="26"/>
      <c r="I170" s="45">
        <v>0</v>
      </c>
      <c r="J170" s="23"/>
      <c r="K170" s="47">
        <f>ROUND(I170*C170%,2)</f>
        <v>0</v>
      </c>
    </row>
    <row r="171" spans="3:11">
      <c r="C171" s="45"/>
      <c r="D171" s="30"/>
      <c r="E171" s="26" t="s">
        <v>230</v>
      </c>
      <c r="G171" s="26"/>
      <c r="H171" s="26"/>
      <c r="I171" s="45"/>
      <c r="J171" s="26"/>
      <c r="K171" s="48">
        <f>SUM(K167:K170)</f>
        <v>7420.6</v>
      </c>
    </row>
    <row r="172" spans="3:11">
      <c r="C172" s="66" t="s">
        <v>571</v>
      </c>
      <c r="D172" s="44" t="s">
        <v>572</v>
      </c>
      <c r="G172" s="26"/>
      <c r="H172" s="26"/>
      <c r="I172" s="45"/>
      <c r="J172" s="26"/>
      <c r="K172" s="52"/>
    </row>
    <row r="173" spans="3:11">
      <c r="C173" s="45">
        <v>12</v>
      </c>
      <c r="D173" s="30" t="s">
        <v>573</v>
      </c>
      <c r="E173" s="26" t="s">
        <v>645</v>
      </c>
      <c r="F173" s="26"/>
      <c r="G173" s="26"/>
      <c r="I173" s="45">
        <v>19200</v>
      </c>
      <c r="J173" s="45" t="s">
        <v>573</v>
      </c>
      <c r="K173" s="47">
        <f t="shared" ref="K173:K180" si="2">ROUND(C173*I173,2)</f>
        <v>230400</v>
      </c>
    </row>
    <row r="174" spans="3:11">
      <c r="C174" s="45">
        <v>2.2000000000000002</v>
      </c>
      <c r="D174" s="30" t="s">
        <v>573</v>
      </c>
      <c r="E174" s="26" t="s">
        <v>646</v>
      </c>
      <c r="F174" s="26"/>
      <c r="G174" s="26"/>
      <c r="I174" s="45">
        <v>462</v>
      </c>
      <c r="J174" s="45" t="s">
        <v>573</v>
      </c>
      <c r="K174" s="47">
        <f t="shared" si="2"/>
        <v>1016.4</v>
      </c>
    </row>
    <row r="175" spans="3:11">
      <c r="C175" s="45">
        <v>6</v>
      </c>
      <c r="D175" s="30" t="s">
        <v>573</v>
      </c>
      <c r="E175" s="26" t="s">
        <v>597</v>
      </c>
      <c r="F175" s="26"/>
      <c r="G175" s="26"/>
      <c r="I175" s="45">
        <v>2250</v>
      </c>
      <c r="J175" s="45" t="s">
        <v>573</v>
      </c>
      <c r="K175" s="47">
        <f t="shared" si="2"/>
        <v>13500</v>
      </c>
    </row>
    <row r="176" spans="3:11">
      <c r="C176" s="45">
        <v>6</v>
      </c>
      <c r="D176" s="30" t="s">
        <v>573</v>
      </c>
      <c r="E176" s="26" t="s">
        <v>647</v>
      </c>
      <c r="F176" s="26"/>
      <c r="G176" s="26"/>
      <c r="I176" s="45">
        <v>1850</v>
      </c>
      <c r="J176" s="45" t="s">
        <v>573</v>
      </c>
      <c r="K176" s="47">
        <f t="shared" si="2"/>
        <v>11100</v>
      </c>
    </row>
    <row r="177" spans="3:16">
      <c r="C177" s="45">
        <v>6</v>
      </c>
      <c r="D177" s="30" t="s">
        <v>573</v>
      </c>
      <c r="E177" s="26" t="s">
        <v>648</v>
      </c>
      <c r="F177" s="26"/>
      <c r="G177" s="26"/>
      <c r="I177" s="45">
        <v>1650</v>
      </c>
      <c r="J177" s="45" t="s">
        <v>573</v>
      </c>
      <c r="K177" s="47">
        <f t="shared" si="2"/>
        <v>9900</v>
      </c>
    </row>
    <row r="178" spans="3:16">
      <c r="C178" s="45">
        <v>3.9</v>
      </c>
      <c r="D178" s="30" t="s">
        <v>573</v>
      </c>
      <c r="E178" s="683" t="s">
        <v>649</v>
      </c>
      <c r="F178" s="683"/>
      <c r="G178" s="683"/>
      <c r="H178" s="683"/>
      <c r="I178" s="69">
        <v>1101</v>
      </c>
      <c r="J178" s="69" t="s">
        <v>573</v>
      </c>
      <c r="K178" s="69">
        <f t="shared" si="2"/>
        <v>4293.8999999999996</v>
      </c>
    </row>
    <row r="179" spans="3:16">
      <c r="C179" s="45">
        <v>3.9</v>
      </c>
      <c r="D179" s="30" t="s">
        <v>573</v>
      </c>
      <c r="E179" s="683" t="s">
        <v>650</v>
      </c>
      <c r="F179" s="683"/>
      <c r="G179" s="683"/>
      <c r="H179" s="683"/>
      <c r="I179" s="69">
        <v>2609.1</v>
      </c>
      <c r="J179" s="69" t="s">
        <v>573</v>
      </c>
      <c r="K179" s="69">
        <f t="shared" si="2"/>
        <v>10175.49</v>
      </c>
    </row>
    <row r="180" spans="3:16" ht="24.75" customHeight="1">
      <c r="C180" s="45">
        <v>3.9</v>
      </c>
      <c r="D180" s="30" t="s">
        <v>573</v>
      </c>
      <c r="E180" s="683" t="s">
        <v>651</v>
      </c>
      <c r="F180" s="683"/>
      <c r="G180" s="683"/>
      <c r="H180" s="683"/>
      <c r="I180" s="69">
        <v>1650</v>
      </c>
      <c r="J180" s="69" t="s">
        <v>573</v>
      </c>
      <c r="K180" s="69">
        <f t="shared" si="2"/>
        <v>6435</v>
      </c>
    </row>
    <row r="181" spans="3:16">
      <c r="C181" s="45"/>
      <c r="D181" s="30"/>
      <c r="E181" s="26" t="s">
        <v>230</v>
      </c>
      <c r="G181" s="26"/>
      <c r="H181" s="26"/>
      <c r="I181" s="45"/>
      <c r="J181" s="26"/>
      <c r="K181" s="48">
        <f>SUM(K173:K180)</f>
        <v>286820.78999999998</v>
      </c>
    </row>
    <row r="182" spans="3:16">
      <c r="C182" s="66" t="s">
        <v>578</v>
      </c>
      <c r="D182" s="44" t="s">
        <v>579</v>
      </c>
      <c r="G182" s="26"/>
      <c r="H182" s="26"/>
      <c r="I182" s="45"/>
      <c r="J182" s="26"/>
      <c r="K182" s="52"/>
    </row>
    <row r="183" spans="3:16">
      <c r="C183" s="45">
        <v>14.85</v>
      </c>
      <c r="D183" s="30" t="s">
        <v>233</v>
      </c>
      <c r="E183" s="683" t="s">
        <v>652</v>
      </c>
      <c r="F183" s="683"/>
      <c r="G183" s="683"/>
      <c r="H183" s="683"/>
      <c r="I183" s="69">
        <v>32322.59</v>
      </c>
      <c r="J183" s="26" t="s">
        <v>233</v>
      </c>
      <c r="K183" s="69">
        <f>ROUND(C183*I183,2)</f>
        <v>479990.46</v>
      </c>
    </row>
    <row r="184" spans="3:16">
      <c r="C184" s="45"/>
      <c r="D184" s="30"/>
      <c r="E184" s="67" t="s">
        <v>653</v>
      </c>
      <c r="F184" s="683" t="s">
        <v>654</v>
      </c>
      <c r="G184" s="683"/>
      <c r="H184" s="683"/>
      <c r="I184" s="45"/>
      <c r="J184" s="26"/>
      <c r="K184" s="52"/>
    </row>
    <row r="185" spans="3:16">
      <c r="C185" s="45"/>
      <c r="D185" s="30"/>
      <c r="E185" s="683" t="s">
        <v>655</v>
      </c>
      <c r="F185" s="683"/>
      <c r="G185" s="683"/>
      <c r="H185" s="683"/>
      <c r="I185" s="45"/>
      <c r="J185" s="26"/>
      <c r="K185" s="52"/>
    </row>
    <row r="186" spans="3:16">
      <c r="C186" s="45"/>
      <c r="D186" s="30"/>
      <c r="E186" s="683" t="s">
        <v>656</v>
      </c>
      <c r="F186" s="683"/>
      <c r="G186" s="683"/>
      <c r="H186" s="683"/>
      <c r="I186" s="45"/>
      <c r="J186" s="26"/>
      <c r="K186" s="52"/>
      <c r="P186" s="49"/>
    </row>
    <row r="187" spans="3:16">
      <c r="C187" s="45"/>
      <c r="D187" s="30"/>
      <c r="E187" s="683" t="s">
        <v>657</v>
      </c>
      <c r="F187" s="683"/>
      <c r="G187" s="683"/>
      <c r="H187" s="683"/>
      <c r="I187" s="683"/>
      <c r="J187" s="26"/>
      <c r="K187" s="52"/>
    </row>
    <row r="188" spans="3:16">
      <c r="C188" s="45"/>
      <c r="D188" s="30"/>
      <c r="E188" s="683" t="s">
        <v>658</v>
      </c>
      <c r="F188" s="683"/>
      <c r="G188" s="683"/>
      <c r="H188" s="683"/>
      <c r="I188" s="45"/>
      <c r="J188" s="26"/>
      <c r="K188" s="52"/>
    </row>
    <row r="189" spans="3:16">
      <c r="C189" s="45"/>
      <c r="D189" s="30"/>
      <c r="E189" s="683" t="s">
        <v>659</v>
      </c>
      <c r="F189" s="683"/>
      <c r="G189" s="683"/>
      <c r="H189" s="683"/>
      <c r="I189" s="45"/>
      <c r="J189" s="26"/>
      <c r="K189" s="52"/>
    </row>
    <row r="190" spans="3:16">
      <c r="C190" s="45"/>
      <c r="D190" s="30"/>
      <c r="E190" s="683" t="s">
        <v>660</v>
      </c>
      <c r="F190" s="683"/>
      <c r="G190" s="683"/>
      <c r="H190" s="683"/>
      <c r="I190" s="45"/>
      <c r="J190" s="26"/>
      <c r="K190" s="52"/>
    </row>
    <row r="191" spans="3:16">
      <c r="C191" s="45"/>
      <c r="D191" s="30"/>
      <c r="E191" s="683" t="s">
        <v>661</v>
      </c>
      <c r="F191" s="683"/>
      <c r="G191" s="683"/>
      <c r="H191" s="683"/>
      <c r="I191" s="45"/>
      <c r="J191" s="26"/>
      <c r="K191" s="52"/>
    </row>
    <row r="192" spans="3:16">
      <c r="C192" s="45">
        <v>116.04</v>
      </c>
      <c r="D192" s="30" t="s">
        <v>106</v>
      </c>
      <c r="E192" s="683" t="s">
        <v>662</v>
      </c>
      <c r="F192" s="683"/>
      <c r="G192" s="683"/>
      <c r="H192" s="683"/>
      <c r="I192" s="45">
        <v>1129</v>
      </c>
      <c r="J192" s="23" t="s">
        <v>106</v>
      </c>
      <c r="K192" s="45">
        <f>ROUND(C192*I192,2)</f>
        <v>131009.16</v>
      </c>
    </row>
    <row r="193" spans="3:11">
      <c r="C193" s="45"/>
      <c r="D193" s="30"/>
      <c r="E193" s="683" t="s">
        <v>663</v>
      </c>
      <c r="F193" s="683"/>
      <c r="G193" s="683"/>
      <c r="H193" s="683"/>
      <c r="I193" s="45"/>
      <c r="J193" s="23"/>
      <c r="K193" s="47"/>
    </row>
    <row r="194" spans="3:11">
      <c r="C194" s="45">
        <v>116.04</v>
      </c>
      <c r="D194" s="30" t="s">
        <v>106</v>
      </c>
      <c r="E194" s="683" t="s">
        <v>664</v>
      </c>
      <c r="F194" s="683"/>
      <c r="G194" s="683"/>
      <c r="H194" s="683"/>
      <c r="I194" s="45">
        <v>875</v>
      </c>
      <c r="J194" s="23" t="s">
        <v>106</v>
      </c>
      <c r="K194" s="45">
        <f>ROUND(C194*I194,2)</f>
        <v>101535</v>
      </c>
    </row>
    <row r="195" spans="3:11">
      <c r="C195" s="45"/>
      <c r="D195" s="30"/>
      <c r="E195" s="683" t="s">
        <v>665</v>
      </c>
      <c r="F195" s="683"/>
      <c r="G195" s="683"/>
      <c r="H195" s="683"/>
      <c r="I195" s="45"/>
      <c r="J195" s="23"/>
      <c r="K195" s="47"/>
    </row>
    <row r="196" spans="3:11">
      <c r="C196" s="45">
        <v>58.02</v>
      </c>
      <c r="D196" s="30" t="s">
        <v>106</v>
      </c>
      <c r="E196" s="683" t="s">
        <v>666</v>
      </c>
      <c r="F196" s="683"/>
      <c r="G196" s="683"/>
      <c r="H196" s="683"/>
      <c r="I196" s="45">
        <v>438</v>
      </c>
      <c r="J196" s="23" t="s">
        <v>106</v>
      </c>
      <c r="K196" s="45">
        <f>ROUND(C196*I196,2)</f>
        <v>25412.76</v>
      </c>
    </row>
    <row r="197" spans="3:11">
      <c r="C197" s="45"/>
      <c r="D197" s="30"/>
      <c r="E197" s="683" t="s">
        <v>667</v>
      </c>
      <c r="F197" s="683"/>
      <c r="G197" s="683"/>
      <c r="H197" s="683"/>
      <c r="I197" s="45"/>
      <c r="J197" s="23"/>
      <c r="K197" s="47"/>
    </row>
    <row r="198" spans="3:11">
      <c r="C198" s="45"/>
      <c r="D198" s="30"/>
      <c r="E198" s="26" t="s">
        <v>230</v>
      </c>
      <c r="G198" s="26"/>
      <c r="H198" s="26"/>
      <c r="I198" s="26"/>
      <c r="J198" s="26"/>
      <c r="K198" s="48">
        <f>SUM(K183:K197)</f>
        <v>737947.38</v>
      </c>
    </row>
    <row r="199" spans="3:11">
      <c r="C199" s="45"/>
      <c r="D199" s="30"/>
      <c r="E199" s="26"/>
      <c r="G199" s="26"/>
      <c r="H199" s="26"/>
      <c r="I199" s="26"/>
      <c r="J199" s="26"/>
      <c r="K199" s="51"/>
    </row>
    <row r="200" spans="3:11">
      <c r="C200" s="45"/>
      <c r="D200" s="30"/>
      <c r="E200" s="26"/>
      <c r="G200" s="26"/>
      <c r="H200" s="26"/>
      <c r="I200" s="26"/>
      <c r="J200" s="26"/>
      <c r="K200" s="51"/>
    </row>
    <row r="201" spans="3:11">
      <c r="C201" s="45"/>
      <c r="D201" s="30"/>
      <c r="E201" s="26"/>
      <c r="G201" s="26"/>
      <c r="H201" s="26"/>
      <c r="I201" s="26"/>
      <c r="J201" s="26"/>
      <c r="K201" s="51"/>
    </row>
    <row r="202" spans="3:11">
      <c r="D202" s="26" t="s">
        <v>625</v>
      </c>
      <c r="I202" s="26"/>
      <c r="J202" s="26"/>
      <c r="K202" s="51">
        <f>K198+K181+K171</f>
        <v>1032188.77</v>
      </c>
    </row>
    <row r="203" spans="3:11">
      <c r="C203" s="36"/>
      <c r="D203" s="26"/>
      <c r="I203" s="26"/>
      <c r="J203" s="26"/>
      <c r="K203" s="51"/>
    </row>
    <row r="204" spans="3:11">
      <c r="C204" s="36"/>
      <c r="D204" s="26"/>
      <c r="I204" s="26"/>
      <c r="J204" s="26"/>
      <c r="K204" s="51"/>
    </row>
    <row r="205" spans="3:11">
      <c r="C205" s="36" t="s">
        <v>626</v>
      </c>
      <c r="D205" s="38" t="s">
        <v>585</v>
      </c>
      <c r="I205" s="26"/>
      <c r="J205" s="26"/>
      <c r="K205" s="51">
        <f>ROUND(K202*13.615%,2)</f>
        <v>140532.5</v>
      </c>
    </row>
    <row r="206" spans="3:11">
      <c r="C206" s="36"/>
      <c r="D206" s="26"/>
      <c r="I206" s="26"/>
      <c r="J206" s="26"/>
      <c r="K206" s="51"/>
    </row>
    <row r="207" spans="3:11">
      <c r="C207" s="22" t="s">
        <v>296</v>
      </c>
      <c r="D207" s="26"/>
      <c r="I207" s="26"/>
      <c r="J207" s="26"/>
      <c r="K207" s="51"/>
    </row>
    <row r="208" spans="3:11">
      <c r="C208" s="36"/>
      <c r="D208" s="26"/>
      <c r="I208" s="26"/>
      <c r="J208" s="26"/>
      <c r="K208" s="51"/>
    </row>
    <row r="209" spans="3:11">
      <c r="C209" s="22" t="s">
        <v>297</v>
      </c>
      <c r="D209" s="13"/>
      <c r="E209" s="22" t="s">
        <v>101</v>
      </c>
      <c r="F209" s="22" t="s">
        <v>100</v>
      </c>
      <c r="G209" s="22" t="s">
        <v>298</v>
      </c>
      <c r="H209" s="22" t="s">
        <v>264</v>
      </c>
      <c r="I209" s="26"/>
      <c r="J209" s="26"/>
      <c r="K209" s="51"/>
    </row>
    <row r="210" spans="3:11">
      <c r="C210" s="45" t="s">
        <v>668</v>
      </c>
      <c r="D210" s="30"/>
      <c r="E210" s="26" t="s">
        <v>233</v>
      </c>
      <c r="F210" s="49">
        <f>C183</f>
        <v>14.85</v>
      </c>
      <c r="G210" s="30" t="e">
        <f>Lead!#REF!</f>
        <v>#REF!</v>
      </c>
      <c r="H210" s="30" t="e">
        <f>ROUND(G210*F210,2)</f>
        <v>#REF!</v>
      </c>
      <c r="I210" s="26"/>
      <c r="J210" s="26"/>
      <c r="K210" s="51"/>
    </row>
    <row r="211" spans="3:11">
      <c r="C211" s="45" t="s">
        <v>669</v>
      </c>
      <c r="D211" s="30"/>
      <c r="E211" s="26" t="s">
        <v>132</v>
      </c>
      <c r="F211" s="49">
        <f>C192</f>
        <v>116.04</v>
      </c>
      <c r="G211" s="30">
        <f>Lead!G9</f>
        <v>1139.7</v>
      </c>
      <c r="H211" s="30">
        <f>ROUND(G211*F211,2)</f>
        <v>132250.79</v>
      </c>
      <c r="I211" s="26"/>
      <c r="J211" s="26"/>
      <c r="K211" s="51"/>
    </row>
    <row r="212" spans="3:11">
      <c r="C212" s="45" t="s">
        <v>670</v>
      </c>
      <c r="D212" s="30"/>
      <c r="E212" s="26" t="s">
        <v>132</v>
      </c>
      <c r="F212" s="49">
        <f>C194</f>
        <v>116.04</v>
      </c>
      <c r="G212" s="30">
        <f>G211</f>
        <v>1139.7</v>
      </c>
      <c r="H212" s="30">
        <f>ROUND(G212*F212,2)</f>
        <v>132250.79</v>
      </c>
      <c r="I212" s="26"/>
      <c r="J212" s="26"/>
      <c r="K212" s="51"/>
    </row>
    <row r="213" spans="3:11">
      <c r="C213" s="45" t="s">
        <v>671</v>
      </c>
      <c r="D213" s="30"/>
      <c r="E213" s="26" t="s">
        <v>132</v>
      </c>
      <c r="F213" s="49">
        <f>C196</f>
        <v>58.02</v>
      </c>
      <c r="G213" s="30">
        <f>G212</f>
        <v>1139.7</v>
      </c>
      <c r="H213" s="30">
        <f>ROUND(G213*F213,2)</f>
        <v>66125.39</v>
      </c>
      <c r="I213" s="26"/>
      <c r="J213" s="26"/>
      <c r="K213" s="51"/>
    </row>
    <row r="214" spans="3:11">
      <c r="C214" s="45"/>
      <c r="D214" s="30"/>
      <c r="E214" s="26"/>
      <c r="F214" s="22" t="s">
        <v>672</v>
      </c>
      <c r="G214" s="26"/>
      <c r="H214" s="30" t="e">
        <f>SUM(H210:H213)</f>
        <v>#REF!</v>
      </c>
      <c r="I214" s="26"/>
      <c r="J214" s="26"/>
      <c r="K214" s="51"/>
    </row>
    <row r="215" spans="3:11">
      <c r="C215" s="45"/>
      <c r="D215" s="30"/>
      <c r="E215" s="26"/>
      <c r="G215" s="26"/>
      <c r="H215" s="26"/>
      <c r="I215" s="26"/>
      <c r="J215" s="26"/>
      <c r="K215" s="51"/>
    </row>
    <row r="216" spans="3:11">
      <c r="C216" s="56" t="s">
        <v>673</v>
      </c>
      <c r="D216" s="30"/>
      <c r="E216" s="26"/>
      <c r="G216" s="26"/>
      <c r="H216" s="26"/>
      <c r="I216" s="26"/>
      <c r="J216" s="26"/>
      <c r="K216" s="51" t="e">
        <f>H214+K205+K202</f>
        <v>#REF!</v>
      </c>
    </row>
    <row r="217" spans="3:11">
      <c r="C217" s="36"/>
      <c r="D217" s="30"/>
      <c r="E217" s="26"/>
      <c r="G217" s="26"/>
      <c r="H217" s="26"/>
      <c r="I217" s="26"/>
      <c r="J217" s="26"/>
      <c r="K217" s="51"/>
    </row>
    <row r="218" spans="3:11">
      <c r="C218" s="58" t="s">
        <v>674</v>
      </c>
      <c r="D218" s="30"/>
      <c r="E218" s="30" t="e">
        <f>K216</f>
        <v>#REF!</v>
      </c>
      <c r="F218" s="296" t="s">
        <v>675</v>
      </c>
      <c r="G218" s="26"/>
      <c r="H218" s="26"/>
      <c r="I218" s="26"/>
      <c r="J218" s="26"/>
      <c r="K218" s="51" t="e">
        <f>ROUND(K216/205,1)</f>
        <v>#REF!</v>
      </c>
    </row>
    <row r="219" spans="3:11">
      <c r="C219" s="45"/>
      <c r="D219" s="30"/>
      <c r="E219" s="26"/>
      <c r="G219" s="26"/>
      <c r="H219" s="26"/>
      <c r="I219" s="26"/>
      <c r="J219" s="26"/>
      <c r="K219" s="51" t="s">
        <v>676</v>
      </c>
    </row>
    <row r="220" spans="3:11">
      <c r="C220" s="45"/>
      <c r="D220" s="30"/>
      <c r="E220" s="26"/>
      <c r="G220" s="26"/>
      <c r="H220" s="26"/>
      <c r="I220" s="26"/>
      <c r="J220" s="26"/>
      <c r="K220" s="51"/>
    </row>
    <row r="221" spans="3:11">
      <c r="C221" s="45"/>
      <c r="D221" s="30"/>
      <c r="E221" s="26"/>
      <c r="G221" s="26"/>
      <c r="H221" s="26"/>
      <c r="I221" s="26"/>
      <c r="J221" s="26"/>
      <c r="K221" s="51"/>
    </row>
    <row r="222" spans="3:11">
      <c r="C222" s="45"/>
      <c r="D222" s="30"/>
      <c r="E222" s="26"/>
      <c r="G222" s="26"/>
      <c r="H222" s="26"/>
      <c r="I222" s="26"/>
      <c r="J222" s="26"/>
      <c r="K222" s="51"/>
    </row>
    <row r="223" spans="3:11">
      <c r="C223" s="45"/>
      <c r="D223" s="30"/>
      <c r="E223" s="26"/>
      <c r="G223" s="26"/>
      <c r="H223" s="26"/>
      <c r="I223" s="26"/>
      <c r="J223" s="26"/>
      <c r="K223" s="51"/>
    </row>
    <row r="224" spans="3:11">
      <c r="C224" s="27"/>
      <c r="D224" s="26"/>
      <c r="E224" s="26"/>
      <c r="G224" s="26"/>
      <c r="H224" s="26"/>
      <c r="I224" s="26"/>
      <c r="J224" s="26"/>
      <c r="K224" s="51"/>
    </row>
    <row r="225" spans="3:11">
      <c r="C225" s="45"/>
      <c r="D225" s="30"/>
      <c r="E225" s="60"/>
      <c r="G225" s="26"/>
      <c r="H225" s="26"/>
      <c r="I225" s="26"/>
      <c r="J225" s="26"/>
      <c r="K225" s="51"/>
    </row>
    <row r="226" spans="3:11">
      <c r="C226" s="27"/>
      <c r="D226" s="25"/>
      <c r="G226" s="25"/>
      <c r="H226" s="26"/>
      <c r="I226" s="26"/>
      <c r="J226" s="26"/>
      <c r="K226" s="51"/>
    </row>
    <row r="227" spans="3:11">
      <c r="C227" s="27"/>
      <c r="D227" s="25"/>
      <c r="G227" s="25"/>
      <c r="H227" s="26"/>
      <c r="I227" s="26"/>
      <c r="J227" s="26"/>
      <c r="K227" s="51"/>
    </row>
    <row r="228" spans="3:11">
      <c r="C228" s="45"/>
      <c r="D228" s="30"/>
      <c r="I228" s="45"/>
      <c r="J228" s="45"/>
      <c r="K228" s="50"/>
    </row>
    <row r="229" spans="3:11">
      <c r="C229" s="45"/>
      <c r="D229" s="30"/>
      <c r="I229" s="45"/>
      <c r="J229" s="45"/>
      <c r="K229" s="51"/>
    </row>
    <row r="230" spans="3:11">
      <c r="C230" s="47"/>
      <c r="D230" s="32"/>
      <c r="I230" s="45"/>
      <c r="J230" s="45"/>
      <c r="K230" s="71"/>
    </row>
    <row r="231" spans="3:11">
      <c r="C231" s="52"/>
      <c r="D231" s="70"/>
      <c r="K231" s="68"/>
    </row>
    <row r="232" spans="3:11">
      <c r="C232" s="52"/>
      <c r="D232" s="70"/>
      <c r="K232" s="68"/>
    </row>
  </sheetData>
  <mergeCells count="40">
    <mergeCell ref="C1:K1"/>
    <mergeCell ref="C2:K2"/>
    <mergeCell ref="E18:H18"/>
    <mergeCell ref="E19:H19"/>
    <mergeCell ref="E20:H20"/>
    <mergeCell ref="A29:C29"/>
    <mergeCell ref="C40:K40"/>
    <mergeCell ref="E61:H61"/>
    <mergeCell ref="E62:H62"/>
    <mergeCell ref="A72:C72"/>
    <mergeCell ref="C84:K84"/>
    <mergeCell ref="E94:H94"/>
    <mergeCell ref="E96:H96"/>
    <mergeCell ref="E97:H97"/>
    <mergeCell ref="E98:H98"/>
    <mergeCell ref="E104:H104"/>
    <mergeCell ref="C128:K128"/>
    <mergeCell ref="E137:H137"/>
    <mergeCell ref="E139:H139"/>
    <mergeCell ref="E142:H142"/>
    <mergeCell ref="C163:K163"/>
    <mergeCell ref="E168:H168"/>
    <mergeCell ref="E178:H178"/>
    <mergeCell ref="E179:H179"/>
    <mergeCell ref="E180:H180"/>
    <mergeCell ref="E183:H183"/>
    <mergeCell ref="F184:H184"/>
    <mergeCell ref="E185:H185"/>
    <mergeCell ref="E186:H186"/>
    <mergeCell ref="E187:I187"/>
    <mergeCell ref="E188:H188"/>
    <mergeCell ref="E189:H189"/>
    <mergeCell ref="E190:H190"/>
    <mergeCell ref="E191:H191"/>
    <mergeCell ref="E192:H192"/>
    <mergeCell ref="E193:H193"/>
    <mergeCell ref="E194:H194"/>
    <mergeCell ref="E195:H195"/>
    <mergeCell ref="E196:H196"/>
    <mergeCell ref="E197:H197"/>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00B050"/>
  </sheetPr>
  <dimension ref="A1:J29"/>
  <sheetViews>
    <sheetView workbookViewId="0">
      <selection activeCell="R11" sqref="R11"/>
    </sheetView>
  </sheetViews>
  <sheetFormatPr defaultRowHeight="16.5"/>
  <cols>
    <col min="1" max="1" width="6.140625" style="359" customWidth="1"/>
    <col min="2" max="2" width="27.85546875" style="359" customWidth="1"/>
    <col min="3" max="3" width="9.140625" style="359" customWidth="1"/>
    <col min="4" max="9" width="9.140625" style="359" bestFit="1" customWidth="1"/>
    <col min="10" max="16384" width="9.140625" style="359"/>
  </cols>
  <sheetData>
    <row r="1" spans="1:9" ht="47.25" customHeight="1">
      <c r="A1" s="694" t="str">
        <f>Absrtact!A2</f>
        <v>Name of the Work : Formation of New Channel with CC lining in Godavari Delta System</v>
      </c>
      <c r="B1" s="694"/>
      <c r="C1" s="694"/>
      <c r="D1" s="694"/>
      <c r="E1" s="694"/>
      <c r="F1" s="694"/>
      <c r="G1" s="694"/>
      <c r="H1" s="694"/>
      <c r="I1" s="694"/>
    </row>
    <row r="2" spans="1:9" ht="27.75" customHeight="1">
      <c r="A2" s="695" t="s">
        <v>1120</v>
      </c>
      <c r="B2" s="695"/>
      <c r="C2" s="695"/>
      <c r="D2" s="695"/>
      <c r="E2" s="695"/>
      <c r="F2" s="695"/>
      <c r="G2" s="695"/>
      <c r="H2" s="695"/>
      <c r="I2" s="695"/>
    </row>
    <row r="3" spans="1:9" ht="23.25" customHeight="1">
      <c r="B3" s="527"/>
      <c r="C3" s="609" t="s">
        <v>1121</v>
      </c>
      <c r="D3" s="609"/>
      <c r="E3" s="609"/>
      <c r="F3" s="609"/>
      <c r="G3" s="609"/>
      <c r="H3" s="609"/>
      <c r="I3" s="609"/>
    </row>
    <row r="4" spans="1:9" ht="30">
      <c r="A4" s="461" t="s">
        <v>234</v>
      </c>
      <c r="B4" s="461" t="s">
        <v>270</v>
      </c>
      <c r="C4" s="481" t="s">
        <v>1097</v>
      </c>
      <c r="D4" s="481" t="s">
        <v>1102</v>
      </c>
      <c r="E4" s="481" t="s">
        <v>871</v>
      </c>
      <c r="F4" s="481" t="s">
        <v>1103</v>
      </c>
      <c r="G4" s="481" t="s">
        <v>1104</v>
      </c>
      <c r="H4" s="481" t="s">
        <v>1105</v>
      </c>
      <c r="I4" s="481" t="s">
        <v>1106</v>
      </c>
    </row>
    <row r="5" spans="1:9" ht="24.95" customHeight="1">
      <c r="A5" s="250">
        <v>1</v>
      </c>
      <c r="B5" s="465" t="s">
        <v>872</v>
      </c>
      <c r="C5" s="360">
        <v>0.27400000000000002</v>
      </c>
      <c r="D5" s="360">
        <v>0.27400000000000002</v>
      </c>
      <c r="E5" s="360">
        <v>0.27400000000000002</v>
      </c>
      <c r="F5" s="360">
        <v>0.27400000000000002</v>
      </c>
      <c r="G5" s="360">
        <v>0.27400000000000002</v>
      </c>
      <c r="H5" s="360">
        <v>0.27400000000000002</v>
      </c>
      <c r="I5" s="360">
        <v>0.27400000000000002</v>
      </c>
    </row>
    <row r="6" spans="1:9" ht="24.95" customHeight="1">
      <c r="A6" s="250">
        <v>2</v>
      </c>
      <c r="B6" s="465" t="s">
        <v>873</v>
      </c>
      <c r="C6" s="360">
        <v>0.40300000000000002</v>
      </c>
      <c r="D6" s="360">
        <v>0.40300000000000002</v>
      </c>
      <c r="E6" s="360">
        <v>0.40300000000000002</v>
      </c>
      <c r="F6" s="360">
        <v>0.40300000000000002</v>
      </c>
      <c r="G6" s="360">
        <v>0.40300000000000002</v>
      </c>
      <c r="H6" s="360">
        <v>0.40300000000000002</v>
      </c>
      <c r="I6" s="360">
        <v>0.40300000000000002</v>
      </c>
    </row>
    <row r="7" spans="1:9" ht="24.95" customHeight="1">
      <c r="A7" s="250">
        <v>3</v>
      </c>
      <c r="B7" s="465" t="s">
        <v>892</v>
      </c>
      <c r="C7" s="360">
        <v>1300</v>
      </c>
      <c r="D7" s="360">
        <v>1300</v>
      </c>
      <c r="E7" s="360">
        <v>1300</v>
      </c>
      <c r="F7" s="360">
        <v>1300</v>
      </c>
      <c r="G7" s="360">
        <v>1300</v>
      </c>
      <c r="H7" s="360">
        <v>1300</v>
      </c>
      <c r="I7" s="360">
        <v>1300</v>
      </c>
    </row>
    <row r="8" spans="1:9" ht="24.95" customHeight="1">
      <c r="A8" s="250">
        <v>4</v>
      </c>
      <c r="B8" s="465" t="s">
        <v>874</v>
      </c>
      <c r="C8" s="360">
        <v>7.1999999999999995E-2</v>
      </c>
      <c r="D8" s="360">
        <v>1.4999999999999999E-2</v>
      </c>
      <c r="E8" s="360">
        <v>6.0000000000000001E-3</v>
      </c>
      <c r="F8" s="360">
        <v>-6.0000000000000001E-3</v>
      </c>
      <c r="G8" s="360">
        <v>-1.4999999999999999E-2</v>
      </c>
      <c r="H8" s="462">
        <v>-0.03</v>
      </c>
      <c r="I8" s="360">
        <v>-5.0999999999999997E-2</v>
      </c>
    </row>
    <row r="9" spans="1:9" ht="24.95" customHeight="1">
      <c r="A9" s="250">
        <v>5</v>
      </c>
      <c r="B9" s="465" t="s">
        <v>875</v>
      </c>
      <c r="C9" s="360">
        <f t="shared" ref="C9:I9" si="0">C11+C8</f>
        <v>0.77199999999999991</v>
      </c>
      <c r="D9" s="360">
        <f t="shared" si="0"/>
        <v>0.71499999999999997</v>
      </c>
      <c r="E9" s="360">
        <f t="shared" si="0"/>
        <v>0.70599999999999996</v>
      </c>
      <c r="F9" s="360">
        <f t="shared" si="0"/>
        <v>0.69399999999999995</v>
      </c>
      <c r="G9" s="360">
        <f t="shared" si="0"/>
        <v>0.68499999999999994</v>
      </c>
      <c r="H9" s="360">
        <f t="shared" si="0"/>
        <v>0.66999999999999993</v>
      </c>
      <c r="I9" s="360">
        <f t="shared" si="0"/>
        <v>0.64899999999999991</v>
      </c>
    </row>
    <row r="10" spans="1:9" ht="24.95" customHeight="1">
      <c r="A10" s="250">
        <v>6</v>
      </c>
      <c r="B10" s="465" t="s">
        <v>876</v>
      </c>
      <c r="C10" s="360">
        <f t="shared" ref="C10:I10" si="1">C9+0.6</f>
        <v>1.3719999999999999</v>
      </c>
      <c r="D10" s="360">
        <f t="shared" si="1"/>
        <v>1.3149999999999999</v>
      </c>
      <c r="E10" s="360">
        <f t="shared" si="1"/>
        <v>1.306</v>
      </c>
      <c r="F10" s="360">
        <f t="shared" si="1"/>
        <v>1.294</v>
      </c>
      <c r="G10" s="360">
        <f t="shared" si="1"/>
        <v>1.2849999999999999</v>
      </c>
      <c r="H10" s="360">
        <f t="shared" si="1"/>
        <v>1.27</v>
      </c>
      <c r="I10" s="360">
        <f t="shared" si="1"/>
        <v>1.2489999999999999</v>
      </c>
    </row>
    <row r="11" spans="1:9" ht="24.95" customHeight="1">
      <c r="A11" s="250">
        <v>7</v>
      </c>
      <c r="B11" s="465" t="s">
        <v>877</v>
      </c>
      <c r="C11" s="462">
        <v>0.7</v>
      </c>
      <c r="D11" s="462">
        <v>0.7</v>
      </c>
      <c r="E11" s="462">
        <v>0.7</v>
      </c>
      <c r="F11" s="462">
        <v>0.7</v>
      </c>
      <c r="G11" s="462">
        <v>0.7</v>
      </c>
      <c r="H11" s="462">
        <v>0.7</v>
      </c>
      <c r="I11" s="462">
        <v>0.7</v>
      </c>
    </row>
    <row r="12" spans="1:9" ht="24.95" customHeight="1">
      <c r="A12" s="250">
        <v>8</v>
      </c>
      <c r="B12" s="465" t="s">
        <v>893</v>
      </c>
      <c r="C12" s="360">
        <v>600</v>
      </c>
      <c r="D12" s="360">
        <v>600</v>
      </c>
      <c r="E12" s="360">
        <v>600</v>
      </c>
      <c r="F12" s="360">
        <v>600</v>
      </c>
      <c r="G12" s="360">
        <v>600</v>
      </c>
      <c r="H12" s="360">
        <v>600</v>
      </c>
      <c r="I12" s="360">
        <v>600</v>
      </c>
    </row>
    <row r="13" spans="1:9" ht="24.95" customHeight="1">
      <c r="A13" s="250">
        <v>9</v>
      </c>
      <c r="B13" s="465" t="s">
        <v>878</v>
      </c>
      <c r="C13" s="360">
        <v>16667</v>
      </c>
      <c r="D13" s="360">
        <v>16667</v>
      </c>
      <c r="E13" s="360">
        <v>16667</v>
      </c>
      <c r="F13" s="360">
        <v>16667</v>
      </c>
      <c r="G13" s="360">
        <v>16667</v>
      </c>
      <c r="H13" s="360">
        <v>16667</v>
      </c>
      <c r="I13" s="360">
        <v>16667</v>
      </c>
    </row>
    <row r="14" spans="1:9" ht="24.95" customHeight="1">
      <c r="A14" s="250">
        <v>10</v>
      </c>
      <c r="B14" s="465" t="s">
        <v>879</v>
      </c>
      <c r="C14" s="463" t="s">
        <v>248</v>
      </c>
      <c r="D14" s="463" t="s">
        <v>248</v>
      </c>
      <c r="E14" s="463" t="s">
        <v>248</v>
      </c>
      <c r="F14" s="463" t="s">
        <v>248</v>
      </c>
      <c r="G14" s="463" t="s">
        <v>248</v>
      </c>
      <c r="H14" s="463" t="s">
        <v>248</v>
      </c>
      <c r="I14" s="463" t="s">
        <v>248</v>
      </c>
    </row>
    <row r="15" spans="1:9" ht="24.95" customHeight="1">
      <c r="A15" s="250">
        <v>11</v>
      </c>
      <c r="B15" s="465" t="s">
        <v>880</v>
      </c>
      <c r="C15" s="360">
        <v>1.7999999999999999E-2</v>
      </c>
      <c r="D15" s="360">
        <v>1.7999999999999999E-2</v>
      </c>
      <c r="E15" s="360">
        <v>1.7999999999999999E-2</v>
      </c>
      <c r="F15" s="360">
        <v>1.7999999999999999E-2</v>
      </c>
      <c r="G15" s="360">
        <v>1.7999999999999999E-2</v>
      </c>
      <c r="H15" s="360">
        <v>1.7999999999999999E-2</v>
      </c>
      <c r="I15" s="360">
        <v>1.7999999999999999E-2</v>
      </c>
    </row>
    <row r="16" spans="1:9" ht="24.95" customHeight="1">
      <c r="A16" s="250">
        <v>12</v>
      </c>
      <c r="B16" s="465" t="s">
        <v>881</v>
      </c>
      <c r="C16" s="360">
        <v>0.254</v>
      </c>
      <c r="D16" s="360">
        <v>0.254</v>
      </c>
      <c r="E16" s="360">
        <v>0.254</v>
      </c>
      <c r="F16" s="360">
        <v>0.254</v>
      </c>
      <c r="G16" s="360">
        <v>0.254</v>
      </c>
      <c r="H16" s="360">
        <v>0.254</v>
      </c>
      <c r="I16" s="360">
        <v>0.254</v>
      </c>
    </row>
    <row r="17" spans="1:10" ht="24.95" customHeight="1">
      <c r="A17" s="250">
        <v>13</v>
      </c>
      <c r="B17" s="466" t="s">
        <v>882</v>
      </c>
      <c r="C17" s="360">
        <v>600</v>
      </c>
      <c r="D17" s="360">
        <v>600</v>
      </c>
      <c r="E17" s="360">
        <v>600</v>
      </c>
      <c r="F17" s="360">
        <v>600</v>
      </c>
      <c r="G17" s="360">
        <v>600</v>
      </c>
      <c r="H17" s="360">
        <v>600</v>
      </c>
      <c r="I17" s="360">
        <v>600</v>
      </c>
    </row>
    <row r="18" spans="1:10" ht="33.75" customHeight="1">
      <c r="A18" s="250">
        <v>14</v>
      </c>
      <c r="B18" s="466" t="s">
        <v>894</v>
      </c>
      <c r="C18" s="464" t="s">
        <v>1098</v>
      </c>
      <c r="D18" s="464" t="s">
        <v>1098</v>
      </c>
      <c r="E18" s="464" t="s">
        <v>1098</v>
      </c>
      <c r="F18" s="464" t="s">
        <v>1098</v>
      </c>
      <c r="G18" s="464" t="s">
        <v>1098</v>
      </c>
      <c r="H18" s="464" t="s">
        <v>1098</v>
      </c>
      <c r="I18" s="464" t="s">
        <v>1098</v>
      </c>
    </row>
    <row r="19" spans="1:10" ht="32.25" customHeight="1">
      <c r="A19" s="250">
        <v>15</v>
      </c>
      <c r="B19" s="466" t="s">
        <v>883</v>
      </c>
      <c r="C19" s="464">
        <v>1987</v>
      </c>
      <c r="D19" s="464">
        <v>1987</v>
      </c>
      <c r="E19" s="464">
        <v>1987</v>
      </c>
      <c r="F19" s="464">
        <v>1987</v>
      </c>
      <c r="G19" s="464">
        <v>1987</v>
      </c>
      <c r="H19" s="464">
        <v>1987</v>
      </c>
      <c r="I19" s="464">
        <v>1987</v>
      </c>
      <c r="J19" s="464"/>
    </row>
    <row r="20" spans="1:10" ht="30" customHeight="1">
      <c r="A20" s="250">
        <v>16</v>
      </c>
      <c r="B20" s="466" t="s">
        <v>885</v>
      </c>
      <c r="C20" s="464" t="s">
        <v>1099</v>
      </c>
      <c r="D20" s="464" t="s">
        <v>1099</v>
      </c>
      <c r="E20" s="464" t="s">
        <v>1099</v>
      </c>
      <c r="F20" s="464" t="s">
        <v>1099</v>
      </c>
      <c r="G20" s="464" t="s">
        <v>1099</v>
      </c>
      <c r="H20" s="464" t="s">
        <v>1099</v>
      </c>
      <c r="I20" s="464" t="s">
        <v>1099</v>
      </c>
    </row>
    <row r="21" spans="1:10" ht="39" customHeight="1">
      <c r="A21" s="250">
        <v>17</v>
      </c>
      <c r="B21" s="466" t="s">
        <v>884</v>
      </c>
      <c r="C21" s="464" t="s">
        <v>1100</v>
      </c>
      <c r="D21" s="464" t="s">
        <v>1100</v>
      </c>
      <c r="E21" s="464" t="s">
        <v>1100</v>
      </c>
      <c r="F21" s="464" t="s">
        <v>1100</v>
      </c>
      <c r="G21" s="464" t="s">
        <v>1100</v>
      </c>
      <c r="H21" s="464" t="s">
        <v>1100</v>
      </c>
      <c r="I21" s="464" t="s">
        <v>1100</v>
      </c>
    </row>
    <row r="22" spans="1:10" ht="36" customHeight="1">
      <c r="A22" s="250">
        <v>18</v>
      </c>
      <c r="B22" s="466" t="s">
        <v>886</v>
      </c>
      <c r="C22" s="462">
        <f t="shared" ref="C22:I22" si="2">(C10+0.415)-(C19/1000+C17/1000)</f>
        <v>-0.80000000000000027</v>
      </c>
      <c r="D22" s="462">
        <f t="shared" si="2"/>
        <v>-0.85700000000000021</v>
      </c>
      <c r="E22" s="462">
        <f t="shared" si="2"/>
        <v>-0.8660000000000001</v>
      </c>
      <c r="F22" s="462">
        <f t="shared" si="2"/>
        <v>-0.87800000000000011</v>
      </c>
      <c r="G22" s="462">
        <f t="shared" si="2"/>
        <v>-0.88700000000000023</v>
      </c>
      <c r="H22" s="462">
        <f t="shared" si="2"/>
        <v>-0.90200000000000014</v>
      </c>
      <c r="I22" s="462">
        <f t="shared" si="2"/>
        <v>-0.92300000000000026</v>
      </c>
    </row>
    <row r="23" spans="1:10" ht="36" customHeight="1">
      <c r="A23" s="250">
        <v>19</v>
      </c>
      <c r="B23" s="466" t="s">
        <v>888</v>
      </c>
      <c r="C23" s="462">
        <f>C22+C17/1000</f>
        <v>-0.20000000000000029</v>
      </c>
      <c r="D23" s="462">
        <f t="shared" ref="D23:I23" si="3">D22+0.6</f>
        <v>-0.25700000000000023</v>
      </c>
      <c r="E23" s="462">
        <f t="shared" si="3"/>
        <v>-0.26600000000000013</v>
      </c>
      <c r="F23" s="462">
        <f t="shared" si="3"/>
        <v>-0.27800000000000014</v>
      </c>
      <c r="G23" s="462">
        <f t="shared" si="3"/>
        <v>-0.28700000000000025</v>
      </c>
      <c r="H23" s="462">
        <f t="shared" si="3"/>
        <v>-0.30200000000000016</v>
      </c>
      <c r="I23" s="462">
        <f t="shared" si="3"/>
        <v>-0.32300000000000029</v>
      </c>
    </row>
    <row r="24" spans="1:10" ht="32.25" customHeight="1">
      <c r="A24" s="250">
        <v>20</v>
      </c>
      <c r="B24" s="466" t="s">
        <v>889</v>
      </c>
      <c r="C24" s="462">
        <f t="shared" ref="C24:I24" si="4">C23+C19/1000</f>
        <v>1.7869999999999999</v>
      </c>
      <c r="D24" s="462">
        <f t="shared" si="4"/>
        <v>1.73</v>
      </c>
      <c r="E24" s="462">
        <f t="shared" si="4"/>
        <v>1.7210000000000001</v>
      </c>
      <c r="F24" s="462">
        <f t="shared" si="4"/>
        <v>1.7090000000000001</v>
      </c>
      <c r="G24" s="462">
        <f t="shared" si="4"/>
        <v>1.6999999999999997</v>
      </c>
      <c r="H24" s="462">
        <f t="shared" si="4"/>
        <v>1.6850000000000001</v>
      </c>
      <c r="I24" s="462">
        <f t="shared" si="4"/>
        <v>1.6639999999999997</v>
      </c>
    </row>
    <row r="25" spans="1:10" ht="36.75" customHeight="1">
      <c r="A25" s="250">
        <v>21</v>
      </c>
      <c r="B25" s="466" t="s">
        <v>890</v>
      </c>
      <c r="C25" s="462">
        <f t="shared" ref="C25:I25" si="5">C24+0.45</f>
        <v>2.2370000000000001</v>
      </c>
      <c r="D25" s="462">
        <f t="shared" si="5"/>
        <v>2.1800000000000002</v>
      </c>
      <c r="E25" s="462">
        <f t="shared" si="5"/>
        <v>2.1710000000000003</v>
      </c>
      <c r="F25" s="462">
        <f t="shared" si="5"/>
        <v>2.1590000000000003</v>
      </c>
      <c r="G25" s="462">
        <f t="shared" si="5"/>
        <v>2.15</v>
      </c>
      <c r="H25" s="462">
        <f t="shared" si="5"/>
        <v>2.1350000000000002</v>
      </c>
      <c r="I25" s="462">
        <f t="shared" si="5"/>
        <v>2.1139999999999999</v>
      </c>
    </row>
    <row r="26" spans="1:10" ht="40.5" customHeight="1">
      <c r="A26" s="250">
        <v>22</v>
      </c>
      <c r="B26" s="466" t="s">
        <v>887</v>
      </c>
      <c r="C26" s="464" t="s">
        <v>1101</v>
      </c>
      <c r="D26" s="464" t="s">
        <v>1101</v>
      </c>
      <c r="E26" s="464" t="s">
        <v>1101</v>
      </c>
      <c r="F26" s="464" t="s">
        <v>1101</v>
      </c>
      <c r="G26" s="464" t="s">
        <v>1101</v>
      </c>
      <c r="H26" s="464" t="s">
        <v>1101</v>
      </c>
      <c r="I26" s="464" t="s">
        <v>1101</v>
      </c>
    </row>
    <row r="27" spans="1:10" ht="24.95" customHeight="1">
      <c r="A27" s="250">
        <v>23</v>
      </c>
      <c r="B27" s="466" t="s">
        <v>891</v>
      </c>
      <c r="C27" s="464">
        <v>10000</v>
      </c>
      <c r="D27" s="464">
        <v>10000</v>
      </c>
      <c r="E27" s="464">
        <v>10000</v>
      </c>
      <c r="F27" s="464">
        <v>10000</v>
      </c>
      <c r="G27" s="464">
        <v>10000</v>
      </c>
      <c r="H27" s="464">
        <v>10000</v>
      </c>
      <c r="I27" s="464">
        <v>10000</v>
      </c>
    </row>
    <row r="28" spans="1:10" ht="24.95" customHeight="1">
      <c r="A28" s="250"/>
      <c r="B28" s="466"/>
      <c r="C28" s="464"/>
      <c r="D28" s="464"/>
      <c r="E28" s="464"/>
      <c r="F28" s="464"/>
      <c r="G28" s="464"/>
      <c r="H28" s="464"/>
      <c r="I28" s="464"/>
    </row>
    <row r="29" spans="1:10" ht="24.95" customHeight="1">
      <c r="A29" s="250"/>
      <c r="B29" s="466"/>
      <c r="C29" s="464"/>
      <c r="D29" s="464"/>
      <c r="E29" s="464"/>
      <c r="F29" s="464"/>
      <c r="G29" s="464"/>
      <c r="H29" s="464"/>
      <c r="I29" s="464"/>
    </row>
  </sheetData>
  <mergeCells count="3">
    <mergeCell ref="A1:I1"/>
    <mergeCell ref="A2:I2"/>
    <mergeCell ref="C3:I3"/>
  </mergeCells>
  <printOptions gridLines="1"/>
  <pageMargins left="0.7" right="0.45" top="0.75" bottom="0.75" header="0.3" footer="0.3"/>
  <pageSetup paperSize="9" scale="90" orientation="portrait" verticalDpi="0" r:id="rId1"/>
</worksheet>
</file>

<file path=xl/worksheets/sheet23.xml><?xml version="1.0" encoding="utf-8"?>
<worksheet xmlns="http://schemas.openxmlformats.org/spreadsheetml/2006/main" xmlns:r="http://schemas.openxmlformats.org/officeDocument/2006/relationships">
  <sheetPr>
    <tabColor rgb="FF00B050"/>
  </sheetPr>
  <dimension ref="A1:H29"/>
  <sheetViews>
    <sheetView workbookViewId="0">
      <selection activeCell="P39" sqref="P39"/>
    </sheetView>
  </sheetViews>
  <sheetFormatPr defaultRowHeight="16.5"/>
  <cols>
    <col min="1" max="1" width="6.140625" style="359" customWidth="1"/>
    <col min="2" max="2" width="27.85546875" style="359" customWidth="1"/>
    <col min="3" max="3" width="14.42578125" style="359" customWidth="1"/>
    <col min="4" max="4" width="13.7109375" style="359" customWidth="1"/>
    <col min="5" max="5" width="12.5703125" style="359" customWidth="1"/>
    <col min="6" max="6" width="11.140625" style="359" customWidth="1"/>
    <col min="7" max="7" width="13.85546875" style="359" customWidth="1"/>
    <col min="8" max="16384" width="9.140625" style="359"/>
  </cols>
  <sheetData>
    <row r="1" spans="1:7" ht="53.25" customHeight="1">
      <c r="A1" s="694" t="str">
        <f>Absrtact!A2</f>
        <v>Name of the Work : Formation of New Channel with CC lining in Godavari Delta System</v>
      </c>
      <c r="B1" s="694"/>
      <c r="C1" s="694"/>
      <c r="D1" s="694"/>
      <c r="E1" s="694"/>
      <c r="F1" s="694"/>
      <c r="G1" s="694"/>
    </row>
    <row r="2" spans="1:7" ht="27" customHeight="1">
      <c r="A2" s="695" t="s">
        <v>1120</v>
      </c>
      <c r="B2" s="695"/>
      <c r="C2" s="695"/>
      <c r="D2" s="695"/>
      <c r="E2" s="695"/>
      <c r="F2" s="695"/>
      <c r="G2" s="695"/>
    </row>
    <row r="3" spans="1:7" ht="29.25" customHeight="1">
      <c r="B3" s="527"/>
      <c r="C3" s="696" t="s">
        <v>921</v>
      </c>
      <c r="D3" s="696"/>
      <c r="E3" s="696"/>
      <c r="F3" s="696" t="s">
        <v>1112</v>
      </c>
      <c r="G3" s="696"/>
    </row>
    <row r="4" spans="1:7">
      <c r="A4" s="481" t="s">
        <v>234</v>
      </c>
      <c r="B4" s="481" t="s">
        <v>270</v>
      </c>
      <c r="C4" s="481" t="s">
        <v>1107</v>
      </c>
      <c r="D4" s="481" t="s">
        <v>1108</v>
      </c>
      <c r="E4" s="481" t="s">
        <v>1109</v>
      </c>
      <c r="F4" s="481" t="s">
        <v>1113</v>
      </c>
      <c r="G4" s="481" t="s">
        <v>1115</v>
      </c>
    </row>
    <row r="5" spans="1:7" ht="24.95" customHeight="1">
      <c r="A5" s="250">
        <v>1</v>
      </c>
      <c r="B5" s="465" t="s">
        <v>872</v>
      </c>
      <c r="C5" s="360">
        <v>0.27400000000000002</v>
      </c>
      <c r="D5" s="360">
        <v>0.27400000000000002</v>
      </c>
      <c r="E5" s="360">
        <v>0.27400000000000002</v>
      </c>
      <c r="F5" s="462">
        <v>0.19</v>
      </c>
      <c r="G5" s="462">
        <v>0.19</v>
      </c>
    </row>
    <row r="6" spans="1:7" ht="24.95" customHeight="1">
      <c r="A6" s="250">
        <v>2</v>
      </c>
      <c r="B6" s="465" t="s">
        <v>873</v>
      </c>
      <c r="C6" s="360">
        <v>0.40300000000000002</v>
      </c>
      <c r="D6" s="360">
        <v>0.40300000000000002</v>
      </c>
      <c r="E6" s="360">
        <v>0.40300000000000002</v>
      </c>
      <c r="F6" s="462">
        <v>0.253</v>
      </c>
      <c r="G6" s="360">
        <v>0.253</v>
      </c>
    </row>
    <row r="7" spans="1:7" ht="24.95" customHeight="1">
      <c r="A7" s="250">
        <v>3</v>
      </c>
      <c r="B7" s="465" t="s">
        <v>892</v>
      </c>
      <c r="C7" s="360">
        <v>1300</v>
      </c>
      <c r="D7" s="360">
        <v>1300</v>
      </c>
      <c r="E7" s="360">
        <v>1300</v>
      </c>
      <c r="F7" s="360">
        <v>400</v>
      </c>
      <c r="G7" s="360">
        <v>400</v>
      </c>
    </row>
    <row r="8" spans="1:7" ht="24.95" customHeight="1">
      <c r="A8" s="250">
        <v>4</v>
      </c>
      <c r="B8" s="465" t="s">
        <v>874</v>
      </c>
      <c r="C8" s="360">
        <v>-6.6000000000000003E-2</v>
      </c>
      <c r="D8" s="360">
        <v>-7.1999999999999995E-2</v>
      </c>
      <c r="E8" s="360">
        <v>-8.4000000000000005E-2</v>
      </c>
      <c r="F8" s="360">
        <v>9.6000000000000002E-2</v>
      </c>
      <c r="G8" s="360">
        <v>6.5000000000000002E-2</v>
      </c>
    </row>
    <row r="9" spans="1:7" ht="24.95" customHeight="1">
      <c r="A9" s="250">
        <v>5</v>
      </c>
      <c r="B9" s="465" t="s">
        <v>875</v>
      </c>
      <c r="C9" s="360">
        <f>C11+C8</f>
        <v>0.6339999999999999</v>
      </c>
      <c r="D9" s="360">
        <f>D11+D8</f>
        <v>0.628</v>
      </c>
      <c r="E9" s="360">
        <f>E11+E8</f>
        <v>0.61599999999999999</v>
      </c>
      <c r="F9" s="360">
        <f>F11+F8</f>
        <v>0.84599999999999997</v>
      </c>
      <c r="G9" s="360">
        <f>G11+G8</f>
        <v>0.81499999999999995</v>
      </c>
    </row>
    <row r="10" spans="1:7" ht="24.95" customHeight="1">
      <c r="A10" s="250">
        <v>6</v>
      </c>
      <c r="B10" s="465" t="s">
        <v>876</v>
      </c>
      <c r="C10" s="360">
        <f>C9+0.6</f>
        <v>1.234</v>
      </c>
      <c r="D10" s="360">
        <f>D9+0.6</f>
        <v>1.228</v>
      </c>
      <c r="E10" s="360">
        <f>E9+0.6</f>
        <v>1.216</v>
      </c>
      <c r="F10" s="360">
        <f>F9+F12/1000</f>
        <v>1.296</v>
      </c>
      <c r="G10" s="360">
        <f>G9+G12/1000</f>
        <v>1.2649999999999999</v>
      </c>
    </row>
    <row r="11" spans="1:7" ht="24.95" customHeight="1">
      <c r="A11" s="250">
        <v>7</v>
      </c>
      <c r="B11" s="465" t="s">
        <v>877</v>
      </c>
      <c r="C11" s="462">
        <v>0.7</v>
      </c>
      <c r="D11" s="462">
        <v>0.7</v>
      </c>
      <c r="E11" s="462">
        <v>0.7</v>
      </c>
      <c r="F11" s="462">
        <v>0.75</v>
      </c>
      <c r="G11" s="462">
        <v>0.75</v>
      </c>
    </row>
    <row r="12" spans="1:7" ht="24.95" customHeight="1">
      <c r="A12" s="250">
        <v>8</v>
      </c>
      <c r="B12" s="465" t="s">
        <v>893</v>
      </c>
      <c r="C12" s="360">
        <v>600</v>
      </c>
      <c r="D12" s="360">
        <v>600</v>
      </c>
      <c r="E12" s="360">
        <v>600</v>
      </c>
      <c r="F12" s="360">
        <v>450</v>
      </c>
      <c r="G12" s="360">
        <v>450</v>
      </c>
    </row>
    <row r="13" spans="1:7" ht="24.95" customHeight="1">
      <c r="A13" s="250">
        <v>9</v>
      </c>
      <c r="B13" s="465" t="s">
        <v>878</v>
      </c>
      <c r="C13" s="360">
        <v>16667</v>
      </c>
      <c r="D13" s="360">
        <v>16667</v>
      </c>
      <c r="E13" s="360">
        <v>16667</v>
      </c>
      <c r="F13" s="360">
        <v>16667</v>
      </c>
      <c r="G13" s="360">
        <v>16667</v>
      </c>
    </row>
    <row r="14" spans="1:7" ht="24.95" customHeight="1">
      <c r="A14" s="250">
        <v>10</v>
      </c>
      <c r="B14" s="465" t="s">
        <v>879</v>
      </c>
      <c r="C14" s="463" t="s">
        <v>248</v>
      </c>
      <c r="D14" s="463" t="s">
        <v>248</v>
      </c>
      <c r="E14" s="463" t="s">
        <v>248</v>
      </c>
      <c r="F14" s="463" t="s">
        <v>248</v>
      </c>
      <c r="G14" s="463" t="s">
        <v>248</v>
      </c>
    </row>
    <row r="15" spans="1:7" ht="24.95" customHeight="1">
      <c r="A15" s="250">
        <v>11</v>
      </c>
      <c r="B15" s="465" t="s">
        <v>880</v>
      </c>
      <c r="C15" s="360">
        <v>1.7999999999999999E-2</v>
      </c>
      <c r="D15" s="360">
        <v>1.7999999999999999E-2</v>
      </c>
      <c r="E15" s="360">
        <v>1.7999999999999999E-2</v>
      </c>
      <c r="F15" s="360">
        <v>1.7999999999999999E-2</v>
      </c>
      <c r="G15" s="360">
        <v>1.7999999999999999E-2</v>
      </c>
    </row>
    <row r="16" spans="1:7" ht="24.95" customHeight="1">
      <c r="A16" s="250">
        <v>12</v>
      </c>
      <c r="B16" s="465" t="s">
        <v>881</v>
      </c>
      <c r="C16" s="360">
        <v>0.254</v>
      </c>
      <c r="D16" s="360">
        <v>0.254</v>
      </c>
      <c r="E16" s="360">
        <v>0.254</v>
      </c>
      <c r="F16" s="360">
        <v>0.254</v>
      </c>
      <c r="G16" s="360">
        <v>0.254</v>
      </c>
    </row>
    <row r="17" spans="1:8" ht="24.95" customHeight="1">
      <c r="A17" s="250">
        <v>13</v>
      </c>
      <c r="B17" s="466" t="s">
        <v>882</v>
      </c>
      <c r="C17" s="360">
        <v>600</v>
      </c>
      <c r="D17" s="360">
        <v>600</v>
      </c>
      <c r="E17" s="360">
        <v>600</v>
      </c>
      <c r="F17" s="360">
        <v>600</v>
      </c>
      <c r="G17" s="360">
        <v>600</v>
      </c>
    </row>
    <row r="18" spans="1:8" ht="33.75" customHeight="1">
      <c r="A18" s="250">
        <v>14</v>
      </c>
      <c r="B18" s="466" t="s">
        <v>894</v>
      </c>
      <c r="C18" s="464" t="s">
        <v>1098</v>
      </c>
      <c r="D18" s="464" t="s">
        <v>1098</v>
      </c>
      <c r="E18" s="464" t="s">
        <v>1098</v>
      </c>
      <c r="F18" s="464" t="s">
        <v>1098</v>
      </c>
      <c r="G18" s="464" t="s">
        <v>1098</v>
      </c>
    </row>
    <row r="19" spans="1:8" ht="32.25" customHeight="1">
      <c r="A19" s="250">
        <v>15</v>
      </c>
      <c r="B19" s="466" t="s">
        <v>883</v>
      </c>
      <c r="C19" s="464">
        <v>1987</v>
      </c>
      <c r="D19" s="464">
        <v>1987</v>
      </c>
      <c r="E19" s="464">
        <v>1987</v>
      </c>
      <c r="F19" s="464">
        <v>1987</v>
      </c>
      <c r="G19" s="464">
        <v>1987</v>
      </c>
      <c r="H19" s="464"/>
    </row>
    <row r="20" spans="1:8" ht="30" customHeight="1">
      <c r="A20" s="250">
        <v>16</v>
      </c>
      <c r="B20" s="466" t="s">
        <v>885</v>
      </c>
      <c r="C20" s="464" t="s">
        <v>1099</v>
      </c>
      <c r="D20" s="464" t="s">
        <v>1099</v>
      </c>
      <c r="E20" s="464" t="s">
        <v>1099</v>
      </c>
      <c r="F20" s="464" t="s">
        <v>1099</v>
      </c>
      <c r="G20" s="464" t="s">
        <v>1099</v>
      </c>
    </row>
    <row r="21" spans="1:8" ht="39" customHeight="1">
      <c r="A21" s="250">
        <v>17</v>
      </c>
      <c r="B21" s="466" t="s">
        <v>884</v>
      </c>
      <c r="C21" s="464" t="s">
        <v>1100</v>
      </c>
      <c r="D21" s="464" t="s">
        <v>1100</v>
      </c>
      <c r="E21" s="464" t="s">
        <v>1100</v>
      </c>
      <c r="F21" s="464" t="s">
        <v>1100</v>
      </c>
      <c r="G21" s="464" t="s">
        <v>1100</v>
      </c>
    </row>
    <row r="22" spans="1:8" ht="36" customHeight="1">
      <c r="A22" s="250">
        <v>18</v>
      </c>
      <c r="B22" s="466" t="s">
        <v>886</v>
      </c>
      <c r="C22" s="462">
        <f>(C10+0.415)-(C19/1000+C17/1000)</f>
        <v>-0.93800000000000017</v>
      </c>
      <c r="D22" s="462">
        <f>(D10+0.415)-(D19/1000+D17/1000)</f>
        <v>-0.94400000000000017</v>
      </c>
      <c r="E22" s="462">
        <f>(E10+0.415)-(E19/1000+E17/1000)</f>
        <v>-0.95600000000000018</v>
      </c>
      <c r="F22" s="462">
        <f>(F10+0.415)-(F19/1000+F17/1000)</f>
        <v>-0.87600000000000011</v>
      </c>
      <c r="G22" s="462">
        <f>(G10+0.415)-(G19/1000+G17/1000)</f>
        <v>-0.90700000000000025</v>
      </c>
    </row>
    <row r="23" spans="1:8" ht="36" customHeight="1">
      <c r="A23" s="250">
        <v>19</v>
      </c>
      <c r="B23" s="466" t="s">
        <v>888</v>
      </c>
      <c r="C23" s="462">
        <f>C22+C17/1000</f>
        <v>-0.33800000000000019</v>
      </c>
      <c r="D23" s="462">
        <f t="shared" ref="D23:G23" si="0">D22+0.6</f>
        <v>-0.34400000000000019</v>
      </c>
      <c r="E23" s="462">
        <f t="shared" si="0"/>
        <v>-0.35600000000000021</v>
      </c>
      <c r="F23" s="462">
        <f t="shared" si="0"/>
        <v>-0.27600000000000013</v>
      </c>
      <c r="G23" s="462">
        <f t="shared" si="0"/>
        <v>-0.30700000000000027</v>
      </c>
    </row>
    <row r="24" spans="1:8" ht="32.25" customHeight="1">
      <c r="A24" s="250">
        <v>20</v>
      </c>
      <c r="B24" s="466" t="s">
        <v>889</v>
      </c>
      <c r="C24" s="462">
        <f t="shared" ref="C24:G24" si="1">C23+C19/1000</f>
        <v>1.649</v>
      </c>
      <c r="D24" s="462">
        <f t="shared" si="1"/>
        <v>1.6429999999999998</v>
      </c>
      <c r="E24" s="462">
        <f t="shared" si="1"/>
        <v>1.6309999999999998</v>
      </c>
      <c r="F24" s="462">
        <f t="shared" si="1"/>
        <v>1.7109999999999999</v>
      </c>
      <c r="G24" s="462">
        <f t="shared" si="1"/>
        <v>1.6799999999999997</v>
      </c>
    </row>
    <row r="25" spans="1:8" ht="36.75" customHeight="1">
      <c r="A25" s="250">
        <v>21</v>
      </c>
      <c r="B25" s="466" t="s">
        <v>890</v>
      </c>
      <c r="C25" s="462">
        <f t="shared" ref="C25:G25" si="2">C24+0.45</f>
        <v>2.0990000000000002</v>
      </c>
      <c r="D25" s="462">
        <f t="shared" si="2"/>
        <v>2.093</v>
      </c>
      <c r="E25" s="462">
        <f t="shared" si="2"/>
        <v>2.081</v>
      </c>
      <c r="F25" s="462">
        <f t="shared" si="2"/>
        <v>2.161</v>
      </c>
      <c r="G25" s="462">
        <f t="shared" si="2"/>
        <v>2.13</v>
      </c>
    </row>
    <row r="26" spans="1:8" ht="40.5" customHeight="1">
      <c r="A26" s="250">
        <v>22</v>
      </c>
      <c r="B26" s="466" t="s">
        <v>887</v>
      </c>
      <c r="C26" s="464" t="s">
        <v>1101</v>
      </c>
      <c r="D26" s="464" t="s">
        <v>1101</v>
      </c>
      <c r="E26" s="464" t="s">
        <v>1101</v>
      </c>
      <c r="F26" s="464" t="s">
        <v>1101</v>
      </c>
      <c r="G26" s="464" t="s">
        <v>1101</v>
      </c>
    </row>
    <row r="27" spans="1:8" ht="24.95" customHeight="1">
      <c r="A27" s="250">
        <v>23</v>
      </c>
      <c r="B27" s="466" t="s">
        <v>891</v>
      </c>
      <c r="C27" s="464">
        <v>10000</v>
      </c>
      <c r="D27" s="464">
        <v>10000</v>
      </c>
      <c r="E27" s="464">
        <v>10000</v>
      </c>
      <c r="F27" s="464">
        <v>10000</v>
      </c>
      <c r="G27" s="464">
        <v>10000</v>
      </c>
    </row>
    <row r="28" spans="1:8" ht="24.95" customHeight="1">
      <c r="A28" s="250"/>
      <c r="B28" s="466"/>
      <c r="C28" s="464"/>
      <c r="D28" s="464"/>
      <c r="E28" s="464"/>
      <c r="F28" s="464"/>
      <c r="G28" s="464"/>
    </row>
    <row r="29" spans="1:8" ht="24.95" customHeight="1">
      <c r="A29" s="250"/>
      <c r="B29" s="466"/>
      <c r="C29" s="464"/>
      <c r="D29" s="464"/>
      <c r="E29" s="464"/>
      <c r="F29" s="464"/>
      <c r="G29" s="464"/>
    </row>
  </sheetData>
  <mergeCells count="4">
    <mergeCell ref="A1:G1"/>
    <mergeCell ref="C3:E3"/>
    <mergeCell ref="F3:G3"/>
    <mergeCell ref="A2:G2"/>
  </mergeCells>
  <printOptions gridLines="1"/>
  <pageMargins left="0.7" right="0.45" top="0.75" bottom="0.75" header="0.3" footer="0.3"/>
  <pageSetup paperSize="9" scale="90" orientation="portrait" verticalDpi="0" r:id="rId1"/>
</worksheet>
</file>

<file path=xl/worksheets/sheet24.xml><?xml version="1.0" encoding="utf-8"?>
<worksheet xmlns="http://schemas.openxmlformats.org/spreadsheetml/2006/main" xmlns:r="http://schemas.openxmlformats.org/officeDocument/2006/relationships">
  <sheetPr>
    <tabColor rgb="FF00B050"/>
  </sheetPr>
  <dimension ref="A1:H29"/>
  <sheetViews>
    <sheetView workbookViewId="0">
      <selection activeCell="O27" sqref="O27"/>
    </sheetView>
  </sheetViews>
  <sheetFormatPr defaultRowHeight="16.5"/>
  <cols>
    <col min="1" max="1" width="6.140625" style="359" customWidth="1"/>
    <col min="2" max="2" width="27.85546875" style="359" customWidth="1"/>
    <col min="3" max="3" width="14.42578125" style="359" customWidth="1"/>
    <col min="4" max="4" width="13.7109375" style="359" customWidth="1"/>
    <col min="5" max="5" width="12.5703125" style="359" customWidth="1"/>
    <col min="6" max="6" width="11.140625" style="359" customWidth="1"/>
    <col min="7" max="7" width="13.85546875" style="359" customWidth="1"/>
    <col min="8" max="16384" width="9.140625" style="359"/>
  </cols>
  <sheetData>
    <row r="1" spans="1:7" ht="53.25" customHeight="1">
      <c r="A1" s="694" t="str">
        <f>Absrtact!A2</f>
        <v>Name of the Work : Formation of New Channel with CC lining in Godavari Delta System</v>
      </c>
      <c r="B1" s="694"/>
      <c r="C1" s="694"/>
      <c r="D1" s="694"/>
      <c r="E1" s="694"/>
      <c r="F1" s="694"/>
      <c r="G1" s="694"/>
    </row>
    <row r="2" spans="1:7" ht="29.25" customHeight="1">
      <c r="A2" s="695" t="s">
        <v>1120</v>
      </c>
      <c r="B2" s="695"/>
      <c r="C2" s="695"/>
      <c r="D2" s="695"/>
      <c r="E2" s="695"/>
      <c r="F2" s="695"/>
      <c r="G2" s="695"/>
    </row>
    <row r="3" spans="1:7" ht="36.75" customHeight="1">
      <c r="B3" s="527"/>
      <c r="C3" s="696" t="s">
        <v>1119</v>
      </c>
      <c r="D3" s="696"/>
      <c r="E3" s="696"/>
      <c r="F3" s="696" t="s">
        <v>1122</v>
      </c>
      <c r="G3" s="696"/>
    </row>
    <row r="4" spans="1:7">
      <c r="A4" s="481" t="s">
        <v>234</v>
      </c>
      <c r="B4" s="481" t="s">
        <v>270</v>
      </c>
      <c r="C4" s="481" t="s">
        <v>1116</v>
      </c>
      <c r="D4" s="481" t="s">
        <v>1117</v>
      </c>
      <c r="E4" s="481" t="s">
        <v>1118</v>
      </c>
      <c r="F4" s="481" t="s">
        <v>1123</v>
      </c>
      <c r="G4" s="481" t="s">
        <v>1124</v>
      </c>
    </row>
    <row r="5" spans="1:7" ht="24.95" customHeight="1">
      <c r="A5" s="250">
        <v>1</v>
      </c>
      <c r="B5" s="465" t="s">
        <v>872</v>
      </c>
      <c r="C5" s="360">
        <v>0.309</v>
      </c>
      <c r="D5" s="360">
        <v>0.309</v>
      </c>
      <c r="E5" s="360">
        <v>0.309</v>
      </c>
      <c r="F5" s="462">
        <v>0.19</v>
      </c>
      <c r="G5" s="462">
        <v>0.19</v>
      </c>
    </row>
    <row r="6" spans="1:7" ht="24.95" customHeight="1">
      <c r="A6" s="250">
        <v>2</v>
      </c>
      <c r="B6" s="465" t="s">
        <v>873</v>
      </c>
      <c r="C6" s="360">
        <v>0.379</v>
      </c>
      <c r="D6" s="360">
        <v>0.379</v>
      </c>
      <c r="E6" s="360">
        <v>0.379</v>
      </c>
      <c r="F6" s="462">
        <v>0.253</v>
      </c>
      <c r="G6" s="360">
        <v>0.253</v>
      </c>
    </row>
    <row r="7" spans="1:7" ht="24.95" customHeight="1">
      <c r="A7" s="250">
        <v>3</v>
      </c>
      <c r="B7" s="465" t="s">
        <v>892</v>
      </c>
      <c r="C7" s="360">
        <v>2200</v>
      </c>
      <c r="D7" s="360">
        <v>2200</v>
      </c>
      <c r="E7" s="360">
        <v>2200</v>
      </c>
      <c r="F7" s="360">
        <v>1100</v>
      </c>
      <c r="G7" s="360">
        <v>1100</v>
      </c>
    </row>
    <row r="8" spans="1:7" ht="24.95" customHeight="1">
      <c r="A8" s="250">
        <v>4</v>
      </c>
      <c r="B8" s="465" t="s">
        <v>874</v>
      </c>
      <c r="C8" s="360">
        <v>6.4000000000000001E-2</v>
      </c>
      <c r="D8" s="360">
        <v>2.5999999999999999E-2</v>
      </c>
      <c r="E8" s="360">
        <v>1.2E-2</v>
      </c>
      <c r="F8" s="360">
        <v>-6.2E-2</v>
      </c>
      <c r="G8" s="360">
        <v>-7.0000000000000007E-2</v>
      </c>
    </row>
    <row r="9" spans="1:7" ht="24.95" customHeight="1">
      <c r="A9" s="250">
        <v>5</v>
      </c>
      <c r="B9" s="465" t="s">
        <v>875</v>
      </c>
      <c r="C9" s="360">
        <f>C11+C8</f>
        <v>0.81400000000000006</v>
      </c>
      <c r="D9" s="360">
        <f>D11+D8</f>
        <v>0.77600000000000002</v>
      </c>
      <c r="E9" s="360">
        <f>E11+E8</f>
        <v>0.76200000000000001</v>
      </c>
      <c r="F9" s="360">
        <f>F11+F8</f>
        <v>0.53800000000000003</v>
      </c>
      <c r="G9" s="462">
        <f>G11+G8</f>
        <v>0.53</v>
      </c>
    </row>
    <row r="10" spans="1:7" ht="24.95" customHeight="1">
      <c r="A10" s="250">
        <v>6</v>
      </c>
      <c r="B10" s="465" t="s">
        <v>876</v>
      </c>
      <c r="C10" s="360">
        <f>C9+C12/1000</f>
        <v>1.264</v>
      </c>
      <c r="D10" s="360">
        <f>D9+D12/1000</f>
        <v>1.226</v>
      </c>
      <c r="E10" s="360">
        <f>E9+E12/1000</f>
        <v>1.212</v>
      </c>
      <c r="F10" s="360">
        <f>F9+F12/1000</f>
        <v>0.98799999999999999</v>
      </c>
      <c r="G10" s="462">
        <f>G9+G12/1000</f>
        <v>0.98</v>
      </c>
    </row>
    <row r="11" spans="1:7" ht="24.95" customHeight="1">
      <c r="A11" s="250">
        <v>7</v>
      </c>
      <c r="B11" s="465" t="s">
        <v>877</v>
      </c>
      <c r="C11" s="462">
        <v>0.75</v>
      </c>
      <c r="D11" s="462">
        <v>0.75</v>
      </c>
      <c r="E11" s="462">
        <v>0.75</v>
      </c>
      <c r="F11" s="462">
        <v>0.6</v>
      </c>
      <c r="G11" s="462">
        <v>0.6</v>
      </c>
    </row>
    <row r="12" spans="1:7" ht="24.95" customHeight="1">
      <c r="A12" s="250">
        <v>8</v>
      </c>
      <c r="B12" s="465" t="s">
        <v>893</v>
      </c>
      <c r="C12" s="360">
        <v>450</v>
      </c>
      <c r="D12" s="360">
        <v>450</v>
      </c>
      <c r="E12" s="360">
        <v>450</v>
      </c>
      <c r="F12" s="360">
        <v>450</v>
      </c>
      <c r="G12" s="360">
        <v>450</v>
      </c>
    </row>
    <row r="13" spans="1:7" ht="24.95" customHeight="1">
      <c r="A13" s="250">
        <v>9</v>
      </c>
      <c r="B13" s="465" t="s">
        <v>878</v>
      </c>
      <c r="C13" s="360">
        <v>33333</v>
      </c>
      <c r="D13" s="360">
        <v>33333</v>
      </c>
      <c r="E13" s="360">
        <v>33333</v>
      </c>
      <c r="F13" s="360">
        <v>25000</v>
      </c>
      <c r="G13" s="360">
        <v>25000</v>
      </c>
    </row>
    <row r="14" spans="1:7" ht="24.95" customHeight="1">
      <c r="A14" s="250">
        <v>10</v>
      </c>
      <c r="B14" s="465" t="s">
        <v>879</v>
      </c>
      <c r="C14" s="463" t="s">
        <v>248</v>
      </c>
      <c r="D14" s="463" t="s">
        <v>248</v>
      </c>
      <c r="E14" s="463" t="s">
        <v>248</v>
      </c>
      <c r="F14" s="463" t="s">
        <v>248</v>
      </c>
      <c r="G14" s="463" t="s">
        <v>248</v>
      </c>
    </row>
    <row r="15" spans="1:7" ht="24.95" customHeight="1">
      <c r="A15" s="250">
        <v>11</v>
      </c>
      <c r="B15" s="465" t="s">
        <v>880</v>
      </c>
      <c r="C15" s="360">
        <v>1.7999999999999999E-2</v>
      </c>
      <c r="D15" s="360">
        <v>1.7999999999999999E-2</v>
      </c>
      <c r="E15" s="360">
        <v>1.7999999999999999E-2</v>
      </c>
      <c r="F15" s="360">
        <v>1.7999999999999999E-2</v>
      </c>
      <c r="G15" s="360">
        <v>1.7999999999999999E-2</v>
      </c>
    </row>
    <row r="16" spans="1:7" ht="24.95" customHeight="1">
      <c r="A16" s="250">
        <v>12</v>
      </c>
      <c r="B16" s="465" t="s">
        <v>881</v>
      </c>
      <c r="C16" s="360">
        <v>0.254</v>
      </c>
      <c r="D16" s="360">
        <v>0.254</v>
      </c>
      <c r="E16" s="360">
        <v>0.254</v>
      </c>
      <c r="F16" s="360">
        <v>0.254</v>
      </c>
      <c r="G16" s="360">
        <v>0.254</v>
      </c>
    </row>
    <row r="17" spans="1:8" ht="24.95" customHeight="1">
      <c r="A17" s="250">
        <v>13</v>
      </c>
      <c r="B17" s="466" t="s">
        <v>882</v>
      </c>
      <c r="C17" s="360">
        <v>600</v>
      </c>
      <c r="D17" s="360">
        <v>600</v>
      </c>
      <c r="E17" s="360">
        <v>600</v>
      </c>
      <c r="F17" s="360">
        <v>600</v>
      </c>
      <c r="G17" s="360">
        <v>600</v>
      </c>
    </row>
    <row r="18" spans="1:8" ht="33.75" customHeight="1">
      <c r="A18" s="250">
        <v>14</v>
      </c>
      <c r="B18" s="466" t="s">
        <v>894</v>
      </c>
      <c r="C18" s="464" t="s">
        <v>1098</v>
      </c>
      <c r="D18" s="464" t="s">
        <v>1098</v>
      </c>
      <c r="E18" s="464" t="s">
        <v>1098</v>
      </c>
      <c r="F18" s="464" t="s">
        <v>1098</v>
      </c>
      <c r="G18" s="464" t="s">
        <v>1098</v>
      </c>
    </row>
    <row r="19" spans="1:8" ht="32.25" customHeight="1">
      <c r="A19" s="250">
        <v>15</v>
      </c>
      <c r="B19" s="466" t="s">
        <v>883</v>
      </c>
      <c r="C19" s="464">
        <v>1987</v>
      </c>
      <c r="D19" s="464">
        <v>1987</v>
      </c>
      <c r="E19" s="464">
        <v>1987</v>
      </c>
      <c r="F19" s="464">
        <v>1987</v>
      </c>
      <c r="G19" s="464">
        <v>1987</v>
      </c>
      <c r="H19" s="464"/>
    </row>
    <row r="20" spans="1:8" ht="30" customHeight="1">
      <c r="A20" s="250">
        <v>16</v>
      </c>
      <c r="B20" s="466" t="s">
        <v>885</v>
      </c>
      <c r="C20" s="464" t="s">
        <v>1099</v>
      </c>
      <c r="D20" s="464" t="s">
        <v>1099</v>
      </c>
      <c r="E20" s="464" t="s">
        <v>1099</v>
      </c>
      <c r="F20" s="464" t="s">
        <v>1099</v>
      </c>
      <c r="G20" s="464" t="s">
        <v>1099</v>
      </c>
    </row>
    <row r="21" spans="1:8" ht="39" customHeight="1">
      <c r="A21" s="250">
        <v>17</v>
      </c>
      <c r="B21" s="466" t="s">
        <v>884</v>
      </c>
      <c r="C21" s="464" t="s">
        <v>1100</v>
      </c>
      <c r="D21" s="464" t="s">
        <v>1100</v>
      </c>
      <c r="E21" s="464" t="s">
        <v>1100</v>
      </c>
      <c r="F21" s="464" t="s">
        <v>1100</v>
      </c>
      <c r="G21" s="464" t="s">
        <v>1100</v>
      </c>
    </row>
    <row r="22" spans="1:8" ht="36" customHeight="1">
      <c r="A22" s="250">
        <v>18</v>
      </c>
      <c r="B22" s="466" t="s">
        <v>886</v>
      </c>
      <c r="C22" s="462">
        <f>(C10+0.415)-(C19/1000+C17/1000)</f>
        <v>-0.90800000000000014</v>
      </c>
      <c r="D22" s="462">
        <f>(D10+0.415)-(D19/1000+D17/1000)</f>
        <v>-0.94600000000000017</v>
      </c>
      <c r="E22" s="462">
        <f>(E10+0.415)-(E19/1000+E17/1000)</f>
        <v>-0.96000000000000019</v>
      </c>
      <c r="F22" s="462">
        <f>(F10+0.415)-(F19/1000+F17/1000)</f>
        <v>-1.1840000000000002</v>
      </c>
      <c r="G22" s="462">
        <f>(G10+0.415)-(G19/1000+G17/1000)</f>
        <v>-1.1920000000000002</v>
      </c>
    </row>
    <row r="23" spans="1:8" ht="36" customHeight="1">
      <c r="A23" s="250">
        <v>19</v>
      </c>
      <c r="B23" s="466" t="s">
        <v>888</v>
      </c>
      <c r="C23" s="462">
        <f>C22+C17/1000</f>
        <v>-0.30800000000000016</v>
      </c>
      <c r="D23" s="462">
        <f t="shared" ref="D23:G23" si="0">D22+0.6</f>
        <v>-0.3460000000000002</v>
      </c>
      <c r="E23" s="462">
        <f t="shared" si="0"/>
        <v>-0.36000000000000021</v>
      </c>
      <c r="F23" s="462">
        <f t="shared" si="0"/>
        <v>-0.58400000000000019</v>
      </c>
      <c r="G23" s="462">
        <f t="shared" si="0"/>
        <v>-0.59200000000000019</v>
      </c>
    </row>
    <row r="24" spans="1:8" ht="32.25" customHeight="1">
      <c r="A24" s="250">
        <v>20</v>
      </c>
      <c r="B24" s="466" t="s">
        <v>889</v>
      </c>
      <c r="C24" s="462">
        <f t="shared" ref="C24:G24" si="1">C23+C19/1000</f>
        <v>1.6789999999999998</v>
      </c>
      <c r="D24" s="462">
        <f t="shared" si="1"/>
        <v>1.641</v>
      </c>
      <c r="E24" s="462">
        <f t="shared" si="1"/>
        <v>1.6269999999999998</v>
      </c>
      <c r="F24" s="462">
        <f t="shared" si="1"/>
        <v>1.403</v>
      </c>
      <c r="G24" s="462">
        <f t="shared" si="1"/>
        <v>1.395</v>
      </c>
    </row>
    <row r="25" spans="1:8" ht="36.75" customHeight="1">
      <c r="A25" s="250">
        <v>21</v>
      </c>
      <c r="B25" s="466" t="s">
        <v>890</v>
      </c>
      <c r="C25" s="462">
        <f t="shared" ref="C25:G25" si="2">C24+0.45</f>
        <v>2.129</v>
      </c>
      <c r="D25" s="462">
        <f t="shared" si="2"/>
        <v>2.0910000000000002</v>
      </c>
      <c r="E25" s="462">
        <f t="shared" si="2"/>
        <v>2.077</v>
      </c>
      <c r="F25" s="462">
        <f t="shared" si="2"/>
        <v>1.853</v>
      </c>
      <c r="G25" s="462">
        <f t="shared" si="2"/>
        <v>1.845</v>
      </c>
    </row>
    <row r="26" spans="1:8" ht="40.5" customHeight="1">
      <c r="A26" s="250">
        <v>22</v>
      </c>
      <c r="B26" s="466" t="s">
        <v>887</v>
      </c>
      <c r="C26" s="464" t="s">
        <v>1101</v>
      </c>
      <c r="D26" s="464" t="s">
        <v>1101</v>
      </c>
      <c r="E26" s="464" t="s">
        <v>1101</v>
      </c>
      <c r="F26" s="464" t="s">
        <v>1101</v>
      </c>
      <c r="G26" s="464" t="s">
        <v>1101</v>
      </c>
    </row>
    <row r="27" spans="1:8" ht="24.95" customHeight="1">
      <c r="A27" s="250">
        <v>23</v>
      </c>
      <c r="B27" s="466" t="s">
        <v>891</v>
      </c>
      <c r="C27" s="464">
        <v>10000</v>
      </c>
      <c r="D27" s="464">
        <v>10000</v>
      </c>
      <c r="E27" s="464">
        <v>10000</v>
      </c>
      <c r="F27" s="464">
        <v>10000</v>
      </c>
      <c r="G27" s="464">
        <v>10000</v>
      </c>
    </row>
    <row r="28" spans="1:8" ht="24.95" customHeight="1">
      <c r="A28" s="250"/>
      <c r="B28" s="466"/>
      <c r="C28" s="464"/>
      <c r="D28" s="464"/>
      <c r="E28" s="464"/>
      <c r="F28" s="464"/>
      <c r="G28" s="464"/>
    </row>
    <row r="29" spans="1:8" ht="24.95" customHeight="1">
      <c r="A29" s="250"/>
      <c r="B29" s="466"/>
      <c r="C29" s="464"/>
      <c r="D29" s="464"/>
      <c r="E29" s="464"/>
      <c r="F29" s="464"/>
      <c r="G29" s="464"/>
    </row>
  </sheetData>
  <mergeCells count="4">
    <mergeCell ref="A1:G1"/>
    <mergeCell ref="C3:E3"/>
    <mergeCell ref="F3:G3"/>
    <mergeCell ref="A2:G2"/>
  </mergeCells>
  <printOptions gridLines="1"/>
  <pageMargins left="0.7" right="0.45" top="0.75" bottom="0.75" header="0.3" footer="0.3"/>
  <pageSetup paperSize="9" scale="90" orientation="portrait" verticalDpi="0" r:id="rId1"/>
</worksheet>
</file>

<file path=xl/worksheets/sheet25.xml><?xml version="1.0" encoding="utf-8"?>
<worksheet xmlns="http://schemas.openxmlformats.org/spreadsheetml/2006/main" xmlns:r="http://schemas.openxmlformats.org/officeDocument/2006/relationships">
  <dimension ref="A1:I16"/>
  <sheetViews>
    <sheetView workbookViewId="0">
      <selection activeCell="O7" sqref="O7"/>
    </sheetView>
  </sheetViews>
  <sheetFormatPr defaultColWidth="9.140625" defaultRowHeight="15"/>
  <cols>
    <col min="1" max="1" width="7.28515625" style="3" customWidth="1"/>
    <col min="2" max="2" width="34.42578125" style="3" customWidth="1"/>
    <col min="3" max="3" width="3.7109375" style="3" customWidth="1"/>
    <col min="4" max="4" width="37" style="3" customWidth="1"/>
    <col min="5" max="16384" width="9.140625" style="3"/>
  </cols>
  <sheetData>
    <row r="1" spans="1:9" ht="15.75">
      <c r="A1" s="697" t="s">
        <v>46</v>
      </c>
      <c r="B1" s="697"/>
      <c r="C1" s="697"/>
      <c r="D1" s="697"/>
      <c r="E1" s="231"/>
      <c r="F1" s="231"/>
      <c r="G1" s="231"/>
      <c r="H1" s="231"/>
      <c r="I1" s="231"/>
    </row>
    <row r="2" spans="1:9" ht="91.5" customHeight="1">
      <c r="A2" s="270" t="s">
        <v>47</v>
      </c>
      <c r="B2" s="271" t="s">
        <v>48</v>
      </c>
      <c r="C2" s="271" t="s">
        <v>2</v>
      </c>
      <c r="D2" s="263" t="s">
        <v>3</v>
      </c>
    </row>
    <row r="3" spans="1:9" ht="23.25" customHeight="1">
      <c r="A3" s="270" t="s">
        <v>49</v>
      </c>
      <c r="B3" s="271" t="s">
        <v>50</v>
      </c>
      <c r="C3" s="271" t="s">
        <v>2</v>
      </c>
      <c r="D3" s="272" t="str">
        <f>Absrtact!G36</f>
        <v>2399.26  Lakh</v>
      </c>
    </row>
    <row r="4" spans="1:9" ht="24" customHeight="1">
      <c r="A4" s="270" t="s">
        <v>51</v>
      </c>
      <c r="B4" s="271" t="s">
        <v>52</v>
      </c>
      <c r="C4" s="271" t="s">
        <v>2</v>
      </c>
      <c r="D4" s="272"/>
    </row>
    <row r="5" spans="1:9" ht="61.5" customHeight="1">
      <c r="A5" s="273"/>
      <c r="B5" s="274" t="s">
        <v>53</v>
      </c>
      <c r="C5" s="271" t="s">
        <v>2</v>
      </c>
      <c r="D5" s="272" t="s">
        <v>27</v>
      </c>
    </row>
    <row r="6" spans="1:9" ht="47.25">
      <c r="A6" s="270"/>
      <c r="B6" s="274" t="s">
        <v>54</v>
      </c>
      <c r="C6" s="271" t="s">
        <v>2</v>
      </c>
      <c r="D6" s="275" t="s">
        <v>27</v>
      </c>
    </row>
    <row r="7" spans="1:9" ht="47.25">
      <c r="A7" s="270"/>
      <c r="B7" s="274" t="s">
        <v>55</v>
      </c>
      <c r="C7" s="271" t="s">
        <v>2</v>
      </c>
      <c r="D7" s="275" t="s">
        <v>27</v>
      </c>
    </row>
    <row r="8" spans="1:9" ht="48.75" customHeight="1">
      <c r="A8" s="270" t="s">
        <v>56</v>
      </c>
      <c r="B8" s="274" t="s">
        <v>57</v>
      </c>
      <c r="C8" s="271" t="s">
        <v>2</v>
      </c>
      <c r="D8" s="275"/>
    </row>
    <row r="9" spans="1:9" ht="34.5" customHeight="1">
      <c r="A9" s="270"/>
      <c r="B9" s="276" t="s">
        <v>58</v>
      </c>
      <c r="C9" s="271" t="s">
        <v>2</v>
      </c>
      <c r="D9" s="272" t="s">
        <v>709</v>
      </c>
    </row>
    <row r="10" spans="1:9" ht="30" customHeight="1">
      <c r="A10" s="270"/>
      <c r="B10" s="276" t="s">
        <v>706</v>
      </c>
      <c r="C10" s="271" t="s">
        <v>2</v>
      </c>
      <c r="D10" s="272" t="s">
        <v>707</v>
      </c>
    </row>
    <row r="11" spans="1:9" ht="27" customHeight="1">
      <c r="A11" s="270"/>
      <c r="B11" s="276" t="s">
        <v>59</v>
      </c>
      <c r="C11" s="271" t="s">
        <v>2</v>
      </c>
      <c r="D11" s="272" t="s">
        <v>708</v>
      </c>
    </row>
    <row r="12" spans="1:9" ht="54.75" customHeight="1">
      <c r="A12" s="270" t="s">
        <v>60</v>
      </c>
      <c r="B12" s="274" t="s">
        <v>61</v>
      </c>
      <c r="C12" s="271" t="s">
        <v>2</v>
      </c>
      <c r="D12" s="272" t="s">
        <v>27</v>
      </c>
    </row>
    <row r="13" spans="1:9" ht="66" customHeight="1">
      <c r="A13" s="270" t="s">
        <v>62</v>
      </c>
      <c r="B13" s="274" t="s">
        <v>63</v>
      </c>
      <c r="C13" s="271" t="s">
        <v>2</v>
      </c>
      <c r="D13" s="272" t="s">
        <v>27</v>
      </c>
    </row>
    <row r="14" spans="1:9" ht="75" customHeight="1">
      <c r="A14" s="270" t="s">
        <v>64</v>
      </c>
      <c r="B14" s="274" t="s">
        <v>65</v>
      </c>
      <c r="C14" s="271" t="s">
        <v>2</v>
      </c>
      <c r="D14" s="272" t="s">
        <v>27</v>
      </c>
    </row>
    <row r="15" spans="1:9" ht="31.5">
      <c r="A15" s="270" t="s">
        <v>66</v>
      </c>
      <c r="B15" s="274" t="s">
        <v>67</v>
      </c>
      <c r="C15" s="271" t="s">
        <v>2</v>
      </c>
    </row>
    <row r="16" spans="1:9" ht="30.75" customHeight="1">
      <c r="A16" s="270" t="s">
        <v>68</v>
      </c>
      <c r="B16" s="274" t="s">
        <v>69</v>
      </c>
      <c r="C16" s="271" t="s">
        <v>2</v>
      </c>
    </row>
  </sheetData>
  <mergeCells count="1">
    <mergeCell ref="A1:D1"/>
  </mergeCells>
  <printOptions gridLines="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dimension ref="A1:G17"/>
  <sheetViews>
    <sheetView workbookViewId="0">
      <selection activeCell="N24" sqref="N24"/>
    </sheetView>
  </sheetViews>
  <sheetFormatPr defaultColWidth="9.140625" defaultRowHeight="15"/>
  <cols>
    <col min="1" max="1" width="3.85546875" style="234" customWidth="1"/>
    <col min="2" max="2" width="35" style="234" customWidth="1"/>
    <col min="3" max="3" width="2.28515625" style="234" customWidth="1"/>
    <col min="4" max="4" width="45.42578125" style="234" customWidth="1"/>
    <col min="5" max="16384" width="9.140625" style="234"/>
  </cols>
  <sheetData>
    <row r="1" spans="1:7" ht="25.5" customHeight="1">
      <c r="A1" s="698" t="s">
        <v>70</v>
      </c>
      <c r="B1" s="698"/>
      <c r="C1" s="698"/>
      <c r="D1" s="698"/>
    </row>
    <row r="2" spans="1:7" ht="15.75">
      <c r="A2" s="258" t="s">
        <v>71</v>
      </c>
      <c r="B2" s="259" t="s">
        <v>72</v>
      </c>
      <c r="C2" s="260"/>
      <c r="D2" s="260"/>
    </row>
    <row r="3" spans="1:7" ht="75" customHeight="1">
      <c r="A3" s="260" t="s">
        <v>47</v>
      </c>
      <c r="B3" s="261" t="s">
        <v>73</v>
      </c>
      <c r="C3" s="260" t="s">
        <v>2</v>
      </c>
      <c r="D3" s="262" t="s">
        <v>3</v>
      </c>
    </row>
    <row r="4" spans="1:7" ht="31.5">
      <c r="A4" s="260" t="s">
        <v>49</v>
      </c>
      <c r="B4" s="261" t="s">
        <v>74</v>
      </c>
      <c r="C4" s="260" t="s">
        <v>2</v>
      </c>
      <c r="D4" s="263" t="s">
        <v>75</v>
      </c>
    </row>
    <row r="5" spans="1:7" ht="20.25" customHeight="1">
      <c r="A5" s="260" t="s">
        <v>51</v>
      </c>
      <c r="B5" s="261" t="s">
        <v>76</v>
      </c>
      <c r="C5" s="260" t="s">
        <v>2</v>
      </c>
      <c r="D5" s="263" t="str">
        <f>Absrtact!G36</f>
        <v>2399.26  Lakh</v>
      </c>
    </row>
    <row r="6" spans="1:7" ht="31.5">
      <c r="A6" s="260" t="s">
        <v>56</v>
      </c>
      <c r="B6" s="261" t="s">
        <v>77</v>
      </c>
      <c r="C6" s="260" t="s">
        <v>2</v>
      </c>
      <c r="D6" s="264" t="s">
        <v>78</v>
      </c>
    </row>
    <row r="7" spans="1:7" ht="63">
      <c r="A7" s="260" t="s">
        <v>60</v>
      </c>
      <c r="B7" s="261" t="s">
        <v>79</v>
      </c>
      <c r="C7" s="260" t="s">
        <v>2</v>
      </c>
      <c r="D7" s="263" t="s">
        <v>80</v>
      </c>
    </row>
    <row r="8" spans="1:7" ht="78.75">
      <c r="A8" s="260" t="s">
        <v>62</v>
      </c>
      <c r="B8" s="261" t="s">
        <v>81</v>
      </c>
      <c r="C8" s="260" t="s">
        <v>2</v>
      </c>
      <c r="D8" s="265"/>
    </row>
    <row r="9" spans="1:7" ht="78.75">
      <c r="A9" s="260" t="s">
        <v>64</v>
      </c>
      <c r="B9" s="261" t="s">
        <v>82</v>
      </c>
      <c r="C9" s="260" t="s">
        <v>2</v>
      </c>
      <c r="D9" s="266"/>
      <c r="G9" s="3"/>
    </row>
    <row r="10" spans="1:7" ht="31.5">
      <c r="A10" s="260" t="s">
        <v>66</v>
      </c>
      <c r="B10" s="261" t="s">
        <v>83</v>
      </c>
      <c r="C10" s="260" t="s">
        <v>2</v>
      </c>
      <c r="D10" s="266" t="s">
        <v>84</v>
      </c>
      <c r="G10" s="267"/>
    </row>
    <row r="11" spans="1:7" ht="15.75">
      <c r="A11" s="260" t="s">
        <v>68</v>
      </c>
      <c r="B11" s="261" t="s">
        <v>85</v>
      </c>
      <c r="C11" s="260" t="s">
        <v>2</v>
      </c>
      <c r="D11" s="291" t="s">
        <v>86</v>
      </c>
    </row>
    <row r="12" spans="1:7" ht="31.5">
      <c r="A12" s="260" t="s">
        <v>87</v>
      </c>
      <c r="B12" s="261" t="s">
        <v>88</v>
      </c>
      <c r="C12" s="260" t="s">
        <v>2</v>
      </c>
      <c r="D12" s="291" t="s">
        <v>86</v>
      </c>
    </row>
    <row r="13" spans="1:7" ht="47.25">
      <c r="A13" s="260" t="s">
        <v>89</v>
      </c>
      <c r="B13" s="261" t="s">
        <v>90</v>
      </c>
      <c r="C13" s="260" t="s">
        <v>2</v>
      </c>
      <c r="D13" s="266" t="s">
        <v>91</v>
      </c>
    </row>
    <row r="14" spans="1:7" ht="47.25">
      <c r="A14" s="260" t="s">
        <v>92</v>
      </c>
      <c r="B14" s="261" t="s">
        <v>93</v>
      </c>
      <c r="C14" s="260" t="s">
        <v>2</v>
      </c>
      <c r="D14" s="268"/>
    </row>
    <row r="15" spans="1:7" ht="15.75">
      <c r="A15" s="258" t="s">
        <v>94</v>
      </c>
      <c r="B15" s="259" t="s">
        <v>95</v>
      </c>
      <c r="C15" s="260"/>
      <c r="D15" s="268"/>
    </row>
    <row r="16" spans="1:7" ht="47.25">
      <c r="A16" s="260" t="s">
        <v>47</v>
      </c>
      <c r="B16" s="261" t="s">
        <v>96</v>
      </c>
      <c r="C16" s="260" t="s">
        <v>2</v>
      </c>
      <c r="D16" s="269" t="s">
        <v>27</v>
      </c>
    </row>
    <row r="17" spans="1:4" ht="31.5">
      <c r="A17" s="260" t="s">
        <v>49</v>
      </c>
      <c r="B17" s="261" t="s">
        <v>97</v>
      </c>
      <c r="C17" s="260" t="s">
        <v>2</v>
      </c>
      <c r="D17" s="266" t="s">
        <v>27</v>
      </c>
    </row>
  </sheetData>
  <mergeCells count="1">
    <mergeCell ref="A1:D1"/>
  </mergeCells>
  <printOptions gridLines="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1:H286"/>
  <sheetViews>
    <sheetView workbookViewId="0">
      <selection activeCell="S16" sqref="S16"/>
    </sheetView>
  </sheetViews>
  <sheetFormatPr defaultRowHeight="15.75"/>
  <cols>
    <col min="1" max="5" width="9.140625" style="4"/>
    <col min="6" max="6" width="9.42578125" style="4" customWidth="1"/>
    <col min="7" max="7" width="9.28515625" style="4" customWidth="1"/>
    <col min="8" max="8" width="12.7109375" style="4" customWidth="1"/>
    <col min="9" max="16384" width="9.140625" style="4"/>
  </cols>
  <sheetData>
    <row r="1" spans="1:8">
      <c r="B1" s="613" t="s">
        <v>912</v>
      </c>
      <c r="C1" s="613"/>
      <c r="D1" s="613"/>
      <c r="E1" s="613"/>
      <c r="F1" s="613"/>
      <c r="G1" s="613"/>
    </row>
    <row r="3" spans="1:8">
      <c r="B3" s="230" t="s">
        <v>913</v>
      </c>
      <c r="C3" s="230" t="s">
        <v>914</v>
      </c>
      <c r="D3" s="230" t="s">
        <v>915</v>
      </c>
      <c r="E3" s="230" t="s">
        <v>916</v>
      </c>
      <c r="F3" s="230" t="s">
        <v>917</v>
      </c>
      <c r="G3" s="230" t="s">
        <v>918</v>
      </c>
      <c r="H3" s="230" t="s">
        <v>238</v>
      </c>
    </row>
    <row r="5" spans="1:8" ht="47.25">
      <c r="B5" s="472">
        <v>1.92</v>
      </c>
      <c r="C5" s="472"/>
      <c r="D5" s="472"/>
      <c r="E5" s="472">
        <f>F5+B5</f>
        <v>3.59</v>
      </c>
      <c r="F5" s="472">
        <v>1.67</v>
      </c>
      <c r="H5" s="485" t="s">
        <v>919</v>
      </c>
    </row>
    <row r="6" spans="1:8">
      <c r="A6" s="4">
        <v>3300</v>
      </c>
      <c r="C6" s="475">
        <v>2.65</v>
      </c>
      <c r="F6" s="4">
        <f>$E$5-C6</f>
        <v>0.94</v>
      </c>
      <c r="G6" s="4">
        <v>0</v>
      </c>
    </row>
    <row r="7" spans="1:8">
      <c r="A7" s="4">
        <v>3300</v>
      </c>
      <c r="C7" s="475">
        <v>2.36</v>
      </c>
      <c r="F7" s="4">
        <f t="shared" ref="F7:F12" si="0">$E$5-C7</f>
        <v>1.23</v>
      </c>
      <c r="G7" s="4">
        <v>-3</v>
      </c>
    </row>
    <row r="8" spans="1:8">
      <c r="A8" s="4">
        <v>3300</v>
      </c>
      <c r="C8" s="475">
        <v>1.66</v>
      </c>
      <c r="F8" s="4">
        <f t="shared" si="0"/>
        <v>1.93</v>
      </c>
      <c r="G8" s="4">
        <v>-6</v>
      </c>
    </row>
    <row r="9" spans="1:8">
      <c r="A9" s="4">
        <v>3300</v>
      </c>
      <c r="C9" s="475">
        <v>1.38</v>
      </c>
      <c r="F9" s="4">
        <f t="shared" si="0"/>
        <v>2.21</v>
      </c>
      <c r="G9" s="4">
        <v>-9</v>
      </c>
    </row>
    <row r="10" spans="1:8">
      <c r="A10" s="4">
        <v>3300</v>
      </c>
      <c r="C10" s="475">
        <v>2.4</v>
      </c>
      <c r="F10" s="4">
        <f t="shared" si="0"/>
        <v>1.19</v>
      </c>
      <c r="G10" s="4">
        <v>3</v>
      </c>
    </row>
    <row r="11" spans="1:8">
      <c r="A11" s="4">
        <v>3300</v>
      </c>
      <c r="C11" s="475">
        <v>1.52</v>
      </c>
      <c r="F11" s="4">
        <f t="shared" si="0"/>
        <v>2.0699999999999998</v>
      </c>
      <c r="G11" s="4">
        <v>6</v>
      </c>
    </row>
    <row r="12" spans="1:8">
      <c r="A12" s="4">
        <v>3300</v>
      </c>
      <c r="C12" s="475">
        <v>1.4</v>
      </c>
      <c r="F12" s="4">
        <f t="shared" si="0"/>
        <v>2.19</v>
      </c>
      <c r="G12" s="4">
        <v>9</v>
      </c>
    </row>
    <row r="14" spans="1:8">
      <c r="B14" s="472">
        <v>1.1599999999999999</v>
      </c>
      <c r="C14" s="472"/>
      <c r="D14" s="472">
        <v>1.21</v>
      </c>
      <c r="E14" s="472">
        <f>F14+B14</f>
        <v>3.54</v>
      </c>
      <c r="F14" s="472">
        <f>E5-D14</f>
        <v>2.38</v>
      </c>
      <c r="G14" s="5"/>
      <c r="H14" s="5" t="s">
        <v>703</v>
      </c>
    </row>
    <row r="16" spans="1:8">
      <c r="A16" s="4">
        <v>3400</v>
      </c>
      <c r="C16" s="4">
        <v>2.5499999999999998</v>
      </c>
      <c r="F16" s="4">
        <f>$E$14-C16</f>
        <v>0.99000000000000021</v>
      </c>
      <c r="G16" s="4">
        <v>0</v>
      </c>
    </row>
    <row r="17" spans="1:8">
      <c r="A17" s="4">
        <v>3400</v>
      </c>
      <c r="C17" s="4">
        <v>2.44</v>
      </c>
      <c r="F17" s="4">
        <f t="shared" ref="F17:F22" si="1">$E$14-C17</f>
        <v>1.1000000000000001</v>
      </c>
      <c r="G17" s="4">
        <v>-3</v>
      </c>
    </row>
    <row r="18" spans="1:8">
      <c r="A18" s="4">
        <v>3400</v>
      </c>
      <c r="C18" s="4">
        <v>1.55</v>
      </c>
      <c r="F18" s="4">
        <f t="shared" si="1"/>
        <v>1.99</v>
      </c>
      <c r="G18" s="4">
        <v>-6</v>
      </c>
    </row>
    <row r="19" spans="1:8">
      <c r="A19" s="4">
        <v>3400</v>
      </c>
      <c r="C19" s="4">
        <v>1.39</v>
      </c>
      <c r="F19" s="4">
        <f t="shared" si="1"/>
        <v>2.1500000000000004</v>
      </c>
      <c r="G19" s="4">
        <v>-9</v>
      </c>
    </row>
    <row r="20" spans="1:8">
      <c r="A20" s="4">
        <v>3400</v>
      </c>
      <c r="C20" s="4">
        <v>2.42</v>
      </c>
      <c r="F20" s="4">
        <f t="shared" si="1"/>
        <v>1.1200000000000001</v>
      </c>
      <c r="G20" s="4">
        <v>3</v>
      </c>
    </row>
    <row r="21" spans="1:8">
      <c r="A21" s="4">
        <v>3400</v>
      </c>
      <c r="C21" s="4">
        <v>2.35</v>
      </c>
      <c r="F21" s="4">
        <f t="shared" si="1"/>
        <v>1.19</v>
      </c>
      <c r="G21" s="4">
        <v>6</v>
      </c>
    </row>
    <row r="22" spans="1:8">
      <c r="A22" s="4">
        <v>3400</v>
      </c>
      <c r="C22" s="4">
        <v>2.36</v>
      </c>
      <c r="F22" s="4">
        <f t="shared" si="1"/>
        <v>1.1800000000000002</v>
      </c>
      <c r="G22" s="4">
        <v>9</v>
      </c>
    </row>
    <row r="24" spans="1:8">
      <c r="B24" s="473">
        <v>1.0900000000000001</v>
      </c>
      <c r="C24" s="473"/>
      <c r="D24" s="473">
        <v>1.35</v>
      </c>
      <c r="E24" s="473">
        <f>F24+B24</f>
        <v>3.2800000000000002</v>
      </c>
      <c r="F24" s="473">
        <f>E14-D24</f>
        <v>2.19</v>
      </c>
      <c r="G24" s="473"/>
      <c r="H24" s="473" t="s">
        <v>703</v>
      </c>
    </row>
    <row r="26" spans="1:8">
      <c r="A26" s="4">
        <v>3500</v>
      </c>
      <c r="C26" s="4">
        <v>2.0499999999999998</v>
      </c>
      <c r="F26" s="4">
        <f>$E$24-C26</f>
        <v>1.2300000000000004</v>
      </c>
      <c r="G26" s="4">
        <v>0</v>
      </c>
    </row>
    <row r="27" spans="1:8">
      <c r="A27" s="4">
        <v>3500</v>
      </c>
      <c r="C27" s="4">
        <v>2.12</v>
      </c>
      <c r="F27" s="4">
        <f t="shared" ref="F27:F40" si="2">$E$24-C27</f>
        <v>1.1600000000000001</v>
      </c>
      <c r="G27" s="4">
        <v>-3</v>
      </c>
    </row>
    <row r="28" spans="1:8">
      <c r="A28" s="4">
        <v>3500</v>
      </c>
      <c r="C28" s="4">
        <v>1.54</v>
      </c>
      <c r="F28" s="4">
        <f t="shared" si="2"/>
        <v>1.7400000000000002</v>
      </c>
      <c r="G28" s="4">
        <v>-6</v>
      </c>
    </row>
    <row r="29" spans="1:8">
      <c r="A29" s="4">
        <v>3500</v>
      </c>
      <c r="C29" s="4">
        <v>1.4</v>
      </c>
      <c r="F29" s="4">
        <f t="shared" si="2"/>
        <v>1.8800000000000003</v>
      </c>
      <c r="G29" s="4">
        <v>-9</v>
      </c>
    </row>
    <row r="30" spans="1:8">
      <c r="A30" s="4">
        <v>3500</v>
      </c>
      <c r="C30" s="4">
        <v>2.04</v>
      </c>
      <c r="F30" s="4">
        <f t="shared" si="2"/>
        <v>1.2400000000000002</v>
      </c>
      <c r="G30" s="4">
        <v>3</v>
      </c>
    </row>
    <row r="31" spans="1:8">
      <c r="A31" s="4">
        <v>3500</v>
      </c>
      <c r="C31" s="4">
        <v>2.11</v>
      </c>
      <c r="F31" s="4">
        <f t="shared" si="2"/>
        <v>1.1700000000000004</v>
      </c>
      <c r="G31" s="4">
        <v>6</v>
      </c>
    </row>
    <row r="32" spans="1:8">
      <c r="A32" s="4">
        <v>3500</v>
      </c>
      <c r="C32" s="4">
        <v>2.12</v>
      </c>
      <c r="F32" s="4">
        <f t="shared" si="2"/>
        <v>1.1600000000000001</v>
      </c>
      <c r="G32" s="4">
        <v>9</v>
      </c>
    </row>
    <row r="34" spans="1:8">
      <c r="A34" s="4">
        <v>3600</v>
      </c>
      <c r="C34" s="4">
        <v>2.06</v>
      </c>
      <c r="F34" s="4">
        <f t="shared" si="2"/>
        <v>1.2200000000000002</v>
      </c>
      <c r="G34" s="4">
        <v>0</v>
      </c>
    </row>
    <row r="35" spans="1:8">
      <c r="A35" s="4">
        <v>3600</v>
      </c>
      <c r="C35" s="4">
        <v>1.91</v>
      </c>
      <c r="F35" s="4">
        <f t="shared" si="2"/>
        <v>1.3700000000000003</v>
      </c>
      <c r="G35" s="4">
        <v>-3</v>
      </c>
    </row>
    <row r="36" spans="1:8">
      <c r="A36" s="4">
        <v>3600</v>
      </c>
      <c r="C36" s="4">
        <v>1.37</v>
      </c>
      <c r="F36" s="4">
        <f t="shared" si="2"/>
        <v>1.9100000000000001</v>
      </c>
      <c r="G36" s="4">
        <v>-6</v>
      </c>
    </row>
    <row r="37" spans="1:8">
      <c r="A37" s="4">
        <v>3600</v>
      </c>
      <c r="C37" s="4">
        <v>1.41</v>
      </c>
      <c r="F37" s="4">
        <f t="shared" si="2"/>
        <v>1.8700000000000003</v>
      </c>
      <c r="G37" s="4">
        <v>-9</v>
      </c>
    </row>
    <row r="38" spans="1:8">
      <c r="A38" s="4">
        <v>3600</v>
      </c>
      <c r="C38" s="4">
        <v>2.09</v>
      </c>
      <c r="F38" s="4">
        <f t="shared" si="2"/>
        <v>1.1900000000000004</v>
      </c>
      <c r="G38" s="4">
        <v>3</v>
      </c>
    </row>
    <row r="39" spans="1:8">
      <c r="A39" s="4">
        <v>3600</v>
      </c>
      <c r="C39" s="4">
        <v>2.02</v>
      </c>
      <c r="F39" s="4">
        <f t="shared" si="2"/>
        <v>1.2600000000000002</v>
      </c>
      <c r="G39" s="4">
        <v>6</v>
      </c>
    </row>
    <row r="40" spans="1:8">
      <c r="A40" s="4">
        <v>3600</v>
      </c>
      <c r="C40" s="4">
        <v>2.06</v>
      </c>
      <c r="F40" s="4">
        <f t="shared" si="2"/>
        <v>1.2200000000000002</v>
      </c>
      <c r="G40" s="4">
        <v>9</v>
      </c>
    </row>
    <row r="42" spans="1:8">
      <c r="B42" s="472">
        <v>1.41</v>
      </c>
      <c r="C42" s="472"/>
      <c r="D42" s="472">
        <v>2.0099999999999998</v>
      </c>
      <c r="E42" s="472">
        <f>F42+B42</f>
        <v>2.6800000000000006</v>
      </c>
      <c r="F42" s="472">
        <f>E24-D42</f>
        <v>1.2700000000000005</v>
      </c>
      <c r="G42" s="472"/>
      <c r="H42" s="472" t="s">
        <v>703</v>
      </c>
    </row>
    <row r="44" spans="1:8">
      <c r="A44" s="4">
        <v>3700</v>
      </c>
      <c r="C44" s="4">
        <v>1.25</v>
      </c>
      <c r="F44" s="4">
        <f>$E$42-C44</f>
        <v>1.4300000000000006</v>
      </c>
      <c r="G44" s="4">
        <v>0</v>
      </c>
    </row>
    <row r="45" spans="1:8">
      <c r="A45" s="4">
        <v>3700</v>
      </c>
      <c r="C45" s="4">
        <v>1.23</v>
      </c>
      <c r="F45" s="4">
        <f t="shared" ref="F45:F50" si="3">$E$42-C45</f>
        <v>1.4500000000000006</v>
      </c>
      <c r="G45" s="4">
        <v>-3</v>
      </c>
    </row>
    <row r="46" spans="1:8">
      <c r="A46" s="4">
        <v>3700</v>
      </c>
      <c r="C46" s="4">
        <v>1.23</v>
      </c>
      <c r="F46" s="4">
        <f t="shared" si="3"/>
        <v>1.4500000000000006</v>
      </c>
      <c r="G46" s="4">
        <v>-6</v>
      </c>
    </row>
    <row r="47" spans="1:8">
      <c r="A47" s="4">
        <v>3700</v>
      </c>
      <c r="C47" s="4">
        <v>1.25</v>
      </c>
      <c r="F47" s="4">
        <f t="shared" si="3"/>
        <v>1.4300000000000006</v>
      </c>
      <c r="G47" s="4">
        <v>-9</v>
      </c>
    </row>
    <row r="48" spans="1:8">
      <c r="A48" s="4">
        <v>3700</v>
      </c>
      <c r="C48" s="4">
        <v>1.3</v>
      </c>
      <c r="F48" s="4">
        <f t="shared" si="3"/>
        <v>1.3800000000000006</v>
      </c>
      <c r="G48" s="4">
        <v>3</v>
      </c>
    </row>
    <row r="49" spans="1:8">
      <c r="A49" s="4">
        <v>3700</v>
      </c>
      <c r="C49" s="4">
        <v>1.29</v>
      </c>
      <c r="F49" s="4">
        <f t="shared" si="3"/>
        <v>1.3900000000000006</v>
      </c>
      <c r="G49" s="4">
        <v>6</v>
      </c>
    </row>
    <row r="50" spans="1:8">
      <c r="A50" s="4">
        <v>3700</v>
      </c>
      <c r="C50" s="4">
        <v>1.28</v>
      </c>
      <c r="F50" s="4">
        <f t="shared" si="3"/>
        <v>1.4000000000000006</v>
      </c>
      <c r="G50" s="4">
        <v>9</v>
      </c>
    </row>
    <row r="53" spans="1:8">
      <c r="B53" s="472">
        <v>1.78</v>
      </c>
      <c r="C53" s="472"/>
      <c r="D53" s="472">
        <v>1.48</v>
      </c>
      <c r="E53" s="472">
        <f>F53+B53</f>
        <v>2.9800000000000004</v>
      </c>
      <c r="F53" s="472">
        <f>E42-D53</f>
        <v>1.2000000000000006</v>
      </c>
      <c r="H53" s="5" t="s">
        <v>703</v>
      </c>
    </row>
    <row r="54" spans="1:8">
      <c r="B54" s="472">
        <v>1.33</v>
      </c>
      <c r="C54" s="472"/>
      <c r="D54" s="472">
        <v>0.93</v>
      </c>
      <c r="E54" s="472">
        <f>F54+B54</f>
        <v>3.3800000000000003</v>
      </c>
      <c r="F54" s="472">
        <f>E53-D54</f>
        <v>2.0500000000000003</v>
      </c>
      <c r="H54" s="5" t="s">
        <v>703</v>
      </c>
    </row>
    <row r="56" spans="1:8">
      <c r="A56" s="4">
        <v>3800</v>
      </c>
      <c r="C56" s="4">
        <v>1.34</v>
      </c>
      <c r="F56" s="4">
        <f>$E$54-C56</f>
        <v>2.04</v>
      </c>
      <c r="G56" s="4">
        <v>0</v>
      </c>
    </row>
    <row r="57" spans="1:8">
      <c r="A57" s="4">
        <v>3800</v>
      </c>
      <c r="C57" s="4">
        <v>1.31</v>
      </c>
      <c r="F57" s="4">
        <f t="shared" ref="F57:F62" si="4">$E$54-C57</f>
        <v>2.0700000000000003</v>
      </c>
      <c r="G57" s="4">
        <v>-3</v>
      </c>
    </row>
    <row r="58" spans="1:8">
      <c r="A58" s="4">
        <v>3800</v>
      </c>
      <c r="C58" s="4">
        <v>1.33</v>
      </c>
      <c r="F58" s="4">
        <f t="shared" si="4"/>
        <v>2.0500000000000003</v>
      </c>
      <c r="G58" s="4">
        <v>-6</v>
      </c>
    </row>
    <row r="59" spans="1:8">
      <c r="A59" s="4">
        <v>3800</v>
      </c>
      <c r="C59" s="4">
        <v>1.35</v>
      </c>
      <c r="F59" s="4">
        <f t="shared" si="4"/>
        <v>2.0300000000000002</v>
      </c>
      <c r="G59" s="4">
        <v>-9</v>
      </c>
    </row>
    <row r="60" spans="1:8">
      <c r="A60" s="4">
        <v>3800</v>
      </c>
      <c r="C60" s="4">
        <v>1.35</v>
      </c>
      <c r="F60" s="4">
        <f t="shared" si="4"/>
        <v>2.0300000000000002</v>
      </c>
      <c r="G60" s="4">
        <v>3</v>
      </c>
    </row>
    <row r="61" spans="1:8">
      <c r="A61" s="4">
        <v>3800</v>
      </c>
      <c r="C61" s="4">
        <v>1.36</v>
      </c>
      <c r="F61" s="4">
        <f t="shared" si="4"/>
        <v>2.0200000000000005</v>
      </c>
      <c r="G61" s="4">
        <v>6</v>
      </c>
    </row>
    <row r="62" spans="1:8">
      <c r="A62" s="4">
        <v>3800</v>
      </c>
      <c r="C62" s="4">
        <v>1.36</v>
      </c>
      <c r="F62" s="4">
        <f t="shared" si="4"/>
        <v>2.0200000000000005</v>
      </c>
      <c r="G62" s="4">
        <v>9</v>
      </c>
    </row>
    <row r="64" spans="1:8">
      <c r="B64" s="472">
        <v>0.92</v>
      </c>
      <c r="C64" s="472"/>
      <c r="D64" s="472">
        <v>0.78</v>
      </c>
      <c r="E64" s="472">
        <f>F64+B64</f>
        <v>3.5200000000000005</v>
      </c>
      <c r="F64" s="472">
        <f>E54-D64</f>
        <v>2.6000000000000005</v>
      </c>
      <c r="H64" s="5" t="s">
        <v>703</v>
      </c>
    </row>
    <row r="65" spans="1:8">
      <c r="B65" s="472">
        <v>1.27</v>
      </c>
      <c r="C65" s="472"/>
      <c r="D65" s="472">
        <v>1.71</v>
      </c>
      <c r="E65" s="472">
        <f>F65+B65</f>
        <v>3.0800000000000005</v>
      </c>
      <c r="F65" s="472">
        <f>E64-D65</f>
        <v>1.8100000000000005</v>
      </c>
      <c r="H65" s="5" t="s">
        <v>703</v>
      </c>
    </row>
    <row r="67" spans="1:8">
      <c r="A67" s="4">
        <v>3900</v>
      </c>
      <c r="C67" s="4">
        <v>1.31</v>
      </c>
      <c r="F67" s="4">
        <f>$E$65-C67</f>
        <v>1.7700000000000005</v>
      </c>
      <c r="G67" s="4">
        <v>0</v>
      </c>
    </row>
    <row r="68" spans="1:8">
      <c r="A68" s="4">
        <v>3900</v>
      </c>
      <c r="C68" s="4">
        <v>1.28</v>
      </c>
      <c r="F68" s="4">
        <f t="shared" ref="F68:F72" si="5">$E$65-C68</f>
        <v>1.8000000000000005</v>
      </c>
      <c r="G68" s="4">
        <v>-3</v>
      </c>
    </row>
    <row r="69" spans="1:8">
      <c r="A69" s="4">
        <v>3900</v>
      </c>
      <c r="C69" s="4">
        <v>1.26</v>
      </c>
      <c r="F69" s="4">
        <f t="shared" si="5"/>
        <v>1.8200000000000005</v>
      </c>
      <c r="G69" s="4">
        <v>-6</v>
      </c>
    </row>
    <row r="70" spans="1:8">
      <c r="A70" s="4">
        <v>3900</v>
      </c>
      <c r="C70" s="4">
        <v>1.29</v>
      </c>
      <c r="F70" s="4">
        <f t="shared" si="5"/>
        <v>1.7900000000000005</v>
      </c>
      <c r="G70" s="4">
        <v>-9</v>
      </c>
    </row>
    <row r="71" spans="1:8">
      <c r="A71" s="4">
        <v>3900</v>
      </c>
      <c r="C71" s="4">
        <v>1.32</v>
      </c>
      <c r="F71" s="4">
        <f t="shared" si="5"/>
        <v>1.7600000000000005</v>
      </c>
      <c r="G71" s="4">
        <v>3</v>
      </c>
    </row>
    <row r="72" spans="1:8">
      <c r="A72" s="4">
        <v>3900</v>
      </c>
      <c r="C72" s="4">
        <v>1.3</v>
      </c>
      <c r="F72" s="4">
        <f t="shared" si="5"/>
        <v>1.7800000000000005</v>
      </c>
      <c r="G72" s="4">
        <v>6</v>
      </c>
    </row>
    <row r="73" spans="1:8">
      <c r="G73" s="4">
        <v>9</v>
      </c>
    </row>
    <row r="74" spans="1:8">
      <c r="B74" s="486">
        <v>1.73</v>
      </c>
      <c r="C74" s="486"/>
      <c r="D74" s="486">
        <v>1.27</v>
      </c>
      <c r="E74" s="486">
        <f>F74+B74</f>
        <v>3.5400000000000005</v>
      </c>
      <c r="F74" s="486">
        <f>E65-D74</f>
        <v>1.8100000000000005</v>
      </c>
      <c r="G74" s="486"/>
      <c r="H74" s="486" t="s">
        <v>703</v>
      </c>
    </row>
    <row r="76" spans="1:8">
      <c r="A76" s="4">
        <v>4000</v>
      </c>
      <c r="C76" s="4">
        <v>1.32</v>
      </c>
      <c r="F76" s="4">
        <f>$E$74-C76</f>
        <v>2.2200000000000006</v>
      </c>
      <c r="G76" s="4">
        <v>0</v>
      </c>
    </row>
    <row r="77" spans="1:8">
      <c r="A77" s="4">
        <v>4000</v>
      </c>
      <c r="C77" s="4">
        <v>1.21</v>
      </c>
      <c r="F77" s="4">
        <f t="shared" ref="F77:F82" si="6">$E$74-C77</f>
        <v>2.3300000000000005</v>
      </c>
      <c r="G77" s="4">
        <v>-3</v>
      </c>
    </row>
    <row r="78" spans="1:8">
      <c r="A78" s="4">
        <v>4000</v>
      </c>
      <c r="C78" s="4">
        <v>1.23</v>
      </c>
      <c r="F78" s="4">
        <f t="shared" si="6"/>
        <v>2.3100000000000005</v>
      </c>
      <c r="G78" s="4">
        <v>-6</v>
      </c>
    </row>
    <row r="79" spans="1:8">
      <c r="A79" s="4">
        <v>4000</v>
      </c>
      <c r="C79" s="4">
        <v>1.31</v>
      </c>
      <c r="F79" s="4">
        <f t="shared" si="6"/>
        <v>2.2300000000000004</v>
      </c>
      <c r="G79" s="4">
        <v>-9</v>
      </c>
    </row>
    <row r="80" spans="1:8">
      <c r="A80" s="4">
        <v>4000</v>
      </c>
      <c r="C80" s="4">
        <v>1.23</v>
      </c>
      <c r="F80" s="4">
        <f t="shared" si="6"/>
        <v>2.3100000000000005</v>
      </c>
      <c r="G80" s="4">
        <v>3</v>
      </c>
    </row>
    <row r="81" spans="1:8">
      <c r="A81" s="4">
        <v>4000</v>
      </c>
      <c r="C81" s="4">
        <v>1.21</v>
      </c>
      <c r="F81" s="4">
        <f t="shared" si="6"/>
        <v>2.3300000000000005</v>
      </c>
      <c r="G81" s="4">
        <v>6</v>
      </c>
    </row>
    <row r="82" spans="1:8">
      <c r="A82" s="4">
        <v>4000</v>
      </c>
      <c r="C82" s="4">
        <v>1.22</v>
      </c>
      <c r="F82" s="4">
        <f t="shared" si="6"/>
        <v>2.3200000000000003</v>
      </c>
      <c r="G82" s="4">
        <v>9</v>
      </c>
    </row>
    <row r="85" spans="1:8">
      <c r="B85" s="472">
        <v>1.6</v>
      </c>
      <c r="C85" s="472"/>
      <c r="D85" s="472">
        <v>1.06</v>
      </c>
      <c r="E85" s="472">
        <f>F85+B85</f>
        <v>4.08</v>
      </c>
      <c r="F85" s="472">
        <f>E74-D85</f>
        <v>2.4800000000000004</v>
      </c>
      <c r="G85" s="472"/>
      <c r="H85" s="486" t="s">
        <v>703</v>
      </c>
    </row>
    <row r="86" spans="1:8">
      <c r="B86" s="472">
        <v>1.0900000000000001</v>
      </c>
      <c r="C86" s="472"/>
      <c r="D86" s="472">
        <v>1.1599999999999999</v>
      </c>
      <c r="E86" s="472">
        <f>F86+B86</f>
        <v>4.01</v>
      </c>
      <c r="F86" s="472">
        <f>E85-D86</f>
        <v>2.92</v>
      </c>
      <c r="G86" s="472"/>
      <c r="H86" s="486" t="s">
        <v>703</v>
      </c>
    </row>
    <row r="88" spans="1:8">
      <c r="A88" s="4">
        <v>4100</v>
      </c>
      <c r="C88" s="4">
        <v>1.91</v>
      </c>
      <c r="F88" s="4">
        <f>$E$86-C88</f>
        <v>2.0999999999999996</v>
      </c>
      <c r="G88" s="4">
        <v>0</v>
      </c>
    </row>
    <row r="89" spans="1:8">
      <c r="A89" s="4">
        <v>4100</v>
      </c>
      <c r="C89" s="4">
        <v>1.82</v>
      </c>
      <c r="F89" s="4">
        <f t="shared" ref="F89:F92" si="7">$E$86-C89</f>
        <v>2.1899999999999995</v>
      </c>
      <c r="G89" s="4">
        <v>-3</v>
      </c>
    </row>
    <row r="90" spans="1:8">
      <c r="A90" s="4">
        <v>4100</v>
      </c>
      <c r="C90" s="4">
        <v>1.83</v>
      </c>
      <c r="F90" s="4">
        <f t="shared" si="7"/>
        <v>2.1799999999999997</v>
      </c>
      <c r="G90" s="4">
        <v>-6</v>
      </c>
    </row>
    <row r="91" spans="1:8">
      <c r="A91" s="4">
        <v>4100</v>
      </c>
      <c r="C91" s="4">
        <v>1.79</v>
      </c>
      <c r="F91" s="4">
        <f t="shared" si="7"/>
        <v>2.2199999999999998</v>
      </c>
      <c r="G91" s="4">
        <v>3</v>
      </c>
    </row>
    <row r="92" spans="1:8">
      <c r="A92" s="4">
        <v>4100</v>
      </c>
      <c r="C92" s="4">
        <v>1.81</v>
      </c>
      <c r="F92" s="4">
        <f t="shared" si="7"/>
        <v>2.1999999999999997</v>
      </c>
      <c r="G92" s="4">
        <v>6</v>
      </c>
    </row>
    <row r="95" spans="1:8">
      <c r="B95" s="472">
        <v>1.64</v>
      </c>
      <c r="C95" s="472"/>
      <c r="D95" s="472">
        <v>1.21</v>
      </c>
      <c r="E95" s="472">
        <f>F95+B95</f>
        <v>4.4399999999999995</v>
      </c>
      <c r="F95" s="472">
        <f>E86-D95</f>
        <v>2.8</v>
      </c>
      <c r="G95" s="472"/>
      <c r="H95" s="472" t="s">
        <v>703</v>
      </c>
    </row>
    <row r="97" spans="1:8">
      <c r="A97" s="4">
        <v>4200</v>
      </c>
      <c r="C97" s="4">
        <v>1.84</v>
      </c>
      <c r="F97" s="4">
        <f>$E$95-C97</f>
        <v>2.5999999999999996</v>
      </c>
      <c r="G97" s="4">
        <v>0</v>
      </c>
    </row>
    <row r="98" spans="1:8">
      <c r="A98" s="4">
        <v>4200</v>
      </c>
      <c r="C98" s="4">
        <v>1.84</v>
      </c>
      <c r="F98" s="4">
        <f t="shared" ref="F98:F101" si="8">$E$95-C98</f>
        <v>2.5999999999999996</v>
      </c>
      <c r="G98" s="4">
        <v>-3</v>
      </c>
    </row>
    <row r="99" spans="1:8">
      <c r="A99" s="4">
        <v>4200</v>
      </c>
      <c r="C99" s="4">
        <v>1.83</v>
      </c>
      <c r="F99" s="4">
        <f t="shared" si="8"/>
        <v>2.6099999999999994</v>
      </c>
      <c r="G99" s="4">
        <v>-6</v>
      </c>
    </row>
    <row r="100" spans="1:8">
      <c r="A100" s="4">
        <v>4200</v>
      </c>
      <c r="C100" s="4">
        <v>1.78</v>
      </c>
      <c r="F100" s="4">
        <f t="shared" si="8"/>
        <v>2.6599999999999993</v>
      </c>
      <c r="G100" s="4">
        <v>3</v>
      </c>
    </row>
    <row r="101" spans="1:8">
      <c r="A101" s="4">
        <v>4200</v>
      </c>
      <c r="C101" s="4">
        <v>1.72</v>
      </c>
      <c r="F101" s="4">
        <f t="shared" si="8"/>
        <v>2.7199999999999998</v>
      </c>
      <c r="G101" s="4">
        <v>6</v>
      </c>
    </row>
    <row r="104" spans="1:8">
      <c r="B104" s="472">
        <v>1.68</v>
      </c>
      <c r="C104" s="472"/>
      <c r="D104" s="472">
        <v>2.33</v>
      </c>
      <c r="E104" s="472">
        <f>F104+B104</f>
        <v>3.7899999999999991</v>
      </c>
      <c r="F104" s="472">
        <f>E95-D104</f>
        <v>2.1099999999999994</v>
      </c>
      <c r="G104" s="472"/>
      <c r="H104" s="472" t="s">
        <v>703</v>
      </c>
    </row>
    <row r="106" spans="1:8">
      <c r="A106" s="4">
        <v>4300</v>
      </c>
      <c r="C106" s="4">
        <v>1.55</v>
      </c>
      <c r="F106" s="4">
        <f>$E$104-C106</f>
        <v>2.2399999999999993</v>
      </c>
      <c r="G106" s="4">
        <v>0</v>
      </c>
    </row>
    <row r="107" spans="1:8">
      <c r="A107" s="4">
        <v>4300</v>
      </c>
      <c r="C107" s="4">
        <v>1.55</v>
      </c>
      <c r="F107" s="4">
        <f t="shared" ref="F107:F111" si="9">$E$104-C107</f>
        <v>2.2399999999999993</v>
      </c>
      <c r="G107" s="4">
        <v>-3</v>
      </c>
    </row>
    <row r="108" spans="1:8">
      <c r="A108" s="4">
        <v>4300</v>
      </c>
      <c r="C108" s="4">
        <v>1.62</v>
      </c>
      <c r="F108" s="4">
        <f t="shared" si="9"/>
        <v>2.169999999999999</v>
      </c>
      <c r="G108" s="4">
        <v>-6</v>
      </c>
    </row>
    <row r="109" spans="1:8">
      <c r="A109" s="4">
        <v>4300</v>
      </c>
      <c r="C109" s="4">
        <v>1.66</v>
      </c>
      <c r="F109" s="4">
        <f t="shared" si="9"/>
        <v>2.129999999999999</v>
      </c>
      <c r="G109" s="4">
        <v>3</v>
      </c>
    </row>
    <row r="110" spans="1:8">
      <c r="A110" s="4">
        <v>4300</v>
      </c>
      <c r="C110" s="4">
        <v>1.57</v>
      </c>
      <c r="F110" s="4">
        <f t="shared" si="9"/>
        <v>2.2199999999999989</v>
      </c>
      <c r="G110" s="4">
        <v>6</v>
      </c>
    </row>
    <row r="111" spans="1:8">
      <c r="A111" s="4">
        <v>4300</v>
      </c>
      <c r="C111" s="4">
        <v>1.54</v>
      </c>
      <c r="F111" s="4">
        <f t="shared" si="9"/>
        <v>2.2499999999999991</v>
      </c>
      <c r="G111" s="4">
        <v>9</v>
      </c>
    </row>
    <row r="114" spans="1:8">
      <c r="B114" s="472">
        <v>0.67</v>
      </c>
      <c r="C114" s="472"/>
      <c r="D114" s="472">
        <v>1.24</v>
      </c>
      <c r="E114" s="472">
        <f>F114+B114</f>
        <v>3.2199999999999989</v>
      </c>
      <c r="F114" s="472">
        <f>E104-D114</f>
        <v>2.5499999999999989</v>
      </c>
      <c r="G114" s="472"/>
      <c r="H114" s="472" t="s">
        <v>703</v>
      </c>
    </row>
    <row r="116" spans="1:8">
      <c r="A116" s="4">
        <v>4400</v>
      </c>
      <c r="C116" s="4">
        <v>1.29</v>
      </c>
      <c r="F116" s="4">
        <f>$E$114-C116</f>
        <v>1.9299999999999988</v>
      </c>
      <c r="G116" s="4">
        <v>0</v>
      </c>
    </row>
    <row r="117" spans="1:8">
      <c r="A117" s="4">
        <v>4400</v>
      </c>
      <c r="C117" s="4">
        <v>1.28</v>
      </c>
      <c r="F117" s="4">
        <f t="shared" ref="F117:F120" si="10">$E$114-C117</f>
        <v>1.9399999999999988</v>
      </c>
      <c r="G117" s="4">
        <v>-3</v>
      </c>
    </row>
    <row r="118" spans="1:8">
      <c r="A118" s="4">
        <v>4400</v>
      </c>
      <c r="C118" s="4">
        <v>1.43</v>
      </c>
      <c r="F118" s="4">
        <f t="shared" si="10"/>
        <v>1.7899999999999989</v>
      </c>
      <c r="G118" s="4">
        <v>-6</v>
      </c>
    </row>
    <row r="119" spans="1:8">
      <c r="A119" s="4">
        <v>4400</v>
      </c>
      <c r="C119" s="4">
        <v>1.33</v>
      </c>
      <c r="F119" s="4">
        <f t="shared" si="10"/>
        <v>1.8899999999999988</v>
      </c>
      <c r="G119" s="4">
        <v>3</v>
      </c>
    </row>
    <row r="120" spans="1:8">
      <c r="A120" s="4">
        <v>4400</v>
      </c>
      <c r="C120" s="4">
        <v>1.35</v>
      </c>
      <c r="F120" s="4">
        <f t="shared" si="10"/>
        <v>1.8699999999999988</v>
      </c>
      <c r="G120" s="4">
        <v>6</v>
      </c>
    </row>
    <row r="122" spans="1:8">
      <c r="B122" s="472">
        <v>1.49</v>
      </c>
      <c r="C122" s="472"/>
      <c r="D122" s="472">
        <v>0.77</v>
      </c>
      <c r="E122" s="472">
        <f>F122+B122</f>
        <v>3.9399999999999986</v>
      </c>
      <c r="F122" s="472">
        <f>E114-D122</f>
        <v>2.4499999999999988</v>
      </c>
      <c r="G122" s="472"/>
      <c r="H122" s="472" t="s">
        <v>703</v>
      </c>
    </row>
    <row r="123" spans="1:8">
      <c r="B123" s="472">
        <v>1.34</v>
      </c>
      <c r="C123" s="472"/>
      <c r="D123" s="472">
        <v>1.63</v>
      </c>
      <c r="E123" s="472">
        <f>F123+B123</f>
        <v>3.6499999999999986</v>
      </c>
      <c r="F123" s="472">
        <f>E122-D123</f>
        <v>2.3099999999999987</v>
      </c>
      <c r="G123" s="472"/>
      <c r="H123" s="472" t="s">
        <v>703</v>
      </c>
    </row>
    <row r="125" spans="1:8">
      <c r="A125" s="4">
        <v>4500</v>
      </c>
      <c r="C125" s="4">
        <v>1.3</v>
      </c>
      <c r="F125" s="4">
        <f>$E$123-C125</f>
        <v>2.3499999999999988</v>
      </c>
      <c r="G125" s="4">
        <v>0</v>
      </c>
    </row>
    <row r="126" spans="1:8">
      <c r="A126" s="4">
        <v>4500</v>
      </c>
      <c r="C126" s="4">
        <v>1.32</v>
      </c>
      <c r="F126" s="4">
        <f t="shared" ref="F126:F130" si="11">$E$123-C126</f>
        <v>2.3299999999999983</v>
      </c>
      <c r="G126" s="4">
        <v>-3</v>
      </c>
    </row>
    <row r="127" spans="1:8">
      <c r="A127" s="4">
        <v>4500</v>
      </c>
      <c r="C127" s="4">
        <v>1.35</v>
      </c>
      <c r="F127" s="4">
        <f t="shared" si="11"/>
        <v>2.2999999999999985</v>
      </c>
      <c r="G127" s="4">
        <v>-6</v>
      </c>
    </row>
    <row r="128" spans="1:8">
      <c r="A128" s="4">
        <v>4500</v>
      </c>
      <c r="C128" s="4">
        <v>1.28</v>
      </c>
      <c r="F128" s="4">
        <f t="shared" si="11"/>
        <v>2.3699999999999983</v>
      </c>
      <c r="G128" s="4">
        <v>3</v>
      </c>
    </row>
    <row r="129" spans="1:8">
      <c r="A129" s="4">
        <v>4500</v>
      </c>
      <c r="C129" s="4">
        <v>1.27</v>
      </c>
      <c r="F129" s="4">
        <f t="shared" si="11"/>
        <v>2.3799999999999986</v>
      </c>
      <c r="G129" s="4">
        <v>6</v>
      </c>
    </row>
    <row r="130" spans="1:8">
      <c r="A130" s="4">
        <v>4500</v>
      </c>
      <c r="C130" s="4">
        <v>1.25</v>
      </c>
      <c r="F130" s="4">
        <f t="shared" si="11"/>
        <v>2.3999999999999986</v>
      </c>
      <c r="G130" s="4">
        <v>9</v>
      </c>
    </row>
    <row r="133" spans="1:8">
      <c r="B133" s="472">
        <v>1.34</v>
      </c>
      <c r="C133" s="472"/>
      <c r="D133" s="472">
        <v>1.34</v>
      </c>
      <c r="E133" s="472">
        <f>F133+B133</f>
        <v>3.6499999999999986</v>
      </c>
      <c r="F133" s="472">
        <f>E123-D133</f>
        <v>2.3099999999999987</v>
      </c>
      <c r="G133" s="472"/>
      <c r="H133" s="472" t="s">
        <v>703</v>
      </c>
    </row>
    <row r="134" spans="1:8">
      <c r="B134" s="472">
        <v>1.35</v>
      </c>
      <c r="C134" s="472"/>
      <c r="D134" s="472">
        <v>0.88</v>
      </c>
      <c r="E134" s="472">
        <f t="shared" ref="E134:E137" si="12">F134+B134</f>
        <v>4.1199999999999992</v>
      </c>
      <c r="F134" s="472">
        <f>E133-D134</f>
        <v>2.7699999999999987</v>
      </c>
      <c r="G134" s="472"/>
      <c r="H134" s="472" t="s">
        <v>703</v>
      </c>
    </row>
    <row r="135" spans="1:8">
      <c r="B135" s="472">
        <v>1.47</v>
      </c>
      <c r="C135" s="472"/>
      <c r="D135" s="472">
        <v>2.2400000000000002</v>
      </c>
      <c r="E135" s="472">
        <f t="shared" si="12"/>
        <v>3.3499999999999988</v>
      </c>
      <c r="F135" s="472">
        <f>E134-D135</f>
        <v>1.879999999999999</v>
      </c>
      <c r="G135" s="472"/>
      <c r="H135" s="472" t="s">
        <v>703</v>
      </c>
    </row>
    <row r="136" spans="1:8">
      <c r="B136" s="472">
        <v>1.38</v>
      </c>
      <c r="C136" s="472"/>
      <c r="D136" s="472">
        <v>0.9</v>
      </c>
      <c r="E136" s="472">
        <f t="shared" si="12"/>
        <v>3.8299999999999987</v>
      </c>
      <c r="F136" s="472">
        <f>E135-D136</f>
        <v>2.4499999999999988</v>
      </c>
      <c r="G136" s="472"/>
      <c r="H136" s="472" t="s">
        <v>703</v>
      </c>
    </row>
    <row r="137" spans="1:8">
      <c r="B137" s="472">
        <v>1.83</v>
      </c>
      <c r="C137" s="472"/>
      <c r="D137" s="472">
        <v>2.06</v>
      </c>
      <c r="E137" s="472">
        <f t="shared" si="12"/>
        <v>3.5999999999999988</v>
      </c>
      <c r="F137" s="472">
        <f>E136-D137</f>
        <v>1.7699999999999987</v>
      </c>
      <c r="G137" s="472"/>
      <c r="H137" s="472" t="s">
        <v>703</v>
      </c>
    </row>
    <row r="140" spans="1:8">
      <c r="A140" s="4">
        <v>4600</v>
      </c>
      <c r="C140" s="4">
        <v>1.88</v>
      </c>
      <c r="F140" s="4">
        <f>$E$137-C140</f>
        <v>1.7199999999999989</v>
      </c>
      <c r="G140" s="4">
        <v>0</v>
      </c>
    </row>
    <row r="141" spans="1:8">
      <c r="A141" s="4">
        <v>4600</v>
      </c>
      <c r="C141" s="4">
        <v>1.92</v>
      </c>
      <c r="F141" s="4">
        <f t="shared" ref="F141:F158" si="13">$E$137-C141</f>
        <v>1.6799999999999988</v>
      </c>
      <c r="G141" s="4">
        <v>-3</v>
      </c>
    </row>
    <row r="142" spans="1:8">
      <c r="A142" s="4">
        <v>4600</v>
      </c>
      <c r="C142" s="4">
        <v>1.87</v>
      </c>
      <c r="F142" s="4">
        <f t="shared" si="13"/>
        <v>1.7299999999999986</v>
      </c>
      <c r="G142" s="4">
        <v>-6</v>
      </c>
    </row>
    <row r="143" spans="1:8">
      <c r="A143" s="4">
        <v>4600</v>
      </c>
      <c r="C143" s="4">
        <v>1.83</v>
      </c>
      <c r="F143" s="4">
        <f t="shared" si="13"/>
        <v>1.7699999999999987</v>
      </c>
      <c r="G143" s="4">
        <v>3</v>
      </c>
    </row>
    <row r="144" spans="1:8">
      <c r="A144" s="4">
        <v>4600</v>
      </c>
      <c r="C144" s="4">
        <v>1.84</v>
      </c>
      <c r="F144" s="4">
        <f t="shared" si="13"/>
        <v>1.7599999999999987</v>
      </c>
      <c r="G144" s="4">
        <v>6</v>
      </c>
    </row>
    <row r="147" spans="1:7">
      <c r="A147" s="4">
        <v>4700</v>
      </c>
      <c r="C147" s="4">
        <v>1.64</v>
      </c>
      <c r="F147" s="4">
        <f t="shared" si="13"/>
        <v>1.9599999999999989</v>
      </c>
      <c r="G147" s="4">
        <v>0</v>
      </c>
    </row>
    <row r="148" spans="1:7">
      <c r="A148" s="4">
        <v>4700</v>
      </c>
      <c r="C148" s="4">
        <v>1.62</v>
      </c>
      <c r="F148" s="4">
        <f t="shared" si="13"/>
        <v>1.9799999999999986</v>
      </c>
      <c r="G148" s="4">
        <v>-3</v>
      </c>
    </row>
    <row r="149" spans="1:7">
      <c r="A149" s="4">
        <v>4700</v>
      </c>
      <c r="C149" s="4">
        <v>1.6</v>
      </c>
      <c r="F149" s="4">
        <f t="shared" si="13"/>
        <v>1.9999999999999987</v>
      </c>
      <c r="G149" s="4">
        <v>-6</v>
      </c>
    </row>
    <row r="150" spans="1:7">
      <c r="A150" s="4">
        <v>4700</v>
      </c>
      <c r="C150" s="4">
        <v>1.63</v>
      </c>
      <c r="F150" s="4">
        <f t="shared" si="13"/>
        <v>1.9699999999999989</v>
      </c>
      <c r="G150" s="4">
        <v>3</v>
      </c>
    </row>
    <row r="151" spans="1:7">
      <c r="A151" s="4">
        <v>4700</v>
      </c>
      <c r="C151" s="4">
        <v>1.65</v>
      </c>
      <c r="F151" s="4">
        <f t="shared" si="13"/>
        <v>1.9499999999999988</v>
      </c>
      <c r="G151" s="4">
        <v>6</v>
      </c>
    </row>
    <row r="154" spans="1:7">
      <c r="A154" s="4">
        <v>4800</v>
      </c>
      <c r="C154" s="4">
        <v>1.77</v>
      </c>
      <c r="F154" s="4">
        <f t="shared" si="13"/>
        <v>1.8299999999999987</v>
      </c>
      <c r="G154" s="4">
        <v>0</v>
      </c>
    </row>
    <row r="155" spans="1:7">
      <c r="A155" s="4">
        <v>4800</v>
      </c>
      <c r="C155" s="4">
        <v>1.63</v>
      </c>
      <c r="F155" s="4">
        <f t="shared" si="13"/>
        <v>1.9699999999999989</v>
      </c>
      <c r="G155" s="4">
        <v>-3</v>
      </c>
    </row>
    <row r="156" spans="1:7">
      <c r="A156" s="4">
        <v>4800</v>
      </c>
      <c r="C156" s="4">
        <v>1.64</v>
      </c>
      <c r="F156" s="4">
        <f t="shared" si="13"/>
        <v>1.9599999999999989</v>
      </c>
      <c r="G156" s="4">
        <v>-6</v>
      </c>
    </row>
    <row r="157" spans="1:7">
      <c r="A157" s="4">
        <v>4800</v>
      </c>
      <c r="C157" s="4">
        <v>1.7</v>
      </c>
      <c r="F157" s="4">
        <f t="shared" si="13"/>
        <v>1.8999999999999988</v>
      </c>
      <c r="G157" s="4">
        <v>3</v>
      </c>
    </row>
    <row r="158" spans="1:7">
      <c r="A158" s="4">
        <v>4800</v>
      </c>
      <c r="C158" s="4">
        <v>1.69</v>
      </c>
      <c r="F158" s="4">
        <f t="shared" si="13"/>
        <v>1.9099999999999988</v>
      </c>
      <c r="G158" s="4">
        <v>6</v>
      </c>
    </row>
    <row r="161" spans="1:8">
      <c r="B161" s="472">
        <v>1.49</v>
      </c>
      <c r="C161" s="472"/>
      <c r="D161" s="472">
        <v>1.48</v>
      </c>
      <c r="E161" s="472">
        <f>F161+B161</f>
        <v>3.6099999999999985</v>
      </c>
      <c r="F161" s="472">
        <f>E137-D161</f>
        <v>2.1199999999999988</v>
      </c>
      <c r="G161" s="472"/>
      <c r="H161" s="472" t="s">
        <v>703</v>
      </c>
    </row>
    <row r="163" spans="1:8">
      <c r="A163" s="4">
        <v>4900</v>
      </c>
      <c r="C163" s="4">
        <v>1.37</v>
      </c>
      <c r="F163" s="4">
        <f>$E$161-C163</f>
        <v>2.2399999999999984</v>
      </c>
      <c r="G163" s="4">
        <v>0</v>
      </c>
    </row>
    <row r="164" spans="1:8">
      <c r="A164" s="4">
        <v>4900</v>
      </c>
      <c r="C164" s="4">
        <v>1.33</v>
      </c>
      <c r="F164" s="4">
        <f t="shared" ref="F164:F168" si="14">$E$161-C164</f>
        <v>2.2799999999999985</v>
      </c>
      <c r="G164" s="4">
        <v>-3</v>
      </c>
    </row>
    <row r="165" spans="1:8">
      <c r="A165" s="4">
        <v>4900</v>
      </c>
      <c r="C165" s="4">
        <v>1.3</v>
      </c>
      <c r="F165" s="4">
        <f t="shared" si="14"/>
        <v>2.3099999999999987</v>
      </c>
      <c r="G165" s="4">
        <v>-6</v>
      </c>
    </row>
    <row r="166" spans="1:8">
      <c r="A166" s="4">
        <v>4900</v>
      </c>
      <c r="C166" s="4">
        <v>1.29</v>
      </c>
      <c r="F166" s="4">
        <f t="shared" si="14"/>
        <v>2.3199999999999985</v>
      </c>
      <c r="G166" s="4">
        <v>3</v>
      </c>
    </row>
    <row r="167" spans="1:8">
      <c r="A167" s="4">
        <v>4900</v>
      </c>
      <c r="C167" s="4">
        <v>1.33</v>
      </c>
      <c r="F167" s="4">
        <f t="shared" si="14"/>
        <v>2.2799999999999985</v>
      </c>
      <c r="G167" s="4">
        <v>6</v>
      </c>
    </row>
    <row r="168" spans="1:8">
      <c r="A168" s="4">
        <v>4900</v>
      </c>
      <c r="C168" s="4">
        <v>1.35</v>
      </c>
      <c r="F168" s="4">
        <f t="shared" si="14"/>
        <v>2.2599999999999985</v>
      </c>
      <c r="G168" s="4">
        <v>9</v>
      </c>
    </row>
    <row r="171" spans="1:8">
      <c r="B171" s="472">
        <v>2.2999999999999998</v>
      </c>
      <c r="C171" s="472"/>
      <c r="D171" s="472">
        <v>1.46</v>
      </c>
      <c r="E171" s="472">
        <f>F171+B171</f>
        <v>4.4499999999999984</v>
      </c>
      <c r="F171" s="472">
        <f>E161-D171</f>
        <v>2.1499999999999986</v>
      </c>
      <c r="G171" s="472"/>
      <c r="H171" s="472" t="s">
        <v>703</v>
      </c>
    </row>
    <row r="172" spans="1:8">
      <c r="B172" s="472">
        <v>1.26</v>
      </c>
      <c r="C172" s="472"/>
      <c r="D172" s="472">
        <v>1.46</v>
      </c>
      <c r="E172" s="472">
        <f t="shared" ref="E172:E174" si="15">F172+B172</f>
        <v>4.2499999999999982</v>
      </c>
      <c r="F172" s="472">
        <f>E171-D172</f>
        <v>2.9899999999999984</v>
      </c>
      <c r="G172" s="472"/>
      <c r="H172" s="472" t="s">
        <v>703</v>
      </c>
    </row>
    <row r="173" spans="1:8">
      <c r="B173" s="472">
        <v>1.07</v>
      </c>
      <c r="C173" s="472"/>
      <c r="D173" s="472">
        <v>1.4</v>
      </c>
      <c r="E173" s="472">
        <f t="shared" si="15"/>
        <v>3.9199999999999982</v>
      </c>
      <c r="F173" s="472">
        <f>E172-D173</f>
        <v>2.8499999999999983</v>
      </c>
      <c r="G173" s="472"/>
      <c r="H173" s="472" t="s">
        <v>703</v>
      </c>
    </row>
    <row r="174" spans="1:8">
      <c r="B174" s="472">
        <v>1.49</v>
      </c>
      <c r="C174" s="472"/>
      <c r="D174" s="472">
        <v>1.35</v>
      </c>
      <c r="E174" s="472">
        <f t="shared" si="15"/>
        <v>4.0599999999999978</v>
      </c>
      <c r="F174" s="472">
        <f>E173-D174</f>
        <v>2.5699999999999981</v>
      </c>
      <c r="G174" s="472"/>
      <c r="H174" s="472" t="s">
        <v>703</v>
      </c>
    </row>
    <row r="177" spans="1:8">
      <c r="A177" s="4">
        <v>5000</v>
      </c>
      <c r="C177" s="4">
        <v>1.1599999999999999</v>
      </c>
      <c r="F177" s="4">
        <f>$E$174-C177</f>
        <v>2.8999999999999977</v>
      </c>
      <c r="G177" s="4">
        <v>0</v>
      </c>
    </row>
    <row r="178" spans="1:8">
      <c r="A178" s="4">
        <v>5000</v>
      </c>
      <c r="C178" s="4">
        <v>1.19</v>
      </c>
      <c r="F178" s="4">
        <f t="shared" ref="F178:F188" si="16">$E$174-C178</f>
        <v>2.8699999999999979</v>
      </c>
      <c r="G178" s="4">
        <v>-3</v>
      </c>
    </row>
    <row r="179" spans="1:8">
      <c r="A179" s="4">
        <v>5000</v>
      </c>
      <c r="C179" s="4">
        <v>1.2</v>
      </c>
      <c r="F179" s="4">
        <f t="shared" si="16"/>
        <v>2.8599999999999977</v>
      </c>
      <c r="G179" s="4">
        <v>-6</v>
      </c>
    </row>
    <row r="180" spans="1:8">
      <c r="A180" s="4">
        <v>5000</v>
      </c>
      <c r="C180" s="4">
        <v>1.2</v>
      </c>
      <c r="F180" s="4">
        <f t="shared" si="16"/>
        <v>2.8599999999999977</v>
      </c>
      <c r="G180" s="4">
        <v>3</v>
      </c>
    </row>
    <row r="181" spans="1:8">
      <c r="A181" s="4">
        <v>5000</v>
      </c>
      <c r="C181" s="4">
        <v>1.23</v>
      </c>
      <c r="F181" s="4">
        <f t="shared" si="16"/>
        <v>2.8299999999999979</v>
      </c>
      <c r="G181" s="4">
        <v>6</v>
      </c>
    </row>
    <row r="184" spans="1:8">
      <c r="A184" s="4">
        <v>5100</v>
      </c>
      <c r="C184" s="4">
        <v>1.36</v>
      </c>
      <c r="F184" s="4">
        <f t="shared" si="16"/>
        <v>2.6999999999999975</v>
      </c>
      <c r="G184" s="4">
        <v>0</v>
      </c>
    </row>
    <row r="185" spans="1:8">
      <c r="A185" s="4">
        <v>5100</v>
      </c>
      <c r="C185" s="4">
        <v>1.45</v>
      </c>
      <c r="F185" s="4">
        <f t="shared" si="16"/>
        <v>2.6099999999999977</v>
      </c>
      <c r="G185" s="4">
        <v>-3</v>
      </c>
    </row>
    <row r="186" spans="1:8">
      <c r="A186" s="4">
        <v>5100</v>
      </c>
      <c r="C186" s="4">
        <v>1.39</v>
      </c>
      <c r="F186" s="4">
        <f t="shared" si="16"/>
        <v>2.6699999999999982</v>
      </c>
      <c r="G186" s="4">
        <v>-6</v>
      </c>
    </row>
    <row r="187" spans="1:8">
      <c r="A187" s="4">
        <v>5100</v>
      </c>
      <c r="C187" s="4">
        <v>1.45</v>
      </c>
      <c r="F187" s="4">
        <f t="shared" si="16"/>
        <v>2.6099999999999977</v>
      </c>
      <c r="G187" s="4">
        <v>3</v>
      </c>
    </row>
    <row r="188" spans="1:8">
      <c r="A188" s="4">
        <v>5100</v>
      </c>
      <c r="C188" s="4">
        <v>1.47</v>
      </c>
      <c r="F188" s="4">
        <f t="shared" si="16"/>
        <v>2.5899999999999981</v>
      </c>
      <c r="G188" s="4">
        <v>6</v>
      </c>
    </row>
    <row r="191" spans="1:8">
      <c r="B191" s="472">
        <v>1.45</v>
      </c>
      <c r="C191" s="472"/>
      <c r="D191" s="472">
        <v>1.75</v>
      </c>
      <c r="E191" s="472">
        <f>F191+B191</f>
        <v>3.759999999999998</v>
      </c>
      <c r="F191" s="472">
        <f>E174-D191</f>
        <v>2.3099999999999978</v>
      </c>
      <c r="G191" s="472"/>
      <c r="H191" s="472" t="s">
        <v>703</v>
      </c>
    </row>
    <row r="193" spans="1:8">
      <c r="A193" s="4">
        <v>5200</v>
      </c>
      <c r="C193" s="4">
        <v>1.3</v>
      </c>
      <c r="F193" s="4">
        <f>$E$191-C193</f>
        <v>2.4599999999999982</v>
      </c>
      <c r="G193" s="4">
        <v>0</v>
      </c>
    </row>
    <row r="194" spans="1:8">
      <c r="A194" s="4">
        <v>5200</v>
      </c>
      <c r="C194" s="4">
        <v>1.21</v>
      </c>
      <c r="F194" s="4">
        <f t="shared" ref="F194:F198" si="17">$E$191-C194</f>
        <v>2.549999999999998</v>
      </c>
      <c r="G194" s="4">
        <v>-3</v>
      </c>
    </row>
    <row r="195" spans="1:8">
      <c r="A195" s="4">
        <v>5200</v>
      </c>
      <c r="C195" s="4">
        <v>1.2</v>
      </c>
      <c r="F195" s="4">
        <f t="shared" si="17"/>
        <v>2.5599999999999978</v>
      </c>
      <c r="G195" s="4">
        <v>-6</v>
      </c>
    </row>
    <row r="196" spans="1:8">
      <c r="A196" s="4">
        <v>5200</v>
      </c>
      <c r="C196" s="4">
        <v>1.29</v>
      </c>
      <c r="F196" s="4">
        <f t="shared" si="17"/>
        <v>2.469999999999998</v>
      </c>
      <c r="G196" s="4">
        <v>3</v>
      </c>
    </row>
    <row r="197" spans="1:8">
      <c r="A197" s="4">
        <v>5200</v>
      </c>
      <c r="C197" s="4">
        <v>1.31</v>
      </c>
      <c r="F197" s="4">
        <f t="shared" si="17"/>
        <v>2.449999999999998</v>
      </c>
      <c r="G197" s="4">
        <v>6</v>
      </c>
    </row>
    <row r="198" spans="1:8">
      <c r="A198" s="4">
        <v>5200</v>
      </c>
      <c r="C198" s="4">
        <v>1.33</v>
      </c>
      <c r="F198" s="4">
        <f t="shared" si="17"/>
        <v>2.4299999999999979</v>
      </c>
      <c r="G198" s="4">
        <v>9</v>
      </c>
    </row>
    <row r="201" spans="1:8">
      <c r="B201" s="472">
        <v>1.69</v>
      </c>
      <c r="C201" s="472"/>
      <c r="D201" s="472">
        <v>1.97</v>
      </c>
      <c r="E201" s="472">
        <f>F201+B201</f>
        <v>3.4799999999999978</v>
      </c>
      <c r="F201" s="472">
        <f>E191-D201</f>
        <v>1.789999999999998</v>
      </c>
      <c r="G201" s="472"/>
      <c r="H201" s="472" t="s">
        <v>703</v>
      </c>
    </row>
    <row r="202" spans="1:8">
      <c r="B202" s="472">
        <v>2.16</v>
      </c>
      <c r="C202" s="472"/>
      <c r="D202" s="472">
        <v>1.3</v>
      </c>
      <c r="E202" s="472">
        <f>F202+B202</f>
        <v>4.3399999999999981</v>
      </c>
      <c r="F202" s="472">
        <f>E201-D202</f>
        <v>2.1799999999999979</v>
      </c>
      <c r="G202" s="472"/>
      <c r="H202" s="472" t="s">
        <v>703</v>
      </c>
    </row>
    <row r="204" spans="1:8">
      <c r="A204" s="4">
        <v>5300</v>
      </c>
      <c r="C204" s="4">
        <v>1.68</v>
      </c>
      <c r="F204" s="4">
        <f>$E$202-C204</f>
        <v>2.6599999999999984</v>
      </c>
      <c r="G204" s="4">
        <v>0</v>
      </c>
    </row>
    <row r="205" spans="1:8">
      <c r="A205" s="4">
        <v>5300</v>
      </c>
      <c r="C205" s="4">
        <v>1.7</v>
      </c>
      <c r="F205" s="4">
        <f t="shared" ref="F205:F209" si="18">$E$202-C205</f>
        <v>2.6399999999999979</v>
      </c>
      <c r="G205" s="4">
        <v>-3</v>
      </c>
    </row>
    <row r="206" spans="1:8">
      <c r="A206" s="4">
        <v>5300</v>
      </c>
      <c r="C206" s="4">
        <v>1.74</v>
      </c>
      <c r="F206" s="4">
        <f t="shared" si="18"/>
        <v>2.5999999999999979</v>
      </c>
      <c r="G206" s="4">
        <v>-6</v>
      </c>
    </row>
    <row r="207" spans="1:8">
      <c r="A207" s="4">
        <v>5300</v>
      </c>
      <c r="C207" s="4">
        <v>1.71</v>
      </c>
      <c r="F207" s="4">
        <f t="shared" si="18"/>
        <v>2.6299999999999981</v>
      </c>
      <c r="G207" s="4">
        <v>3</v>
      </c>
    </row>
    <row r="208" spans="1:8">
      <c r="A208" s="4">
        <v>5300</v>
      </c>
      <c r="C208" s="4">
        <v>1.8</v>
      </c>
      <c r="F208" s="4">
        <f t="shared" si="18"/>
        <v>2.5399999999999983</v>
      </c>
      <c r="G208" s="4">
        <v>6</v>
      </c>
    </row>
    <row r="209" spans="1:8">
      <c r="A209" s="4">
        <v>5300</v>
      </c>
      <c r="C209" s="4">
        <v>1.82</v>
      </c>
      <c r="F209" s="4">
        <f t="shared" si="18"/>
        <v>2.5199999999999978</v>
      </c>
      <c r="G209" s="4">
        <v>9</v>
      </c>
    </row>
    <row r="212" spans="1:8">
      <c r="B212" s="472">
        <v>1.07</v>
      </c>
      <c r="C212" s="472"/>
      <c r="D212" s="472">
        <v>0.44</v>
      </c>
      <c r="E212" s="472">
        <f>F212+B212</f>
        <v>4.969999999999998</v>
      </c>
      <c r="F212" s="472">
        <f>E202-D212</f>
        <v>3.8999999999999981</v>
      </c>
      <c r="G212" s="472"/>
      <c r="H212" s="472" t="s">
        <v>703</v>
      </c>
    </row>
    <row r="213" spans="1:8">
      <c r="B213" s="472">
        <v>1.42</v>
      </c>
      <c r="C213" s="472"/>
      <c r="D213" s="472">
        <v>2.35</v>
      </c>
      <c r="E213" s="472">
        <f>F213+B213</f>
        <v>4.0399999999999974</v>
      </c>
      <c r="F213" s="472">
        <f>E212-D213</f>
        <v>2.6199999999999979</v>
      </c>
      <c r="G213" s="472"/>
      <c r="H213" s="472" t="s">
        <v>703</v>
      </c>
    </row>
    <row r="215" spans="1:8">
      <c r="A215" s="4">
        <v>5400</v>
      </c>
      <c r="C215" s="4">
        <v>1.27</v>
      </c>
      <c r="F215" s="4">
        <f>$E$213-C215</f>
        <v>2.7699999999999974</v>
      </c>
      <c r="G215" s="4">
        <v>0</v>
      </c>
    </row>
    <row r="216" spans="1:8">
      <c r="A216" s="4">
        <v>5400</v>
      </c>
      <c r="C216" s="4">
        <v>1.29</v>
      </c>
      <c r="F216" s="4">
        <f t="shared" ref="F216:F220" si="19">$E$213-C216</f>
        <v>2.7499999999999973</v>
      </c>
      <c r="G216" s="4">
        <v>-3</v>
      </c>
    </row>
    <row r="217" spans="1:8">
      <c r="A217" s="4">
        <v>5400</v>
      </c>
      <c r="C217" s="4">
        <v>1.29</v>
      </c>
      <c r="F217" s="4">
        <f t="shared" si="19"/>
        <v>2.7499999999999973</v>
      </c>
      <c r="G217" s="4">
        <v>-6</v>
      </c>
    </row>
    <row r="218" spans="1:8">
      <c r="A218" s="4">
        <v>5400</v>
      </c>
      <c r="C218" s="4">
        <v>1.29</v>
      </c>
      <c r="F218" s="4">
        <f t="shared" si="19"/>
        <v>2.7499999999999973</v>
      </c>
      <c r="G218" s="4">
        <v>3</v>
      </c>
    </row>
    <row r="219" spans="1:8">
      <c r="A219" s="4">
        <v>5400</v>
      </c>
      <c r="C219" s="4">
        <v>1.28</v>
      </c>
      <c r="F219" s="4">
        <f t="shared" si="19"/>
        <v>2.7599999999999971</v>
      </c>
      <c r="G219" s="4">
        <v>6</v>
      </c>
    </row>
    <row r="220" spans="1:8">
      <c r="A220" s="4">
        <v>5400</v>
      </c>
      <c r="C220" s="4">
        <v>1.26</v>
      </c>
      <c r="F220" s="4">
        <f t="shared" si="19"/>
        <v>2.7799999999999976</v>
      </c>
      <c r="G220" s="4">
        <v>9</v>
      </c>
    </row>
    <row r="223" spans="1:8">
      <c r="B223" s="472">
        <v>1.83</v>
      </c>
      <c r="C223" s="472"/>
      <c r="D223" s="472">
        <v>1.97</v>
      </c>
      <c r="E223" s="472">
        <f>F223+B223</f>
        <v>3.8999999999999977</v>
      </c>
      <c r="F223" s="472">
        <f>E213-D223</f>
        <v>2.0699999999999976</v>
      </c>
      <c r="G223" s="472"/>
      <c r="H223" s="472" t="s">
        <v>703</v>
      </c>
    </row>
    <row r="225" spans="1:8">
      <c r="A225" s="4">
        <v>5500</v>
      </c>
      <c r="C225" s="4">
        <v>1.36</v>
      </c>
      <c r="F225" s="4">
        <f>$E$223-C225</f>
        <v>2.5399999999999974</v>
      </c>
      <c r="G225" s="4">
        <v>0</v>
      </c>
    </row>
    <row r="226" spans="1:8">
      <c r="A226" s="4">
        <v>5500</v>
      </c>
      <c r="C226" s="4">
        <v>1.3</v>
      </c>
      <c r="F226" s="4">
        <f t="shared" ref="F226:F229" si="20">$E$223-C226</f>
        <v>2.5999999999999979</v>
      </c>
      <c r="G226" s="4">
        <v>-3</v>
      </c>
    </row>
    <row r="227" spans="1:8">
      <c r="A227" s="4">
        <v>5500</v>
      </c>
      <c r="C227" s="4">
        <v>1.32</v>
      </c>
      <c r="F227" s="4">
        <f t="shared" si="20"/>
        <v>2.5799999999999974</v>
      </c>
      <c r="G227" s="4">
        <v>-6</v>
      </c>
    </row>
    <row r="228" spans="1:8">
      <c r="A228" s="4">
        <v>5500</v>
      </c>
      <c r="C228" s="4">
        <v>1.35</v>
      </c>
      <c r="F228" s="4">
        <f t="shared" si="20"/>
        <v>2.5499999999999976</v>
      </c>
      <c r="G228" s="4">
        <v>3</v>
      </c>
    </row>
    <row r="229" spans="1:8">
      <c r="A229" s="4">
        <v>5500</v>
      </c>
      <c r="C229" s="4">
        <v>1.39</v>
      </c>
      <c r="F229" s="4">
        <f t="shared" si="20"/>
        <v>2.509999999999998</v>
      </c>
      <c r="G229" s="4">
        <v>6</v>
      </c>
    </row>
    <row r="232" spans="1:8">
      <c r="B232" s="472">
        <v>1.1200000000000001</v>
      </c>
      <c r="C232" s="472"/>
      <c r="D232" s="472">
        <v>1.26</v>
      </c>
      <c r="E232" s="472">
        <f>F232+B232</f>
        <v>3.759999999999998</v>
      </c>
      <c r="F232" s="472">
        <f>E223-D232</f>
        <v>2.6399999999999979</v>
      </c>
      <c r="G232" s="472"/>
      <c r="H232" s="472" t="s">
        <v>703</v>
      </c>
    </row>
    <row r="234" spans="1:8">
      <c r="A234" s="4">
        <v>5600</v>
      </c>
      <c r="C234" s="4">
        <v>1.65</v>
      </c>
      <c r="F234" s="4">
        <f>$E$232-C234</f>
        <v>2.1099999999999981</v>
      </c>
      <c r="G234" s="4">
        <v>0</v>
      </c>
    </row>
    <row r="235" spans="1:8">
      <c r="A235" s="4">
        <v>5600</v>
      </c>
      <c r="C235" s="4">
        <v>1.64</v>
      </c>
      <c r="F235" s="4">
        <f t="shared" ref="F235:F238" si="21">$E$232-C235</f>
        <v>2.1199999999999983</v>
      </c>
      <c r="G235" s="4">
        <v>-3</v>
      </c>
    </row>
    <row r="236" spans="1:8">
      <c r="A236" s="4">
        <v>5600</v>
      </c>
      <c r="C236" s="4">
        <v>1.83</v>
      </c>
      <c r="F236" s="4">
        <f t="shared" si="21"/>
        <v>1.9299999999999979</v>
      </c>
      <c r="G236" s="4">
        <v>-6</v>
      </c>
    </row>
    <row r="237" spans="1:8">
      <c r="A237" s="4">
        <v>5600</v>
      </c>
      <c r="C237" s="4">
        <v>1.72</v>
      </c>
      <c r="F237" s="4">
        <f t="shared" si="21"/>
        <v>2.0399999999999983</v>
      </c>
      <c r="G237" s="4">
        <v>3</v>
      </c>
    </row>
    <row r="238" spans="1:8">
      <c r="A238" s="4">
        <v>5600</v>
      </c>
      <c r="C238" s="4">
        <v>2.02</v>
      </c>
      <c r="F238" s="4">
        <f t="shared" si="21"/>
        <v>1.739999999999998</v>
      </c>
      <c r="G238" s="4">
        <v>6</v>
      </c>
    </row>
    <row r="240" spans="1:8">
      <c r="B240" s="472">
        <v>1.34</v>
      </c>
      <c r="C240" s="472"/>
      <c r="D240" s="472">
        <v>1.24</v>
      </c>
      <c r="E240" s="472">
        <f>F240+B240</f>
        <v>3.8599999999999977</v>
      </c>
      <c r="F240" s="472">
        <f>E232-D240</f>
        <v>2.5199999999999978</v>
      </c>
      <c r="G240" s="472"/>
      <c r="H240" s="472" t="s">
        <v>703</v>
      </c>
    </row>
    <row r="242" spans="1:8">
      <c r="A242" s="4">
        <v>5700</v>
      </c>
      <c r="C242" s="4">
        <v>0.95</v>
      </c>
      <c r="F242" s="4">
        <f>$E$240-C242</f>
        <v>2.9099999999999975</v>
      </c>
      <c r="G242" s="4">
        <v>0</v>
      </c>
    </row>
    <row r="243" spans="1:8">
      <c r="A243" s="4">
        <v>5700</v>
      </c>
      <c r="C243" s="4">
        <v>0.93</v>
      </c>
      <c r="F243" s="4">
        <f t="shared" ref="F243:F247" si="22">$E$240-C243</f>
        <v>2.9299999999999975</v>
      </c>
      <c r="G243" s="4">
        <v>-3</v>
      </c>
    </row>
    <row r="244" spans="1:8">
      <c r="A244" s="4">
        <v>5700</v>
      </c>
      <c r="C244" s="4">
        <v>0.96</v>
      </c>
      <c r="F244" s="4">
        <f t="shared" si="22"/>
        <v>2.8999999999999977</v>
      </c>
      <c r="G244" s="4">
        <v>-6</v>
      </c>
    </row>
    <row r="245" spans="1:8">
      <c r="A245" s="4">
        <v>5700</v>
      </c>
      <c r="C245" s="4">
        <v>0.93</v>
      </c>
      <c r="F245" s="4">
        <f t="shared" si="22"/>
        <v>2.9299999999999975</v>
      </c>
      <c r="G245" s="4">
        <v>3</v>
      </c>
    </row>
    <row r="246" spans="1:8">
      <c r="A246" s="4">
        <v>5700</v>
      </c>
      <c r="C246" s="4">
        <v>0.96</v>
      </c>
      <c r="F246" s="4">
        <f t="shared" si="22"/>
        <v>2.8999999999999977</v>
      </c>
      <c r="G246" s="4">
        <v>6</v>
      </c>
    </row>
    <row r="247" spans="1:8">
      <c r="A247" s="4">
        <v>5700</v>
      </c>
      <c r="C247" s="4">
        <v>0.95</v>
      </c>
      <c r="F247" s="4">
        <f t="shared" si="22"/>
        <v>2.9099999999999975</v>
      </c>
      <c r="G247" s="4">
        <v>9</v>
      </c>
    </row>
    <row r="250" spans="1:8">
      <c r="B250" s="472">
        <v>1.84</v>
      </c>
      <c r="C250" s="472"/>
      <c r="D250" s="472">
        <v>0.96</v>
      </c>
      <c r="E250" s="472">
        <f>F250+B250</f>
        <v>4.7399999999999975</v>
      </c>
      <c r="F250" s="472">
        <f>E240-D250</f>
        <v>2.8999999999999977</v>
      </c>
      <c r="G250" s="472"/>
      <c r="H250" s="472" t="s">
        <v>703</v>
      </c>
    </row>
    <row r="251" spans="1:8">
      <c r="B251" s="472">
        <v>0.97</v>
      </c>
      <c r="C251" s="472"/>
      <c r="D251" s="472">
        <v>2.92</v>
      </c>
      <c r="E251" s="472">
        <f>F251+B251</f>
        <v>2.7899999999999974</v>
      </c>
      <c r="F251" s="472">
        <f>E250-D251</f>
        <v>1.8199999999999976</v>
      </c>
      <c r="G251" s="472"/>
      <c r="H251" s="472" t="s">
        <v>703</v>
      </c>
    </row>
    <row r="253" spans="1:8">
      <c r="A253" s="4">
        <v>5800</v>
      </c>
      <c r="C253" s="4">
        <v>1.27</v>
      </c>
      <c r="F253" s="4">
        <f>$E$251-C253</f>
        <v>1.5199999999999974</v>
      </c>
      <c r="G253" s="4">
        <v>0</v>
      </c>
    </row>
    <row r="254" spans="1:8">
      <c r="A254" s="4">
        <v>5800</v>
      </c>
      <c r="C254" s="4">
        <v>1.28</v>
      </c>
      <c r="F254" s="4">
        <f t="shared" ref="F254:F257" si="23">$E$251-C254</f>
        <v>1.5099999999999973</v>
      </c>
      <c r="G254" s="4">
        <v>-3</v>
      </c>
    </row>
    <row r="255" spans="1:8">
      <c r="A255" s="4">
        <v>5800</v>
      </c>
      <c r="C255" s="4">
        <v>1.25</v>
      </c>
      <c r="F255" s="4">
        <f t="shared" si="23"/>
        <v>1.5399999999999974</v>
      </c>
      <c r="G255" s="4">
        <v>-6</v>
      </c>
    </row>
    <row r="256" spans="1:8">
      <c r="A256" s="4">
        <v>5800</v>
      </c>
      <c r="C256" s="4">
        <v>1.31</v>
      </c>
      <c r="F256" s="4">
        <f t="shared" si="23"/>
        <v>1.4799999999999973</v>
      </c>
      <c r="G256" s="4">
        <v>3</v>
      </c>
    </row>
    <row r="257" spans="1:8">
      <c r="A257" s="4">
        <v>5800</v>
      </c>
      <c r="C257" s="4">
        <v>1.3</v>
      </c>
      <c r="F257" s="4">
        <f t="shared" si="23"/>
        <v>1.4899999999999973</v>
      </c>
      <c r="G257" s="4">
        <v>6</v>
      </c>
    </row>
    <row r="259" spans="1:8">
      <c r="B259" s="472">
        <v>1.01</v>
      </c>
      <c r="C259" s="472"/>
      <c r="D259" s="472">
        <v>1.22</v>
      </c>
      <c r="E259" s="472">
        <f>F259+B259</f>
        <v>2.5799999999999974</v>
      </c>
      <c r="F259" s="472">
        <f>E251-D259</f>
        <v>1.5699999999999974</v>
      </c>
      <c r="G259" s="472"/>
      <c r="H259" s="472" t="s">
        <v>703</v>
      </c>
    </row>
    <row r="261" spans="1:8">
      <c r="A261" s="4">
        <v>5900</v>
      </c>
      <c r="C261" s="4">
        <v>1.48</v>
      </c>
      <c r="F261" s="4">
        <f>$E$259-C261</f>
        <v>1.0999999999999974</v>
      </c>
      <c r="G261" s="4">
        <v>0</v>
      </c>
    </row>
    <row r="262" spans="1:8">
      <c r="A262" s="4">
        <v>5900</v>
      </c>
      <c r="C262" s="4">
        <v>1.49</v>
      </c>
      <c r="F262" s="4">
        <f t="shared" ref="F262:F265" si="24">$E$259-C262</f>
        <v>1.0899999999999974</v>
      </c>
      <c r="G262" s="4">
        <v>-3</v>
      </c>
    </row>
    <row r="263" spans="1:8">
      <c r="A263" s="4">
        <v>5900</v>
      </c>
      <c r="C263" s="4">
        <v>1.47</v>
      </c>
      <c r="F263" s="4">
        <f t="shared" si="24"/>
        <v>1.1099999999999974</v>
      </c>
      <c r="G263" s="4">
        <v>-6</v>
      </c>
    </row>
    <row r="264" spans="1:8">
      <c r="A264" s="4">
        <v>5900</v>
      </c>
      <c r="C264" s="4">
        <v>1.49</v>
      </c>
      <c r="F264" s="4">
        <f t="shared" si="24"/>
        <v>1.0899999999999974</v>
      </c>
      <c r="G264" s="4">
        <v>3</v>
      </c>
    </row>
    <row r="265" spans="1:8">
      <c r="A265" s="4">
        <v>5900</v>
      </c>
      <c r="C265" s="4">
        <v>1.48</v>
      </c>
      <c r="F265" s="4">
        <f t="shared" si="24"/>
        <v>1.0999999999999974</v>
      </c>
      <c r="G265" s="4">
        <v>6</v>
      </c>
    </row>
    <row r="267" spans="1:8">
      <c r="B267" s="472">
        <v>1.73</v>
      </c>
      <c r="C267" s="472"/>
      <c r="D267" s="472">
        <v>0.83</v>
      </c>
      <c r="E267" s="472">
        <f>F267+B267</f>
        <v>3.4799999999999973</v>
      </c>
      <c r="F267" s="472">
        <f>E259-D267</f>
        <v>1.7499999999999973</v>
      </c>
      <c r="G267" s="472"/>
      <c r="H267" s="472" t="s">
        <v>703</v>
      </c>
    </row>
    <row r="268" spans="1:8">
      <c r="B268" s="472">
        <v>1.42</v>
      </c>
      <c r="C268" s="472"/>
      <c r="D268" s="472">
        <v>1.22</v>
      </c>
      <c r="E268" s="472">
        <f>F268+B268</f>
        <v>3.6799999999999971</v>
      </c>
      <c r="F268" s="472">
        <f>E267-D268</f>
        <v>2.2599999999999971</v>
      </c>
      <c r="G268" s="472"/>
      <c r="H268" s="472" t="s">
        <v>703</v>
      </c>
    </row>
    <row r="270" spans="1:8">
      <c r="A270" s="4">
        <v>6000</v>
      </c>
      <c r="C270" s="4">
        <v>1.48</v>
      </c>
      <c r="F270" s="4">
        <f>$E$268-C270</f>
        <v>2.1999999999999971</v>
      </c>
      <c r="G270" s="4">
        <v>0</v>
      </c>
    </row>
    <row r="271" spans="1:8">
      <c r="A271" s="4">
        <v>6000</v>
      </c>
      <c r="C271" s="4">
        <v>1.49</v>
      </c>
      <c r="F271" s="4">
        <f t="shared" ref="F271:F274" si="25">$E$268-C271</f>
        <v>2.1899999999999968</v>
      </c>
      <c r="G271" s="4">
        <v>-3</v>
      </c>
    </row>
    <row r="272" spans="1:8">
      <c r="A272" s="4">
        <v>6000</v>
      </c>
      <c r="C272" s="4">
        <v>1.45</v>
      </c>
      <c r="F272" s="4">
        <f t="shared" si="25"/>
        <v>2.2299999999999969</v>
      </c>
      <c r="G272" s="4">
        <v>-6</v>
      </c>
    </row>
    <row r="273" spans="1:8">
      <c r="A273" s="4">
        <v>6000</v>
      </c>
      <c r="C273" s="4">
        <v>1.48</v>
      </c>
      <c r="F273" s="4">
        <f t="shared" si="25"/>
        <v>2.1999999999999971</v>
      </c>
      <c r="G273" s="4">
        <v>3</v>
      </c>
    </row>
    <row r="274" spans="1:8">
      <c r="A274" s="4">
        <v>6000</v>
      </c>
      <c r="C274" s="4">
        <v>1.46</v>
      </c>
      <c r="F274" s="4">
        <f t="shared" si="25"/>
        <v>2.2199999999999971</v>
      </c>
      <c r="G274" s="4">
        <v>6</v>
      </c>
    </row>
    <row r="275" spans="1:8">
      <c r="B275" s="5"/>
      <c r="C275" s="5"/>
      <c r="D275" s="5"/>
      <c r="E275" s="5"/>
      <c r="F275" s="5"/>
      <c r="G275" s="5"/>
      <c r="H275" s="5"/>
    </row>
    <row r="276" spans="1:8">
      <c r="B276" s="472">
        <v>1.66</v>
      </c>
      <c r="C276" s="472"/>
      <c r="D276" s="472">
        <v>1.35</v>
      </c>
      <c r="E276" s="472">
        <f>F276+B276</f>
        <v>3.9899999999999967</v>
      </c>
      <c r="F276" s="472">
        <f>E268-D276</f>
        <v>2.329999999999997</v>
      </c>
      <c r="G276" s="472"/>
      <c r="H276" s="472" t="s">
        <v>703</v>
      </c>
    </row>
    <row r="278" spans="1:8">
      <c r="A278" s="4">
        <v>6100</v>
      </c>
      <c r="C278" s="4">
        <v>1.58</v>
      </c>
      <c r="F278" s="4">
        <f>$E$276-C278</f>
        <v>2.4099999999999966</v>
      </c>
      <c r="G278" s="4">
        <v>0</v>
      </c>
    </row>
    <row r="279" spans="1:8">
      <c r="A279" s="4">
        <v>6100</v>
      </c>
      <c r="C279" s="4">
        <v>1.54</v>
      </c>
      <c r="F279" s="4">
        <f t="shared" ref="F279:F283" si="26">$E$276-C279</f>
        <v>2.4499999999999966</v>
      </c>
      <c r="G279" s="4">
        <v>-3</v>
      </c>
    </row>
    <row r="280" spans="1:8">
      <c r="A280" s="4">
        <v>6100</v>
      </c>
      <c r="C280" s="4">
        <v>1.56</v>
      </c>
      <c r="F280" s="4">
        <f t="shared" si="26"/>
        <v>2.4299999999999966</v>
      </c>
      <c r="G280" s="4">
        <v>-6</v>
      </c>
    </row>
    <row r="281" spans="1:8">
      <c r="A281" s="4">
        <v>6100</v>
      </c>
      <c r="C281" s="4">
        <v>1.52</v>
      </c>
      <c r="F281" s="4">
        <f t="shared" si="26"/>
        <v>2.4699999999999966</v>
      </c>
      <c r="G281" s="4">
        <v>3</v>
      </c>
    </row>
    <row r="282" spans="1:8">
      <c r="A282" s="4">
        <v>6100</v>
      </c>
      <c r="C282" s="4">
        <v>1.54</v>
      </c>
      <c r="F282" s="4">
        <f t="shared" si="26"/>
        <v>2.4499999999999966</v>
      </c>
      <c r="G282" s="4">
        <v>6</v>
      </c>
    </row>
    <row r="283" spans="1:8">
      <c r="A283" s="4">
        <v>6100</v>
      </c>
      <c r="C283" s="4">
        <v>1.58</v>
      </c>
      <c r="F283" s="4">
        <f t="shared" si="26"/>
        <v>2.4099999999999966</v>
      </c>
      <c r="G283" s="4">
        <v>9</v>
      </c>
    </row>
    <row r="286" spans="1:8">
      <c r="D286" s="472">
        <v>0.96</v>
      </c>
      <c r="E286" s="472"/>
      <c r="F286" s="472">
        <f>E276-D286</f>
        <v>3.0299999999999967</v>
      </c>
      <c r="G286" s="4" t="s">
        <v>920</v>
      </c>
    </row>
  </sheetData>
  <mergeCells count="1">
    <mergeCell ref="B1:G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sheetPr>
    <tabColor rgb="FF00B050"/>
  </sheetPr>
  <dimension ref="A1:N49"/>
  <sheetViews>
    <sheetView workbookViewId="0">
      <selection activeCell="N34" sqref="N34"/>
    </sheetView>
  </sheetViews>
  <sheetFormatPr defaultColWidth="9.140625" defaultRowHeight="15"/>
  <cols>
    <col min="1" max="1" width="6.28515625" style="234" customWidth="1"/>
    <col min="2" max="2" width="11.5703125" style="234" customWidth="1"/>
    <col min="3" max="3" width="6.5703125" style="234" customWidth="1"/>
    <col min="4" max="4" width="33.140625" style="234" customWidth="1"/>
    <col min="5" max="5" width="10" style="234" customWidth="1"/>
    <col min="6" max="6" width="7.7109375" style="234" customWidth="1"/>
    <col min="7" max="7" width="14.85546875" style="234" customWidth="1"/>
    <col min="8" max="8" width="12.5703125" style="234" bestFit="1" customWidth="1"/>
    <col min="9" max="16384" width="9.140625" style="234"/>
  </cols>
  <sheetData>
    <row r="1" spans="1:14" ht="21" customHeight="1">
      <c r="A1" s="590" t="s">
        <v>98</v>
      </c>
      <c r="B1" s="590"/>
      <c r="C1" s="590"/>
      <c r="D1" s="590"/>
      <c r="E1" s="590"/>
      <c r="F1" s="590"/>
      <c r="G1" s="590"/>
    </row>
    <row r="2" spans="1:14" ht="53.25" customHeight="1">
      <c r="A2" s="591" t="s">
        <v>1155</v>
      </c>
      <c r="B2" s="591"/>
      <c r="C2" s="591"/>
      <c r="D2" s="591"/>
      <c r="E2" s="591"/>
      <c r="F2" s="591"/>
      <c r="G2" s="591"/>
    </row>
    <row r="3" spans="1:14" s="238" customFormat="1" ht="21" customHeight="1">
      <c r="A3" s="445" t="s">
        <v>99</v>
      </c>
      <c r="B3" s="445" t="s">
        <v>100</v>
      </c>
      <c r="C3" s="445" t="s">
        <v>101</v>
      </c>
      <c r="D3" s="445" t="s">
        <v>102</v>
      </c>
      <c r="E3" s="445" t="s">
        <v>103</v>
      </c>
      <c r="F3" s="445" t="s">
        <v>104</v>
      </c>
      <c r="G3" s="445" t="s">
        <v>105</v>
      </c>
    </row>
    <row r="4" spans="1:14" ht="111" customHeight="1">
      <c r="A4" s="238">
        <v>1</v>
      </c>
      <c r="B4" s="446">
        <f>'Earth work abtract'!G108</f>
        <v>109774</v>
      </c>
      <c r="C4" s="447" t="s">
        <v>106</v>
      </c>
      <c r="D4" s="448" t="s">
        <v>725</v>
      </c>
      <c r="E4" s="446">
        <f>Data!G42</f>
        <v>71.7</v>
      </c>
      <c r="F4" s="447" t="s">
        <v>107</v>
      </c>
      <c r="G4" s="449">
        <f>ROUND(B4*E4,0)</f>
        <v>7870796</v>
      </c>
      <c r="I4" s="450"/>
      <c r="J4" s="450"/>
      <c r="K4" s="450"/>
      <c r="L4" s="450"/>
      <c r="M4" s="450"/>
      <c r="N4" s="450"/>
    </row>
    <row r="5" spans="1:14" ht="110.25" customHeight="1">
      <c r="A5" s="238">
        <v>2</v>
      </c>
      <c r="B5" s="446">
        <f>Detailed!J23</f>
        <v>15154</v>
      </c>
      <c r="C5" s="447" t="s">
        <v>106</v>
      </c>
      <c r="D5" s="448" t="s">
        <v>724</v>
      </c>
      <c r="E5" s="446">
        <f>Data!G115</f>
        <v>1367</v>
      </c>
      <c r="F5" s="447" t="s">
        <v>107</v>
      </c>
      <c r="G5" s="449">
        <f t="shared" ref="G5:G20" si="0">ROUND(B5*E5,0)</f>
        <v>20715518</v>
      </c>
      <c r="I5" s="450"/>
      <c r="J5" s="450"/>
      <c r="K5" s="450"/>
      <c r="L5" s="450"/>
      <c r="M5" s="450"/>
      <c r="N5" s="450"/>
    </row>
    <row r="6" spans="1:14" ht="187.5" customHeight="1">
      <c r="A6" s="533">
        <v>3</v>
      </c>
      <c r="B6" s="446">
        <f>Detailed!J34</f>
        <v>91958</v>
      </c>
      <c r="C6" s="447" t="s">
        <v>117</v>
      </c>
      <c r="D6" s="448" t="s">
        <v>849</v>
      </c>
      <c r="E6" s="446">
        <f>Data!G293</f>
        <v>583.70000000000005</v>
      </c>
      <c r="F6" s="447" t="s">
        <v>119</v>
      </c>
      <c r="G6" s="449">
        <f t="shared" si="0"/>
        <v>53675885</v>
      </c>
      <c r="I6" s="450"/>
      <c r="J6" s="450"/>
      <c r="K6" s="450"/>
      <c r="L6" s="450"/>
      <c r="M6" s="450"/>
      <c r="N6" s="450"/>
    </row>
    <row r="7" spans="1:14" ht="9.75" hidden="1" customHeight="1">
      <c r="A7" s="533">
        <v>4</v>
      </c>
      <c r="B7" s="446">
        <f>Detailed!J34</f>
        <v>91958</v>
      </c>
      <c r="C7" s="447" t="s">
        <v>106</v>
      </c>
      <c r="D7" s="448" t="s">
        <v>726</v>
      </c>
      <c r="E7" s="446">
        <f>Data!G196</f>
        <v>7576.7</v>
      </c>
      <c r="F7" s="447" t="s">
        <v>107</v>
      </c>
      <c r="G7" s="449">
        <v>0</v>
      </c>
      <c r="H7" s="308"/>
      <c r="I7" s="309"/>
      <c r="J7" s="309"/>
      <c r="K7" s="309"/>
      <c r="L7" s="309"/>
      <c r="M7" s="309"/>
      <c r="N7" s="309"/>
    </row>
    <row r="8" spans="1:14" ht="105.75" customHeight="1">
      <c r="A8" s="533">
        <v>4</v>
      </c>
      <c r="B8" s="446">
        <f>Detailed!J42</f>
        <v>15111</v>
      </c>
      <c r="C8" s="447" t="s">
        <v>108</v>
      </c>
      <c r="D8" s="448" t="s">
        <v>727</v>
      </c>
      <c r="E8" s="446">
        <f>Data!G330</f>
        <v>539.64</v>
      </c>
      <c r="F8" s="447" t="s">
        <v>109</v>
      </c>
      <c r="G8" s="449">
        <f t="shared" si="0"/>
        <v>8154500</v>
      </c>
      <c r="I8" s="309"/>
      <c r="J8" s="309"/>
      <c r="K8" s="309"/>
      <c r="L8" s="309"/>
      <c r="M8" s="309"/>
      <c r="N8" s="309"/>
    </row>
    <row r="9" spans="1:14" ht="76.5" customHeight="1">
      <c r="A9" s="533">
        <v>5</v>
      </c>
      <c r="B9" s="446">
        <f>Detailed!J62</f>
        <v>39416</v>
      </c>
      <c r="C9" s="447" t="s">
        <v>723</v>
      </c>
      <c r="D9" s="448" t="s">
        <v>728</v>
      </c>
      <c r="E9" s="446">
        <f>Data!G383</f>
        <v>29.9</v>
      </c>
      <c r="F9" s="447" t="s">
        <v>111</v>
      </c>
      <c r="G9" s="449">
        <f t="shared" si="0"/>
        <v>1178538</v>
      </c>
      <c r="H9" s="308"/>
      <c r="I9" s="309"/>
      <c r="J9" s="309"/>
      <c r="K9" s="309"/>
      <c r="L9" s="309"/>
      <c r="M9" s="309"/>
      <c r="N9" s="309"/>
    </row>
    <row r="10" spans="1:14" ht="117.75" customHeight="1">
      <c r="A10" s="533">
        <v>6</v>
      </c>
      <c r="B10" s="446">
        <f>Detailed!J70</f>
        <v>218</v>
      </c>
      <c r="C10" s="447" t="s">
        <v>723</v>
      </c>
      <c r="D10" s="448" t="s">
        <v>850</v>
      </c>
      <c r="E10" s="446">
        <f>Data!G427</f>
        <v>2693.1</v>
      </c>
      <c r="F10" s="447" t="s">
        <v>111</v>
      </c>
      <c r="G10" s="449">
        <f t="shared" si="0"/>
        <v>587096</v>
      </c>
      <c r="I10" s="308"/>
      <c r="J10" s="308"/>
      <c r="K10" s="308"/>
      <c r="L10" s="308"/>
      <c r="M10" s="308"/>
      <c r="N10" s="308"/>
    </row>
    <row r="11" spans="1:14" ht="117.75" customHeight="1">
      <c r="A11" s="533">
        <v>7</v>
      </c>
      <c r="B11" s="446">
        <f>Detailed!J113</f>
        <v>2652</v>
      </c>
      <c r="C11" s="447" t="s">
        <v>106</v>
      </c>
      <c r="D11" s="448" t="s">
        <v>851</v>
      </c>
      <c r="E11" s="446">
        <f>Data!G468</f>
        <v>123.5</v>
      </c>
      <c r="F11" s="447" t="s">
        <v>107</v>
      </c>
      <c r="G11" s="449">
        <f t="shared" si="0"/>
        <v>327522</v>
      </c>
      <c r="H11" s="306"/>
      <c r="I11" s="307"/>
      <c r="J11" s="307"/>
      <c r="K11" s="307"/>
      <c r="L11" s="307"/>
      <c r="M11" s="307"/>
      <c r="N11" s="307"/>
    </row>
    <row r="12" spans="1:14" ht="86.25" customHeight="1">
      <c r="A12" s="533">
        <v>8</v>
      </c>
      <c r="B12" s="446">
        <f>Detailed!J156</f>
        <v>941</v>
      </c>
      <c r="C12" s="447" t="s">
        <v>106</v>
      </c>
      <c r="D12" s="448" t="s">
        <v>852</v>
      </c>
      <c r="E12" s="446">
        <f>Data!G520</f>
        <v>1561.4</v>
      </c>
      <c r="F12" s="447" t="s">
        <v>107</v>
      </c>
      <c r="G12" s="449">
        <f t="shared" si="0"/>
        <v>1469277</v>
      </c>
      <c r="I12" s="309"/>
      <c r="J12" s="309"/>
      <c r="K12" s="309"/>
      <c r="L12" s="309"/>
      <c r="M12" s="309"/>
      <c r="N12" s="309"/>
    </row>
    <row r="13" spans="1:14" ht="131.25" customHeight="1">
      <c r="A13" s="533">
        <v>9</v>
      </c>
      <c r="B13" s="446">
        <f>Detailed!J182</f>
        <v>38</v>
      </c>
      <c r="C13" s="447" t="s">
        <v>106</v>
      </c>
      <c r="D13" s="440" t="s">
        <v>853</v>
      </c>
      <c r="E13" s="447">
        <f>Data!G605</f>
        <v>6857.1</v>
      </c>
      <c r="F13" s="438" t="s">
        <v>107</v>
      </c>
      <c r="G13" s="449">
        <f t="shared" si="0"/>
        <v>260570</v>
      </c>
      <c r="H13" s="308"/>
      <c r="I13" s="308"/>
      <c r="J13" s="308"/>
      <c r="K13" s="308"/>
      <c r="L13" s="309"/>
      <c r="M13" s="309"/>
      <c r="N13" s="309"/>
    </row>
    <row r="14" spans="1:14" ht="146.25" customHeight="1">
      <c r="A14" s="533">
        <v>10</v>
      </c>
      <c r="B14" s="446">
        <f>Detailed!J267</f>
        <v>1170</v>
      </c>
      <c r="C14" s="447" t="s">
        <v>106</v>
      </c>
      <c r="D14" s="440" t="s">
        <v>854</v>
      </c>
      <c r="E14" s="446">
        <f>Data!G690</f>
        <v>7147.8</v>
      </c>
      <c r="F14" s="447" t="s">
        <v>107</v>
      </c>
      <c r="G14" s="449">
        <f t="shared" si="0"/>
        <v>8362926</v>
      </c>
      <c r="I14" s="309"/>
      <c r="J14" s="309"/>
      <c r="K14" s="309"/>
      <c r="L14" s="309"/>
      <c r="M14" s="309"/>
      <c r="N14" s="309"/>
    </row>
    <row r="15" spans="1:14" ht="144.75" customHeight="1">
      <c r="A15" s="533">
        <v>11</v>
      </c>
      <c r="B15" s="446">
        <f>Detailed!J325</f>
        <v>1440</v>
      </c>
      <c r="C15" s="447" t="s">
        <v>106</v>
      </c>
      <c r="D15" s="451" t="s">
        <v>855</v>
      </c>
      <c r="E15" s="446">
        <f>Data!G771</f>
        <v>7796</v>
      </c>
      <c r="F15" s="447" t="s">
        <v>107</v>
      </c>
      <c r="G15" s="449">
        <f t="shared" si="0"/>
        <v>11226240</v>
      </c>
      <c r="I15" s="309"/>
      <c r="J15" s="309"/>
      <c r="K15" s="309"/>
      <c r="L15" s="309"/>
      <c r="M15" s="309"/>
      <c r="N15" s="309"/>
    </row>
    <row r="16" spans="1:14" ht="139.5" customHeight="1">
      <c r="A16" s="533">
        <v>12</v>
      </c>
      <c r="B16" s="446">
        <f>Detailed!J345</f>
        <v>4</v>
      </c>
      <c r="C16" s="447" t="s">
        <v>106</v>
      </c>
      <c r="D16" s="451" t="s">
        <v>997</v>
      </c>
      <c r="E16" s="446">
        <f>Data!G846</f>
        <v>6976.8</v>
      </c>
      <c r="F16" s="447" t="s">
        <v>107</v>
      </c>
      <c r="G16" s="449">
        <f t="shared" si="0"/>
        <v>27907</v>
      </c>
      <c r="I16" s="309"/>
      <c r="J16" s="309"/>
      <c r="K16" s="309"/>
      <c r="L16" s="309"/>
      <c r="M16" s="309"/>
      <c r="N16" s="309"/>
    </row>
    <row r="17" spans="1:14" ht="73.5" customHeight="1">
      <c r="A17" s="533">
        <v>13</v>
      </c>
      <c r="B17" s="446">
        <f>Detailed!J373</f>
        <v>352</v>
      </c>
      <c r="C17" s="447" t="s">
        <v>108</v>
      </c>
      <c r="D17" s="451" t="s">
        <v>733</v>
      </c>
      <c r="E17" s="446">
        <f>Data!G882</f>
        <v>237.2</v>
      </c>
      <c r="F17" s="447" t="s">
        <v>109</v>
      </c>
      <c r="G17" s="449">
        <f t="shared" si="0"/>
        <v>83494</v>
      </c>
      <c r="I17" s="452"/>
      <c r="J17" s="452"/>
      <c r="K17" s="452"/>
      <c r="L17" s="452"/>
      <c r="M17" s="452"/>
      <c r="N17" s="452"/>
    </row>
    <row r="18" spans="1:14" ht="105.75" customHeight="1">
      <c r="A18" s="533">
        <v>14</v>
      </c>
      <c r="B18" s="453">
        <f>Detailed!J413</f>
        <v>1333</v>
      </c>
      <c r="C18" s="447" t="s">
        <v>106</v>
      </c>
      <c r="D18" s="451" t="s">
        <v>856</v>
      </c>
      <c r="E18" s="446">
        <f>Data!G934</f>
        <v>1857</v>
      </c>
      <c r="F18" s="447" t="s">
        <v>107</v>
      </c>
      <c r="G18" s="449">
        <f t="shared" si="0"/>
        <v>2475381</v>
      </c>
      <c r="I18" s="310"/>
      <c r="J18" s="310"/>
      <c r="K18" s="310"/>
      <c r="L18" s="310"/>
      <c r="M18" s="310"/>
      <c r="N18" s="310"/>
    </row>
    <row r="19" spans="1:14" ht="79.5" customHeight="1">
      <c r="A19" s="533">
        <v>15</v>
      </c>
      <c r="B19" s="453">
        <f>Detailed!J418</f>
        <v>175</v>
      </c>
      <c r="C19" s="447" t="s">
        <v>110</v>
      </c>
      <c r="D19" s="441" t="s">
        <v>1030</v>
      </c>
      <c r="E19" s="446">
        <f>Data!G940</f>
        <v>7840.6</v>
      </c>
      <c r="F19" s="447" t="s">
        <v>111</v>
      </c>
      <c r="G19" s="449">
        <f t="shared" si="0"/>
        <v>1372105</v>
      </c>
      <c r="I19" s="310"/>
      <c r="J19" s="310"/>
      <c r="K19" s="310"/>
      <c r="L19" s="310"/>
      <c r="M19" s="310"/>
      <c r="N19" s="310"/>
    </row>
    <row r="20" spans="1:14" ht="78.75" customHeight="1">
      <c r="A20" s="533">
        <v>16</v>
      </c>
      <c r="B20" s="446">
        <f>Detailed!J424</f>
        <v>5</v>
      </c>
      <c r="C20" s="447" t="s">
        <v>110</v>
      </c>
      <c r="D20" s="222" t="s">
        <v>1034</v>
      </c>
      <c r="E20" s="456">
        <f>Data!G945</f>
        <v>3257.3</v>
      </c>
      <c r="F20" s="447" t="s">
        <v>111</v>
      </c>
      <c r="G20" s="449">
        <f t="shared" si="0"/>
        <v>16287</v>
      </c>
    </row>
    <row r="21" spans="1:14" ht="25.5" hidden="1" customHeight="1">
      <c r="A21" s="238">
        <v>15</v>
      </c>
      <c r="B21" s="454" t="e">
        <f>#REF!</f>
        <v>#REF!</v>
      </c>
      <c r="C21" s="238" t="s">
        <v>112</v>
      </c>
      <c r="D21" s="455" t="s">
        <v>113</v>
      </c>
      <c r="E21" s="456">
        <v>0</v>
      </c>
      <c r="F21" s="238" t="s">
        <v>114</v>
      </c>
      <c r="G21" s="457">
        <v>0</v>
      </c>
    </row>
    <row r="22" spans="1:14" ht="27" hidden="1" customHeight="1">
      <c r="A22" s="238">
        <v>16</v>
      </c>
      <c r="B22" s="454" t="e">
        <f>#REF!</f>
        <v>#REF!</v>
      </c>
      <c r="C22" s="238" t="s">
        <v>112</v>
      </c>
      <c r="D22" s="455" t="s">
        <v>115</v>
      </c>
      <c r="E22" s="456">
        <v>0</v>
      </c>
      <c r="F22" s="238" t="s">
        <v>114</v>
      </c>
      <c r="G22" s="457">
        <v>0</v>
      </c>
    </row>
    <row r="23" spans="1:14" ht="20.25" hidden="1" customHeight="1">
      <c r="A23" s="238">
        <v>17</v>
      </c>
      <c r="B23" s="454" t="e">
        <f>#REF!</f>
        <v>#REF!</v>
      </c>
      <c r="C23" s="238" t="s">
        <v>112</v>
      </c>
      <c r="D23" s="455" t="s">
        <v>116</v>
      </c>
      <c r="E23" s="456">
        <v>0</v>
      </c>
      <c r="F23" s="238" t="s">
        <v>114</v>
      </c>
      <c r="G23" s="457">
        <v>0</v>
      </c>
    </row>
    <row r="24" spans="1:14" ht="66" hidden="1" customHeight="1">
      <c r="A24" s="238">
        <v>18</v>
      </c>
      <c r="B24" s="454" t="e">
        <f>#REF!</f>
        <v>#REF!</v>
      </c>
      <c r="C24" s="238" t="s">
        <v>117</v>
      </c>
      <c r="D24" s="255" t="s">
        <v>118</v>
      </c>
      <c r="E24" s="456">
        <v>0</v>
      </c>
      <c r="F24" s="238" t="s">
        <v>119</v>
      </c>
      <c r="G24" s="457">
        <v>0</v>
      </c>
    </row>
    <row r="25" spans="1:14" ht="24.75" customHeight="1">
      <c r="A25" s="238"/>
      <c r="B25" s="589"/>
      <c r="C25" s="589"/>
      <c r="D25" s="592" t="s">
        <v>120</v>
      </c>
      <c r="E25" s="592"/>
      <c r="F25" s="592"/>
      <c r="G25" s="449">
        <f>SUM(G4:G24)</f>
        <v>117804042</v>
      </c>
    </row>
    <row r="26" spans="1:14" ht="33" customHeight="1">
      <c r="A26" s="238">
        <v>17</v>
      </c>
      <c r="B26" s="589" t="s">
        <v>121</v>
      </c>
      <c r="C26" s="589"/>
      <c r="D26" s="256" t="s">
        <v>122</v>
      </c>
      <c r="E26" s="589" t="s">
        <v>121</v>
      </c>
      <c r="F26" s="589"/>
      <c r="G26" s="437">
        <f>Seinorage!D17</f>
        <v>1958062</v>
      </c>
    </row>
    <row r="27" spans="1:14" ht="21" customHeight="1">
      <c r="A27" s="238"/>
      <c r="B27" s="589"/>
      <c r="C27" s="589"/>
      <c r="D27" s="257" t="s">
        <v>123</v>
      </c>
      <c r="E27" s="254"/>
      <c r="F27" s="254" t="s">
        <v>124</v>
      </c>
      <c r="G27" s="437">
        <f>G25+G26</f>
        <v>119762104</v>
      </c>
    </row>
    <row r="28" spans="1:14" ht="36" customHeight="1">
      <c r="A28" s="238">
        <v>18</v>
      </c>
      <c r="B28" s="589" t="s">
        <v>121</v>
      </c>
      <c r="C28" s="589"/>
      <c r="D28" s="254" t="s">
        <v>125</v>
      </c>
      <c r="E28" s="589" t="s">
        <v>121</v>
      </c>
      <c r="F28" s="589"/>
      <c r="G28" s="437">
        <f>ROUND(G27*0.1/100,0)</f>
        <v>119762</v>
      </c>
    </row>
    <row r="29" spans="1:14" ht="21" customHeight="1">
      <c r="A29" s="238"/>
      <c r="B29" s="589"/>
      <c r="C29" s="589"/>
      <c r="D29" s="257" t="s">
        <v>1146</v>
      </c>
      <c r="E29" s="593"/>
      <c r="F29" s="593"/>
      <c r="G29" s="437">
        <f>G27+G28</f>
        <v>119881866</v>
      </c>
      <c r="I29" s="458"/>
    </row>
    <row r="30" spans="1:14" ht="32.25" customHeight="1">
      <c r="A30" s="238">
        <v>19</v>
      </c>
      <c r="B30" s="589" t="s">
        <v>121</v>
      </c>
      <c r="C30" s="589"/>
      <c r="D30" s="254" t="s">
        <v>1141</v>
      </c>
      <c r="E30" s="589" t="s">
        <v>121</v>
      </c>
      <c r="F30" s="589"/>
      <c r="G30" s="437">
        <f>ROUND(G29*18%,0)</f>
        <v>21578736</v>
      </c>
      <c r="I30" s="235"/>
    </row>
    <row r="31" spans="1:14" ht="32.25" customHeight="1">
      <c r="A31" s="238">
        <v>20</v>
      </c>
      <c r="B31" s="589" t="s">
        <v>121</v>
      </c>
      <c r="C31" s="589"/>
      <c r="D31" s="254" t="s">
        <v>1142</v>
      </c>
      <c r="E31" s="589" t="s">
        <v>121</v>
      </c>
      <c r="F31" s="589"/>
      <c r="G31" s="437">
        <f>'Land aquisition'!F15</f>
        <v>98160000</v>
      </c>
      <c r="H31" s="237"/>
      <c r="I31" s="235"/>
    </row>
    <row r="32" spans="1:14" ht="32.25" customHeight="1">
      <c r="A32" s="238">
        <v>21</v>
      </c>
      <c r="B32" s="589" t="s">
        <v>121</v>
      </c>
      <c r="C32" s="589"/>
      <c r="D32" s="254" t="s">
        <v>1143</v>
      </c>
      <c r="E32" s="589" t="s">
        <v>121</v>
      </c>
      <c r="F32" s="589"/>
      <c r="G32" s="437">
        <v>150000</v>
      </c>
      <c r="I32" s="235"/>
    </row>
    <row r="33" spans="1:9" ht="32.25" customHeight="1">
      <c r="A33" s="238">
        <v>22</v>
      </c>
      <c r="B33" s="589" t="s">
        <v>121</v>
      </c>
      <c r="C33" s="589"/>
      <c r="D33" s="254" t="s">
        <v>1144</v>
      </c>
      <c r="E33" s="589" t="s">
        <v>121</v>
      </c>
      <c r="F33" s="589"/>
      <c r="G33" s="437">
        <v>150000</v>
      </c>
      <c r="I33" s="235"/>
    </row>
    <row r="34" spans="1:9" ht="39" customHeight="1">
      <c r="A34" s="238">
        <v>23</v>
      </c>
      <c r="B34" s="589" t="s">
        <v>121</v>
      </c>
      <c r="C34" s="589"/>
      <c r="D34" s="254" t="s">
        <v>1145</v>
      </c>
      <c r="E34" s="589" t="s">
        <v>121</v>
      </c>
      <c r="F34" s="589"/>
      <c r="G34" s="437">
        <v>5398</v>
      </c>
      <c r="H34" s="237"/>
    </row>
    <row r="35" spans="1:9" ht="29.1" customHeight="1">
      <c r="A35" s="238"/>
      <c r="B35" s="589"/>
      <c r="C35" s="589"/>
      <c r="D35" s="257" t="s">
        <v>1147</v>
      </c>
      <c r="E35" s="254"/>
      <c r="F35" s="254"/>
      <c r="G35" s="437">
        <f>G25+G26+G28+G30+G31+G32+G33+G34</f>
        <v>239926000</v>
      </c>
      <c r="H35" s="237"/>
    </row>
    <row r="36" spans="1:9" ht="24" customHeight="1">
      <c r="A36" s="238"/>
      <c r="B36" s="238"/>
      <c r="C36" s="238"/>
      <c r="D36" s="459" t="s">
        <v>126</v>
      </c>
      <c r="E36" s="238"/>
      <c r="F36" s="238"/>
      <c r="G36" s="439" t="str">
        <f>ROUND(G35/100000,2)&amp;"  Lakh"</f>
        <v>2399.26  Lakh</v>
      </c>
    </row>
    <row r="37" spans="1:9">
      <c r="A37" s="238"/>
      <c r="B37" s="238"/>
      <c r="C37" s="238"/>
      <c r="D37" s="236"/>
      <c r="E37" s="238"/>
      <c r="F37" s="238"/>
      <c r="G37" s="238"/>
    </row>
    <row r="38" spans="1:9">
      <c r="A38" s="238"/>
      <c r="B38" s="238"/>
      <c r="C38" s="238"/>
      <c r="E38" s="238"/>
      <c r="F38" s="238"/>
    </row>
    <row r="39" spans="1:9">
      <c r="A39" s="238"/>
      <c r="B39" s="238"/>
      <c r="C39" s="238"/>
      <c r="E39" s="238"/>
      <c r="F39" s="238"/>
      <c r="G39" s="238"/>
    </row>
    <row r="40" spans="1:9">
      <c r="A40" s="238"/>
      <c r="B40" s="238"/>
      <c r="C40" s="238"/>
      <c r="E40" s="238"/>
      <c r="F40" s="238"/>
      <c r="G40" s="238"/>
    </row>
    <row r="41" spans="1:9">
      <c r="A41" s="238"/>
      <c r="B41" s="238"/>
      <c r="C41" s="238"/>
      <c r="E41" s="238"/>
      <c r="F41" s="238"/>
      <c r="G41" s="238"/>
    </row>
    <row r="42" spans="1:9">
      <c r="A42" s="238"/>
      <c r="B42" s="238"/>
      <c r="C42" s="238"/>
      <c r="D42" s="236"/>
      <c r="E42" s="238"/>
      <c r="F42" s="238"/>
      <c r="G42" s="238"/>
    </row>
    <row r="43" spans="1:9">
      <c r="A43" s="238"/>
      <c r="B43" s="238"/>
      <c r="C43" s="238"/>
      <c r="D43" s="236"/>
      <c r="E43" s="238"/>
      <c r="F43" s="238"/>
      <c r="G43" s="238"/>
    </row>
    <row r="44" spans="1:9">
      <c r="A44" s="238"/>
      <c r="B44" s="238"/>
      <c r="C44" s="238"/>
      <c r="D44" s="236"/>
      <c r="E44" s="238"/>
      <c r="F44" s="238"/>
      <c r="G44" s="238"/>
    </row>
    <row r="45" spans="1:9">
      <c r="A45" s="238"/>
      <c r="B45" s="238"/>
      <c r="C45" s="238"/>
      <c r="D45" s="238"/>
      <c r="E45" s="238"/>
      <c r="F45" s="238"/>
      <c r="G45" s="238"/>
    </row>
    <row r="46" spans="1:9">
      <c r="A46" s="238"/>
      <c r="B46" s="238"/>
      <c r="C46" s="238"/>
      <c r="D46" s="238"/>
      <c r="E46" s="238"/>
      <c r="F46" s="238"/>
      <c r="G46" s="238"/>
    </row>
    <row r="47" spans="1:9">
      <c r="A47" s="238"/>
      <c r="B47" s="238"/>
      <c r="C47" s="238"/>
      <c r="D47" s="238"/>
      <c r="E47" s="238"/>
      <c r="F47" s="238"/>
      <c r="G47" s="238"/>
    </row>
    <row r="48" spans="1:9">
      <c r="A48" s="238"/>
      <c r="B48" s="238"/>
      <c r="C48" s="238"/>
      <c r="D48" s="238"/>
      <c r="E48" s="238"/>
      <c r="F48" s="238"/>
      <c r="G48" s="238"/>
    </row>
    <row r="49" spans="1:7">
      <c r="A49" s="238"/>
      <c r="B49" s="238"/>
      <c r="C49" s="238"/>
      <c r="D49" s="238"/>
      <c r="E49" s="238"/>
      <c r="F49" s="238"/>
      <c r="G49" s="238"/>
    </row>
  </sheetData>
  <mergeCells count="22">
    <mergeCell ref="E33:F33"/>
    <mergeCell ref="E34:F34"/>
    <mergeCell ref="E29:F29"/>
    <mergeCell ref="E28:F28"/>
    <mergeCell ref="E30:F30"/>
    <mergeCell ref="E31:F31"/>
    <mergeCell ref="E32:F32"/>
    <mergeCell ref="A1:G1"/>
    <mergeCell ref="A2:G2"/>
    <mergeCell ref="B25:C25"/>
    <mergeCell ref="D25:F25"/>
    <mergeCell ref="B26:C26"/>
    <mergeCell ref="E26:F26"/>
    <mergeCell ref="B34:C34"/>
    <mergeCell ref="B35:C35"/>
    <mergeCell ref="B27:C27"/>
    <mergeCell ref="B28:C28"/>
    <mergeCell ref="B29:C29"/>
    <mergeCell ref="B30:C30"/>
    <mergeCell ref="B31:C31"/>
    <mergeCell ref="B32:C32"/>
    <mergeCell ref="B33:C33"/>
  </mergeCells>
  <printOptions gridLines="1"/>
  <pageMargins left="0.95" right="0.2" top="1" bottom="0.8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N691"/>
  <sheetViews>
    <sheetView workbookViewId="0">
      <selection activeCell="Q4" sqref="Q4"/>
    </sheetView>
  </sheetViews>
  <sheetFormatPr defaultColWidth="9.140625" defaultRowHeight="15"/>
  <cols>
    <col min="1" max="1" width="4.7109375" style="548" customWidth="1"/>
    <col min="2" max="2" width="7" style="548" customWidth="1"/>
    <col min="3" max="3" width="30" style="548" customWidth="1"/>
    <col min="4" max="4" width="2.85546875" style="548" customWidth="1"/>
    <col min="5" max="5" width="3.42578125" style="548" customWidth="1"/>
    <col min="6" max="6" width="5.140625" style="548" customWidth="1"/>
    <col min="7" max="7" width="10.42578125" style="548" customWidth="1"/>
    <col min="8" max="8" width="11.5703125" style="548" customWidth="1"/>
    <col min="9" max="9" width="9.42578125" style="548" customWidth="1"/>
    <col min="10" max="10" width="11.7109375" style="548" customWidth="1"/>
    <col min="11" max="16384" width="9.140625" style="548"/>
  </cols>
  <sheetData>
    <row r="1" spans="1:11" ht="22.5" customHeight="1">
      <c r="A1" s="600" t="s">
        <v>127</v>
      </c>
      <c r="B1" s="600"/>
      <c r="C1" s="600"/>
      <c r="D1" s="600"/>
      <c r="E1" s="600"/>
      <c r="F1" s="600"/>
      <c r="G1" s="600"/>
      <c r="H1" s="600"/>
      <c r="I1" s="600"/>
      <c r="J1" s="600"/>
    </row>
    <row r="2" spans="1:11" ht="50.25" customHeight="1">
      <c r="A2" s="601" t="str">
        <f>Absrtact!A2</f>
        <v>Name of the Work : Formation of New Channel with CC lining in Godavari Delta System</v>
      </c>
      <c r="B2" s="601"/>
      <c r="C2" s="601"/>
      <c r="D2" s="601"/>
      <c r="E2" s="601"/>
      <c r="F2" s="601"/>
      <c r="G2" s="601"/>
      <c r="H2" s="601"/>
      <c r="I2" s="601"/>
      <c r="J2" s="601"/>
    </row>
    <row r="3" spans="1:11">
      <c r="A3" s="549" t="s">
        <v>99</v>
      </c>
      <c r="B3" s="604" t="s">
        <v>101</v>
      </c>
      <c r="C3" s="549" t="s">
        <v>102</v>
      </c>
      <c r="D3" s="603" t="s">
        <v>108</v>
      </c>
      <c r="E3" s="603"/>
      <c r="F3" s="603"/>
      <c r="G3" s="549" t="s">
        <v>128</v>
      </c>
      <c r="H3" s="549" t="s">
        <v>129</v>
      </c>
      <c r="I3" s="549" t="s">
        <v>130</v>
      </c>
      <c r="J3" s="549" t="s">
        <v>131</v>
      </c>
    </row>
    <row r="4" spans="1:11" s="549" customFormat="1">
      <c r="B4" s="604"/>
    </row>
    <row r="5" spans="1:11" ht="75" customHeight="1">
      <c r="A5" s="550">
        <v>1</v>
      </c>
      <c r="B5" s="550" t="s">
        <v>132</v>
      </c>
      <c r="C5" s="594" t="s">
        <v>725</v>
      </c>
      <c r="D5" s="594"/>
      <c r="E5" s="594"/>
      <c r="F5" s="594"/>
      <c r="G5" s="594"/>
      <c r="H5" s="594"/>
      <c r="I5" s="594"/>
      <c r="J5" s="551"/>
    </row>
    <row r="6" spans="1:11" ht="30">
      <c r="A6" s="550"/>
      <c r="B6" s="550"/>
      <c r="C6" s="583" t="s">
        <v>1156</v>
      </c>
      <c r="D6" s="535"/>
      <c r="E6" s="535"/>
      <c r="F6" s="602" t="s">
        <v>139</v>
      </c>
      <c r="G6" s="602"/>
      <c r="H6" s="602"/>
      <c r="I6" s="602"/>
      <c r="J6" s="551">
        <f>'Earth work abtract'!G21</f>
        <v>29625</v>
      </c>
    </row>
    <row r="7" spans="1:11" ht="30">
      <c r="A7" s="550"/>
      <c r="B7" s="550"/>
      <c r="C7" s="583" t="s">
        <v>1157</v>
      </c>
      <c r="D7" s="535"/>
      <c r="E7" s="535"/>
      <c r="F7" s="602" t="s">
        <v>139</v>
      </c>
      <c r="G7" s="602"/>
      <c r="H7" s="602"/>
      <c r="I7" s="602"/>
      <c r="J7" s="551">
        <f>'Earth work abtract'!G43</f>
        <v>7945.94</v>
      </c>
    </row>
    <row r="8" spans="1:11" ht="30">
      <c r="A8" s="550"/>
      <c r="B8" s="550"/>
      <c r="C8" s="583" t="s">
        <v>1158</v>
      </c>
      <c r="D8" s="535"/>
      <c r="E8" s="535"/>
      <c r="F8" s="602" t="s">
        <v>139</v>
      </c>
      <c r="G8" s="602"/>
      <c r="H8" s="602"/>
      <c r="I8" s="602"/>
      <c r="J8" s="551">
        <f>'Earth work abtract'!G66</f>
        <v>26995.200000000001</v>
      </c>
    </row>
    <row r="9" spans="1:11" ht="30">
      <c r="A9" s="550"/>
      <c r="B9" s="550"/>
      <c r="C9" s="583" t="s">
        <v>1159</v>
      </c>
      <c r="D9" s="535"/>
      <c r="E9" s="535"/>
      <c r="F9" s="602" t="s">
        <v>139</v>
      </c>
      <c r="G9" s="602"/>
      <c r="H9" s="602"/>
      <c r="I9" s="602"/>
      <c r="J9" s="551">
        <f>'Earth work abtract'!G83</f>
        <v>20053.8</v>
      </c>
    </row>
    <row r="10" spans="1:11" ht="30">
      <c r="A10" s="550"/>
      <c r="B10" s="550"/>
      <c r="C10" s="583" t="s">
        <v>1160</v>
      </c>
      <c r="D10" s="535"/>
      <c r="E10" s="535"/>
      <c r="F10" s="602" t="s">
        <v>139</v>
      </c>
      <c r="G10" s="602"/>
      <c r="H10" s="602"/>
      <c r="I10" s="602"/>
      <c r="J10" s="551">
        <f>'Earth work abtract'!G105</f>
        <v>25154.399999999998</v>
      </c>
    </row>
    <row r="11" spans="1:11">
      <c r="A11" s="550"/>
      <c r="B11" s="550"/>
      <c r="C11" s="535"/>
      <c r="D11" s="535"/>
      <c r="E11" s="535"/>
      <c r="F11" s="540"/>
      <c r="G11" s="540"/>
      <c r="H11" s="540" t="s">
        <v>717</v>
      </c>
      <c r="I11" s="540"/>
      <c r="J11" s="552">
        <f>ROUND(SUM(J6:J10),0)</f>
        <v>109774</v>
      </c>
    </row>
    <row r="12" spans="1:11">
      <c r="A12" s="550"/>
      <c r="B12" s="550"/>
      <c r="C12" s="535"/>
      <c r="D12" s="535"/>
      <c r="E12" s="535"/>
      <c r="F12" s="540"/>
      <c r="G12" s="540"/>
      <c r="H12" s="540"/>
      <c r="I12" s="540"/>
      <c r="J12" s="551"/>
    </row>
    <row r="13" spans="1:11">
      <c r="A13" s="550"/>
      <c r="B13" s="550"/>
      <c r="C13" s="535"/>
      <c r="D13" s="535"/>
      <c r="E13" s="535"/>
      <c r="F13" s="535"/>
      <c r="G13" s="535"/>
      <c r="H13" s="535"/>
      <c r="I13" s="535"/>
      <c r="J13" s="551"/>
    </row>
    <row r="14" spans="1:11" ht="87" customHeight="1">
      <c r="A14" s="550">
        <v>2</v>
      </c>
      <c r="B14" s="550" t="s">
        <v>132</v>
      </c>
      <c r="C14" s="594" t="s">
        <v>724</v>
      </c>
      <c r="D14" s="594"/>
      <c r="E14" s="594"/>
      <c r="F14" s="594"/>
      <c r="G14" s="594"/>
      <c r="H14" s="594"/>
      <c r="I14" s="594"/>
      <c r="J14" s="551"/>
      <c r="K14" s="305"/>
    </row>
    <row r="15" spans="1:11" ht="35.25" customHeight="1">
      <c r="A15" s="550"/>
      <c r="B15" s="550"/>
      <c r="C15" s="535" t="s">
        <v>955</v>
      </c>
      <c r="D15" s="540">
        <v>1</v>
      </c>
      <c r="E15" s="540" t="s">
        <v>722</v>
      </c>
      <c r="F15" s="540">
        <v>1</v>
      </c>
      <c r="G15" s="544">
        <v>2800</v>
      </c>
      <c r="H15" s="546">
        <f>ROUND('Cross section-gravel'!D16/1000,2)</f>
        <v>7.19</v>
      </c>
      <c r="I15" s="544">
        <v>0.15</v>
      </c>
      <c r="J15" s="553">
        <f>ROUND(I15*H15*G15,3)</f>
        <v>3019.8</v>
      </c>
      <c r="K15" s="305"/>
    </row>
    <row r="16" spans="1:11" ht="35.25" customHeight="1">
      <c r="A16" s="550"/>
      <c r="B16" s="550"/>
      <c r="C16" s="535" t="s">
        <v>957</v>
      </c>
      <c r="D16" s="540">
        <v>1</v>
      </c>
      <c r="E16" s="540" t="s">
        <v>722</v>
      </c>
      <c r="F16" s="540">
        <v>1</v>
      </c>
      <c r="G16" s="544">
        <v>1460</v>
      </c>
      <c r="H16" s="546">
        <f>ROUND('Cross section-gravel'!D33/1000,2)</f>
        <v>6.03</v>
      </c>
      <c r="I16" s="546">
        <v>0.15</v>
      </c>
      <c r="J16" s="553">
        <f t="shared" ref="J16:J21" si="0">ROUND(I16*H16*G16,3)</f>
        <v>1320.57</v>
      </c>
      <c r="K16" s="304"/>
    </row>
    <row r="17" spans="1:11" ht="35.25" customHeight="1">
      <c r="A17" s="550"/>
      <c r="B17" s="550"/>
      <c r="C17" s="535" t="s">
        <v>958</v>
      </c>
      <c r="D17" s="540">
        <v>1</v>
      </c>
      <c r="E17" s="540" t="s">
        <v>722</v>
      </c>
      <c r="F17" s="540">
        <v>1</v>
      </c>
      <c r="G17" s="544">
        <v>1950</v>
      </c>
      <c r="H17" s="546">
        <f>ROUND('Cross section-gravel'!D49/1000,2)</f>
        <v>5.93</v>
      </c>
      <c r="I17" s="544">
        <v>0.15</v>
      </c>
      <c r="J17" s="553">
        <f t="shared" si="0"/>
        <v>1734.5250000000001</v>
      </c>
      <c r="K17" s="304"/>
    </row>
    <row r="18" spans="1:11" ht="35.25" customHeight="1">
      <c r="A18" s="550"/>
      <c r="B18" s="550"/>
      <c r="C18" s="535" t="s">
        <v>959</v>
      </c>
      <c r="D18" s="540">
        <v>1</v>
      </c>
      <c r="E18" s="540" t="s">
        <v>722</v>
      </c>
      <c r="F18" s="540">
        <v>1</v>
      </c>
      <c r="G18" s="544">
        <v>2600</v>
      </c>
      <c r="H18" s="546">
        <f>ROUND('Cross section-gravel'!D69/1000,2)</f>
        <v>7.73</v>
      </c>
      <c r="I18" s="546">
        <v>0.15</v>
      </c>
      <c r="J18" s="553">
        <f t="shared" si="0"/>
        <v>3014.7</v>
      </c>
      <c r="K18" s="304"/>
    </row>
    <row r="19" spans="1:11" ht="35.25" customHeight="1">
      <c r="A19" s="550"/>
      <c r="B19" s="550"/>
      <c r="C19" s="535" t="s">
        <v>960</v>
      </c>
      <c r="D19" s="540">
        <v>1</v>
      </c>
      <c r="E19" s="540" t="s">
        <v>722</v>
      </c>
      <c r="F19" s="540">
        <v>1</v>
      </c>
      <c r="G19" s="544">
        <v>1000</v>
      </c>
      <c r="H19" s="546">
        <f>ROUND('Cross section-gravel'!D86/1000,2)</f>
        <v>7.13</v>
      </c>
      <c r="I19" s="544">
        <v>0.15</v>
      </c>
      <c r="J19" s="553">
        <f t="shared" si="0"/>
        <v>1069.5</v>
      </c>
      <c r="K19" s="304"/>
    </row>
    <row r="20" spans="1:11" ht="35.25" customHeight="1">
      <c r="A20" s="550"/>
      <c r="B20" s="550"/>
      <c r="C20" s="535" t="s">
        <v>961</v>
      </c>
      <c r="D20" s="540">
        <v>1</v>
      </c>
      <c r="E20" s="540" t="s">
        <v>722</v>
      </c>
      <c r="F20" s="540">
        <v>1</v>
      </c>
      <c r="G20" s="544">
        <v>2300</v>
      </c>
      <c r="H20" s="546">
        <f>ROUND('Cross section-gravel'!D102/1000,2)</f>
        <v>6.09</v>
      </c>
      <c r="I20" s="546">
        <v>0.15</v>
      </c>
      <c r="J20" s="553">
        <f t="shared" si="0"/>
        <v>2101.0500000000002</v>
      </c>
      <c r="K20" s="304"/>
    </row>
    <row r="21" spans="1:11" ht="35.25" customHeight="1">
      <c r="A21" s="550"/>
      <c r="B21" s="550"/>
      <c r="C21" s="535" t="s">
        <v>962</v>
      </c>
      <c r="D21" s="540">
        <v>1</v>
      </c>
      <c r="E21" s="540" t="s">
        <v>722</v>
      </c>
      <c r="F21" s="540">
        <v>1</v>
      </c>
      <c r="G21" s="544">
        <v>3000</v>
      </c>
      <c r="H21" s="546">
        <f>ROUND('Cross section-gravel'!D125/1000,2)</f>
        <v>6.43</v>
      </c>
      <c r="I21" s="544">
        <v>0.15</v>
      </c>
      <c r="J21" s="553">
        <f t="shared" si="0"/>
        <v>2893.5</v>
      </c>
      <c r="K21" s="304"/>
    </row>
    <row r="22" spans="1:11" ht="30">
      <c r="A22" s="550"/>
      <c r="B22" s="550"/>
      <c r="C22" s="535"/>
      <c r="D22" s="535"/>
      <c r="E22" s="535"/>
      <c r="F22" s="535"/>
      <c r="G22" s="535"/>
      <c r="H22" s="535" t="s">
        <v>133</v>
      </c>
      <c r="I22" s="535"/>
      <c r="J22" s="553">
        <f>SUM(J15:J21)</f>
        <v>15153.645</v>
      </c>
    </row>
    <row r="23" spans="1:11">
      <c r="A23" s="550"/>
      <c r="B23" s="550"/>
      <c r="C23" s="535"/>
      <c r="D23" s="535"/>
      <c r="E23" s="535"/>
      <c r="F23" s="535"/>
      <c r="G23" s="535"/>
      <c r="H23" s="535"/>
      <c r="I23" s="535" t="s">
        <v>134</v>
      </c>
      <c r="J23" s="551">
        <f>ROUND(J22,0)</f>
        <v>15154</v>
      </c>
    </row>
    <row r="24" spans="1:11">
      <c r="A24" s="550"/>
      <c r="B24" s="550"/>
      <c r="C24" s="535"/>
      <c r="D24" s="535"/>
      <c r="E24" s="535"/>
      <c r="F24" s="535"/>
      <c r="G24" s="535"/>
      <c r="H24" s="535"/>
      <c r="I24" s="535"/>
      <c r="J24" s="551"/>
    </row>
    <row r="25" spans="1:11" ht="114.75" customHeight="1">
      <c r="A25" s="550">
        <v>3</v>
      </c>
      <c r="B25" s="550" t="s">
        <v>117</v>
      </c>
      <c r="C25" s="594" t="s">
        <v>836</v>
      </c>
      <c r="D25" s="594"/>
      <c r="E25" s="594"/>
      <c r="F25" s="594"/>
      <c r="G25" s="594"/>
      <c r="H25" s="594"/>
      <c r="I25" s="594"/>
      <c r="J25" s="551"/>
    </row>
    <row r="26" spans="1:11" ht="30">
      <c r="A26" s="550"/>
      <c r="B26" s="550"/>
      <c r="C26" s="535" t="s">
        <v>955</v>
      </c>
      <c r="D26" s="540">
        <v>1</v>
      </c>
      <c r="E26" s="540" t="s">
        <v>722</v>
      </c>
      <c r="F26" s="540">
        <v>1</v>
      </c>
      <c r="G26" s="544">
        <v>2800</v>
      </c>
      <c r="H26" s="546">
        <f>ROUND('Cross section-CC lining'!D16/1000,2)</f>
        <v>6.59</v>
      </c>
      <c r="I26" s="554" t="s">
        <v>86</v>
      </c>
      <c r="J26" s="553">
        <f>ROUND(H26*G26*F26*D26,3)</f>
        <v>18452</v>
      </c>
    </row>
    <row r="27" spans="1:11" ht="30">
      <c r="A27" s="550"/>
      <c r="B27" s="550"/>
      <c r="C27" s="535" t="s">
        <v>957</v>
      </c>
      <c r="D27" s="540">
        <v>1</v>
      </c>
      <c r="E27" s="540" t="s">
        <v>722</v>
      </c>
      <c r="F27" s="540">
        <v>1</v>
      </c>
      <c r="G27" s="544">
        <v>1460</v>
      </c>
      <c r="H27" s="546">
        <f>ROUND('Cross section-CC lining'!D33/1000,2)</f>
        <v>5.43</v>
      </c>
      <c r="I27" s="554" t="s">
        <v>86</v>
      </c>
      <c r="J27" s="553">
        <f t="shared" ref="J27:J32" si="1">ROUND(H27*G27*F27*D27,3)</f>
        <v>7927.8</v>
      </c>
    </row>
    <row r="28" spans="1:11" ht="30">
      <c r="A28" s="550"/>
      <c r="B28" s="550"/>
      <c r="C28" s="535" t="s">
        <v>958</v>
      </c>
      <c r="D28" s="540">
        <v>1</v>
      </c>
      <c r="E28" s="540" t="s">
        <v>722</v>
      </c>
      <c r="F28" s="540">
        <v>1</v>
      </c>
      <c r="G28" s="544">
        <v>1950</v>
      </c>
      <c r="H28" s="546">
        <f>ROUND('Cross section-CC lining'!D49/1000,2)</f>
        <v>5.33</v>
      </c>
      <c r="I28" s="554" t="s">
        <v>86</v>
      </c>
      <c r="J28" s="553">
        <f t="shared" si="1"/>
        <v>10393.5</v>
      </c>
    </row>
    <row r="29" spans="1:11" ht="30">
      <c r="A29" s="550"/>
      <c r="B29" s="550"/>
      <c r="C29" s="535" t="s">
        <v>959</v>
      </c>
      <c r="D29" s="540">
        <v>1</v>
      </c>
      <c r="E29" s="540" t="s">
        <v>722</v>
      </c>
      <c r="F29" s="540">
        <v>1</v>
      </c>
      <c r="G29" s="544">
        <v>2600</v>
      </c>
      <c r="H29" s="546">
        <f>ROUND('Cross section-CC lining'!D69/1000,2)</f>
        <v>7.13</v>
      </c>
      <c r="I29" s="554" t="s">
        <v>86</v>
      </c>
      <c r="J29" s="553">
        <f t="shared" si="1"/>
        <v>18538</v>
      </c>
    </row>
    <row r="30" spans="1:11" ht="30">
      <c r="A30" s="550"/>
      <c r="B30" s="550"/>
      <c r="C30" s="535" t="s">
        <v>960</v>
      </c>
      <c r="D30" s="540">
        <v>1</v>
      </c>
      <c r="E30" s="540" t="s">
        <v>722</v>
      </c>
      <c r="F30" s="540">
        <v>1</v>
      </c>
      <c r="G30" s="544">
        <v>1000</v>
      </c>
      <c r="H30" s="546">
        <f>ROUND('Cross section-CC lining'!D86/1000,2)</f>
        <v>6.53</v>
      </c>
      <c r="I30" s="554" t="s">
        <v>86</v>
      </c>
      <c r="J30" s="553">
        <f t="shared" si="1"/>
        <v>6530</v>
      </c>
    </row>
    <row r="31" spans="1:11" ht="30">
      <c r="A31" s="550"/>
      <c r="B31" s="550"/>
      <c r="C31" s="535" t="s">
        <v>961</v>
      </c>
      <c r="D31" s="540">
        <v>1</v>
      </c>
      <c r="E31" s="540" t="s">
        <v>722</v>
      </c>
      <c r="F31" s="540">
        <v>1</v>
      </c>
      <c r="G31" s="544">
        <v>2300</v>
      </c>
      <c r="H31" s="546">
        <f>ROUND('Cross section-CC lining'!D102/1000,2)</f>
        <v>5.49</v>
      </c>
      <c r="I31" s="554" t="s">
        <v>86</v>
      </c>
      <c r="J31" s="553">
        <f t="shared" si="1"/>
        <v>12627</v>
      </c>
    </row>
    <row r="32" spans="1:11" ht="30">
      <c r="A32" s="550"/>
      <c r="B32" s="550"/>
      <c r="C32" s="535" t="s">
        <v>962</v>
      </c>
      <c r="D32" s="540">
        <v>1</v>
      </c>
      <c r="E32" s="540" t="s">
        <v>722</v>
      </c>
      <c r="F32" s="540">
        <v>1</v>
      </c>
      <c r="G32" s="544">
        <v>3000</v>
      </c>
      <c r="H32" s="546">
        <f>ROUND('Cross section-CC lining'!D125/1000,2)</f>
        <v>5.83</v>
      </c>
      <c r="I32" s="554" t="s">
        <v>86</v>
      </c>
      <c r="J32" s="553">
        <f t="shared" si="1"/>
        <v>17490</v>
      </c>
    </row>
    <row r="33" spans="1:11" ht="30">
      <c r="A33" s="550"/>
      <c r="B33" s="550"/>
      <c r="C33" s="535"/>
      <c r="D33" s="535"/>
      <c r="E33" s="535"/>
      <c r="F33" s="535"/>
      <c r="G33" s="535"/>
      <c r="H33" s="535" t="s">
        <v>133</v>
      </c>
      <c r="I33" s="535"/>
      <c r="J33" s="553">
        <f>SUM(J26:J32)</f>
        <v>91958.3</v>
      </c>
    </row>
    <row r="34" spans="1:11">
      <c r="A34" s="550"/>
      <c r="B34" s="550"/>
      <c r="C34" s="535"/>
      <c r="D34" s="535"/>
      <c r="E34" s="535"/>
      <c r="F34" s="535"/>
      <c r="G34" s="535"/>
      <c r="H34" s="535"/>
      <c r="I34" s="535" t="s">
        <v>134</v>
      </c>
      <c r="J34" s="552">
        <f>ROUND(J33,0)</f>
        <v>91958</v>
      </c>
    </row>
    <row r="35" spans="1:11">
      <c r="A35" s="550"/>
      <c r="B35" s="550"/>
      <c r="C35" s="535"/>
      <c r="D35" s="535"/>
      <c r="E35" s="535"/>
      <c r="F35" s="535"/>
      <c r="G35" s="535"/>
      <c r="H35" s="535"/>
      <c r="I35" s="535"/>
      <c r="J35" s="552"/>
    </row>
    <row r="36" spans="1:11" ht="69.75" customHeight="1">
      <c r="A36" s="550">
        <v>4</v>
      </c>
      <c r="B36" s="550" t="s">
        <v>108</v>
      </c>
      <c r="C36" s="594" t="s">
        <v>727</v>
      </c>
      <c r="D36" s="594"/>
      <c r="E36" s="594"/>
      <c r="F36" s="594"/>
      <c r="G36" s="594"/>
      <c r="H36" s="594"/>
      <c r="I36" s="594"/>
      <c r="J36" s="551"/>
    </row>
    <row r="37" spans="1:11" ht="65.25" customHeight="1">
      <c r="A37" s="550"/>
      <c r="B37" s="550"/>
      <c r="C37" s="535" t="s">
        <v>970</v>
      </c>
      <c r="D37" s="540">
        <v>3</v>
      </c>
      <c r="E37" s="540" t="s">
        <v>722</v>
      </c>
      <c r="F37" s="541">
        <v>933</v>
      </c>
      <c r="G37" s="542" t="s">
        <v>86</v>
      </c>
      <c r="H37" s="542" t="s">
        <v>86</v>
      </c>
      <c r="I37" s="542" t="s">
        <v>86</v>
      </c>
      <c r="J37" s="553">
        <f>F37*D37</f>
        <v>2799</v>
      </c>
    </row>
    <row r="38" spans="1:11" ht="67.5" customHeight="1">
      <c r="A38" s="550"/>
      <c r="B38" s="550"/>
      <c r="C38" s="535" t="s">
        <v>971</v>
      </c>
      <c r="D38" s="540">
        <v>3</v>
      </c>
      <c r="E38" s="540" t="s">
        <v>722</v>
      </c>
      <c r="F38" s="541">
        <v>1137</v>
      </c>
      <c r="G38" s="542" t="s">
        <v>86</v>
      </c>
      <c r="H38" s="542" t="s">
        <v>86</v>
      </c>
      <c r="I38" s="542" t="s">
        <v>86</v>
      </c>
      <c r="J38" s="553">
        <f t="shared" ref="J38:J41" si="2">F38*D38</f>
        <v>3411</v>
      </c>
    </row>
    <row r="39" spans="1:11" ht="63" customHeight="1">
      <c r="A39" s="550"/>
      <c r="B39" s="550"/>
      <c r="C39" s="535" t="s">
        <v>972</v>
      </c>
      <c r="D39" s="540">
        <v>3</v>
      </c>
      <c r="E39" s="540" t="s">
        <v>722</v>
      </c>
      <c r="F39" s="541">
        <v>1200</v>
      </c>
      <c r="G39" s="542" t="s">
        <v>86</v>
      </c>
      <c r="H39" s="542" t="s">
        <v>86</v>
      </c>
      <c r="I39" s="542" t="s">
        <v>86</v>
      </c>
      <c r="J39" s="553">
        <f t="shared" si="2"/>
        <v>3600</v>
      </c>
    </row>
    <row r="40" spans="1:11" ht="68.25" customHeight="1">
      <c r="A40" s="550"/>
      <c r="B40" s="550"/>
      <c r="C40" s="535" t="s">
        <v>973</v>
      </c>
      <c r="D40" s="540">
        <v>3</v>
      </c>
      <c r="E40" s="540" t="s">
        <v>722</v>
      </c>
      <c r="F40" s="541">
        <v>767</v>
      </c>
      <c r="G40" s="542" t="s">
        <v>86</v>
      </c>
      <c r="H40" s="542" t="s">
        <v>86</v>
      </c>
      <c r="I40" s="542" t="s">
        <v>86</v>
      </c>
      <c r="J40" s="553">
        <f t="shared" si="2"/>
        <v>2301</v>
      </c>
    </row>
    <row r="41" spans="1:11" ht="69.75" customHeight="1">
      <c r="A41" s="550"/>
      <c r="B41" s="550"/>
      <c r="C41" s="535" t="s">
        <v>974</v>
      </c>
      <c r="D41" s="540">
        <v>3</v>
      </c>
      <c r="E41" s="540" t="s">
        <v>722</v>
      </c>
      <c r="F41" s="541">
        <v>1000</v>
      </c>
      <c r="G41" s="542" t="s">
        <v>86</v>
      </c>
      <c r="H41" s="542" t="s">
        <v>86</v>
      </c>
      <c r="I41" s="542" t="s">
        <v>86</v>
      </c>
      <c r="J41" s="553">
        <f t="shared" si="2"/>
        <v>3000</v>
      </c>
    </row>
    <row r="42" spans="1:11" ht="30">
      <c r="A42" s="550"/>
      <c r="B42" s="550"/>
      <c r="C42" s="535"/>
      <c r="D42" s="535"/>
      <c r="E42" s="535"/>
      <c r="F42" s="535"/>
      <c r="G42" s="535"/>
      <c r="H42" s="535" t="s">
        <v>133</v>
      </c>
      <c r="I42" s="535"/>
      <c r="J42" s="551">
        <f>SUM(J37:J41)</f>
        <v>15111</v>
      </c>
    </row>
    <row r="43" spans="1:11">
      <c r="A43" s="550"/>
      <c r="B43" s="550"/>
      <c r="C43" s="535"/>
      <c r="D43" s="535"/>
      <c r="E43" s="535"/>
      <c r="F43" s="535"/>
      <c r="G43" s="535"/>
      <c r="H43" s="535"/>
      <c r="I43" s="535"/>
      <c r="J43" s="551"/>
    </row>
    <row r="44" spans="1:11" ht="58.5" customHeight="1">
      <c r="A44" s="550">
        <v>5</v>
      </c>
      <c r="B44" s="550" t="s">
        <v>723</v>
      </c>
      <c r="C44" s="594" t="s">
        <v>728</v>
      </c>
      <c r="D44" s="594"/>
      <c r="E44" s="594"/>
      <c r="F44" s="594"/>
      <c r="G44" s="594"/>
      <c r="H44" s="594"/>
      <c r="I44" s="594"/>
      <c r="J44" s="551"/>
      <c r="K44" s="305"/>
    </row>
    <row r="45" spans="1:11" ht="28.5">
      <c r="A45" s="550"/>
      <c r="B45" s="550"/>
      <c r="C45" s="555" t="s">
        <v>719</v>
      </c>
      <c r="D45" s="556"/>
      <c r="E45" s="556"/>
      <c r="F45" s="535"/>
      <c r="G45" s="535"/>
      <c r="H45" s="535"/>
      <c r="I45" s="535"/>
      <c r="J45" s="551"/>
      <c r="K45" s="305"/>
    </row>
    <row r="46" spans="1:11" ht="30">
      <c r="A46" s="550"/>
      <c r="B46" s="550"/>
      <c r="C46" s="543" t="s">
        <v>955</v>
      </c>
      <c r="D46" s="535">
        <v>1</v>
      </c>
      <c r="E46" s="535" t="s">
        <v>722</v>
      </c>
      <c r="F46" s="540">
        <v>2</v>
      </c>
      <c r="G46" s="544">
        <v>2800</v>
      </c>
      <c r="H46" s="542" t="s">
        <v>86</v>
      </c>
      <c r="I46" s="542" t="s">
        <v>86</v>
      </c>
      <c r="J46" s="551">
        <f>ROUND(D46*G46*F46,3)</f>
        <v>5600</v>
      </c>
    </row>
    <row r="47" spans="1:11" ht="30">
      <c r="A47" s="550"/>
      <c r="B47" s="550"/>
      <c r="C47" s="535" t="s">
        <v>956</v>
      </c>
      <c r="D47" s="535">
        <v>1</v>
      </c>
      <c r="E47" s="535" t="s">
        <v>722</v>
      </c>
      <c r="F47" s="540">
        <v>2</v>
      </c>
      <c r="G47" s="544">
        <v>3410</v>
      </c>
      <c r="H47" s="542" t="s">
        <v>86</v>
      </c>
      <c r="I47" s="542" t="s">
        <v>86</v>
      </c>
      <c r="J47" s="551">
        <f t="shared" ref="J47:J60" si="3">ROUND(D47*G47*F47,3)</f>
        <v>6820</v>
      </c>
    </row>
    <row r="48" spans="1:11" ht="30">
      <c r="A48" s="550"/>
      <c r="B48" s="550"/>
      <c r="C48" s="535" t="s">
        <v>975</v>
      </c>
      <c r="D48" s="535">
        <v>1</v>
      </c>
      <c r="E48" s="535" t="s">
        <v>722</v>
      </c>
      <c r="F48" s="540">
        <v>2</v>
      </c>
      <c r="G48" s="544">
        <v>3600</v>
      </c>
      <c r="H48" s="542" t="s">
        <v>86</v>
      </c>
      <c r="I48" s="542" t="s">
        <v>86</v>
      </c>
      <c r="J48" s="551">
        <f t="shared" si="3"/>
        <v>7200</v>
      </c>
    </row>
    <row r="49" spans="1:11" ht="30">
      <c r="A49" s="550"/>
      <c r="B49" s="550"/>
      <c r="C49" s="535" t="s">
        <v>976</v>
      </c>
      <c r="D49" s="535">
        <v>1</v>
      </c>
      <c r="E49" s="535" t="s">
        <v>722</v>
      </c>
      <c r="F49" s="540">
        <v>2</v>
      </c>
      <c r="G49" s="544">
        <v>2300</v>
      </c>
      <c r="H49" s="542" t="s">
        <v>86</v>
      </c>
      <c r="I49" s="542" t="s">
        <v>86</v>
      </c>
      <c r="J49" s="551">
        <f t="shared" si="3"/>
        <v>4600</v>
      </c>
    </row>
    <row r="50" spans="1:11" ht="30">
      <c r="A50" s="550"/>
      <c r="B50" s="550"/>
      <c r="C50" s="535" t="s">
        <v>977</v>
      </c>
      <c r="D50" s="535">
        <v>1</v>
      </c>
      <c r="E50" s="535" t="s">
        <v>722</v>
      </c>
      <c r="F50" s="540">
        <v>2</v>
      </c>
      <c r="G50" s="544">
        <v>3000</v>
      </c>
      <c r="H50" s="542" t="s">
        <v>86</v>
      </c>
      <c r="I50" s="542" t="s">
        <v>86</v>
      </c>
      <c r="J50" s="551">
        <f t="shared" si="3"/>
        <v>6000</v>
      </c>
    </row>
    <row r="51" spans="1:11">
      <c r="A51" s="550"/>
      <c r="B51" s="550"/>
      <c r="C51" s="535"/>
      <c r="D51" s="535"/>
      <c r="E51" s="535"/>
      <c r="F51" s="540"/>
      <c r="G51" s="544"/>
      <c r="H51" s="542"/>
      <c r="I51" s="542"/>
      <c r="J51" s="551"/>
    </row>
    <row r="52" spans="1:11" ht="28.5">
      <c r="A52" s="550"/>
      <c r="B52" s="550"/>
      <c r="C52" s="555" t="s">
        <v>720</v>
      </c>
      <c r="D52" s="556"/>
      <c r="E52" s="556"/>
      <c r="F52" s="535"/>
      <c r="G52" s="535"/>
      <c r="H52" s="535"/>
      <c r="I52" s="535"/>
      <c r="J52" s="551"/>
    </row>
    <row r="53" spans="1:11">
      <c r="A53" s="550"/>
      <c r="B53" s="550"/>
      <c r="C53" s="557"/>
      <c r="D53" s="556"/>
      <c r="E53" s="556"/>
      <c r="F53" s="535"/>
      <c r="G53" s="535"/>
      <c r="H53" s="535"/>
      <c r="I53" s="535"/>
      <c r="J53" s="551"/>
    </row>
    <row r="54" spans="1:11" ht="30">
      <c r="A54" s="550"/>
      <c r="B54" s="550"/>
      <c r="C54" s="535" t="s">
        <v>978</v>
      </c>
      <c r="D54" s="540">
        <v>1</v>
      </c>
      <c r="E54" s="540" t="s">
        <v>722</v>
      </c>
      <c r="F54" s="540">
        <v>280</v>
      </c>
      <c r="G54" s="544">
        <v>6.59</v>
      </c>
      <c r="H54" s="542" t="s">
        <v>86</v>
      </c>
      <c r="I54" s="542" t="s">
        <v>86</v>
      </c>
      <c r="J54" s="551">
        <f t="shared" si="3"/>
        <v>1845.2</v>
      </c>
    </row>
    <row r="55" spans="1:11" ht="45">
      <c r="A55" s="550"/>
      <c r="B55" s="550"/>
      <c r="C55" s="535" t="s">
        <v>979</v>
      </c>
      <c r="D55" s="540">
        <v>1</v>
      </c>
      <c r="E55" s="540" t="s">
        <v>722</v>
      </c>
      <c r="F55" s="540">
        <v>146</v>
      </c>
      <c r="G55" s="544">
        <v>5.43</v>
      </c>
      <c r="H55" s="542" t="s">
        <v>86</v>
      </c>
      <c r="I55" s="542" t="s">
        <v>86</v>
      </c>
      <c r="J55" s="551">
        <f t="shared" si="3"/>
        <v>792.78</v>
      </c>
    </row>
    <row r="56" spans="1:11" ht="45">
      <c r="A56" s="550"/>
      <c r="B56" s="550"/>
      <c r="C56" s="535" t="s">
        <v>980</v>
      </c>
      <c r="D56" s="540">
        <v>1</v>
      </c>
      <c r="E56" s="540" t="s">
        <v>722</v>
      </c>
      <c r="F56" s="540">
        <v>195</v>
      </c>
      <c r="G56" s="544">
        <v>5.33</v>
      </c>
      <c r="H56" s="542" t="s">
        <v>86</v>
      </c>
      <c r="I56" s="542" t="s">
        <v>86</v>
      </c>
      <c r="J56" s="551">
        <f t="shared" si="3"/>
        <v>1039.3499999999999</v>
      </c>
    </row>
    <row r="57" spans="1:11" ht="45">
      <c r="A57" s="550"/>
      <c r="B57" s="550"/>
      <c r="C57" s="535" t="s">
        <v>981</v>
      </c>
      <c r="D57" s="540">
        <v>1</v>
      </c>
      <c r="E57" s="540" t="s">
        <v>722</v>
      </c>
      <c r="F57" s="540">
        <v>260</v>
      </c>
      <c r="G57" s="544">
        <v>7.13</v>
      </c>
      <c r="H57" s="542" t="s">
        <v>86</v>
      </c>
      <c r="I57" s="542" t="s">
        <v>86</v>
      </c>
      <c r="J57" s="551">
        <f t="shared" si="3"/>
        <v>1853.8</v>
      </c>
    </row>
    <row r="58" spans="1:11" ht="30">
      <c r="A58" s="550"/>
      <c r="B58" s="550"/>
      <c r="C58" s="535" t="s">
        <v>960</v>
      </c>
      <c r="D58" s="540">
        <v>1</v>
      </c>
      <c r="E58" s="540" t="s">
        <v>722</v>
      </c>
      <c r="F58" s="540">
        <v>100</v>
      </c>
      <c r="G58" s="544">
        <v>6.53</v>
      </c>
      <c r="H58" s="542" t="s">
        <v>86</v>
      </c>
      <c r="I58" s="542" t="s">
        <v>86</v>
      </c>
      <c r="J58" s="551">
        <f t="shared" si="3"/>
        <v>653</v>
      </c>
    </row>
    <row r="59" spans="1:11" ht="45">
      <c r="A59" s="550"/>
      <c r="B59" s="550"/>
      <c r="C59" s="535" t="s">
        <v>982</v>
      </c>
      <c r="D59" s="540">
        <v>1</v>
      </c>
      <c r="E59" s="540" t="s">
        <v>722</v>
      </c>
      <c r="F59" s="540">
        <v>230</v>
      </c>
      <c r="G59" s="544">
        <v>5.49</v>
      </c>
      <c r="H59" s="542" t="s">
        <v>86</v>
      </c>
      <c r="I59" s="542" t="s">
        <v>86</v>
      </c>
      <c r="J59" s="551">
        <f t="shared" si="3"/>
        <v>1262.7</v>
      </c>
    </row>
    <row r="60" spans="1:11" ht="45">
      <c r="A60" s="550"/>
      <c r="B60" s="550"/>
      <c r="C60" s="535" t="s">
        <v>983</v>
      </c>
      <c r="D60" s="540">
        <v>1</v>
      </c>
      <c r="E60" s="540" t="s">
        <v>722</v>
      </c>
      <c r="F60" s="540">
        <v>300</v>
      </c>
      <c r="G60" s="544">
        <v>5.83</v>
      </c>
      <c r="H60" s="542" t="s">
        <v>86</v>
      </c>
      <c r="I60" s="542" t="s">
        <v>86</v>
      </c>
      <c r="J60" s="551">
        <f t="shared" si="3"/>
        <v>1749</v>
      </c>
    </row>
    <row r="61" spans="1:11">
      <c r="A61" s="550"/>
      <c r="B61" s="550"/>
      <c r="C61" s="535"/>
      <c r="D61" s="535"/>
      <c r="E61" s="535"/>
      <c r="F61" s="535"/>
      <c r="G61" s="535"/>
      <c r="H61" s="535" t="s">
        <v>721</v>
      </c>
      <c r="I61" s="535"/>
      <c r="J61" s="553">
        <f>SUM(J46:J60)</f>
        <v>39415.83</v>
      </c>
    </row>
    <row r="62" spans="1:11">
      <c r="A62" s="550"/>
      <c r="B62" s="550"/>
      <c r="C62" s="535"/>
      <c r="D62" s="535"/>
      <c r="E62" s="535"/>
      <c r="F62" s="535"/>
      <c r="G62" s="535"/>
      <c r="H62" s="535" t="s">
        <v>134</v>
      </c>
      <c r="I62" s="535"/>
      <c r="J62" s="552">
        <f>ROUND(J61,0)</f>
        <v>39416</v>
      </c>
    </row>
    <row r="63" spans="1:11">
      <c r="A63" s="550"/>
      <c r="B63" s="550"/>
      <c r="C63" s="535"/>
      <c r="D63" s="535"/>
      <c r="E63" s="535"/>
      <c r="F63" s="535"/>
      <c r="G63" s="535"/>
      <c r="H63" s="535"/>
      <c r="I63" s="535"/>
      <c r="J63" s="552"/>
    </row>
    <row r="64" spans="1:11" ht="92.25" customHeight="1">
      <c r="A64" s="550">
        <v>6</v>
      </c>
      <c r="B64" s="550" t="s">
        <v>110</v>
      </c>
      <c r="C64" s="594" t="s">
        <v>764</v>
      </c>
      <c r="D64" s="594"/>
      <c r="E64" s="594"/>
      <c r="F64" s="594"/>
      <c r="G64" s="594"/>
      <c r="H64" s="594"/>
      <c r="I64" s="594"/>
      <c r="J64" s="551"/>
      <c r="K64" s="545"/>
    </row>
    <row r="65" spans="1:11" ht="60">
      <c r="A65" s="550"/>
      <c r="B65" s="550"/>
      <c r="C65" s="535" t="s">
        <v>984</v>
      </c>
      <c r="D65" s="535">
        <v>10</v>
      </c>
      <c r="E65" s="535" t="s">
        <v>722</v>
      </c>
      <c r="F65" s="540">
        <v>2</v>
      </c>
      <c r="G65" s="546">
        <f>G54</f>
        <v>6.59</v>
      </c>
      <c r="H65" s="542" t="s">
        <v>86</v>
      </c>
      <c r="I65" s="542" t="s">
        <v>86</v>
      </c>
      <c r="J65" s="553">
        <f>ROUND(G65*F65*D65,3)</f>
        <v>131.80000000000001</v>
      </c>
      <c r="K65" s="545"/>
    </row>
    <row r="66" spans="1:11" ht="60">
      <c r="A66" s="550"/>
      <c r="B66" s="550"/>
      <c r="C66" s="535" t="s">
        <v>985</v>
      </c>
      <c r="D66" s="535">
        <v>2</v>
      </c>
      <c r="E66" s="535" t="s">
        <v>722</v>
      </c>
      <c r="F66" s="540">
        <v>2</v>
      </c>
      <c r="G66" s="546">
        <f>G55</f>
        <v>5.43</v>
      </c>
      <c r="H66" s="542" t="s">
        <v>86</v>
      </c>
      <c r="I66" s="542" t="s">
        <v>86</v>
      </c>
      <c r="J66" s="553">
        <f t="shared" ref="J66:J68" si="4">ROUND(G66*F66*D66,3)</f>
        <v>21.72</v>
      </c>
      <c r="K66" s="545"/>
    </row>
    <row r="67" spans="1:11" ht="60">
      <c r="A67" s="550"/>
      <c r="B67" s="550"/>
      <c r="C67" s="535" t="s">
        <v>986</v>
      </c>
      <c r="D67" s="535">
        <v>3</v>
      </c>
      <c r="E67" s="535" t="s">
        <v>722</v>
      </c>
      <c r="F67" s="540">
        <v>2</v>
      </c>
      <c r="G67" s="546">
        <f>G57</f>
        <v>7.13</v>
      </c>
      <c r="H67" s="542" t="s">
        <v>86</v>
      </c>
      <c r="I67" s="542" t="s">
        <v>86</v>
      </c>
      <c r="J67" s="553">
        <f t="shared" si="4"/>
        <v>42.78</v>
      </c>
      <c r="K67" s="545"/>
    </row>
    <row r="68" spans="1:11" ht="60">
      <c r="A68" s="550"/>
      <c r="B68" s="550"/>
      <c r="C68" s="535" t="s">
        <v>987</v>
      </c>
      <c r="D68" s="535">
        <v>2</v>
      </c>
      <c r="E68" s="535" t="s">
        <v>722</v>
      </c>
      <c r="F68" s="540">
        <v>2</v>
      </c>
      <c r="G68" s="546">
        <f>G59</f>
        <v>5.49</v>
      </c>
      <c r="H68" s="542" t="s">
        <v>86</v>
      </c>
      <c r="I68" s="542" t="s">
        <v>86</v>
      </c>
      <c r="J68" s="553">
        <f t="shared" si="4"/>
        <v>21.96</v>
      </c>
      <c r="K68" s="545"/>
    </row>
    <row r="69" spans="1:11" ht="18">
      <c r="A69" s="550"/>
      <c r="B69" s="550"/>
      <c r="C69" s="535"/>
      <c r="D69" s="535"/>
      <c r="E69" s="535"/>
      <c r="F69" s="535"/>
      <c r="G69" s="535"/>
      <c r="H69" s="535" t="s">
        <v>721</v>
      </c>
      <c r="I69" s="535"/>
      <c r="J69" s="553">
        <f>SUM(J65:J68)</f>
        <v>218.26000000000002</v>
      </c>
      <c r="K69" s="545"/>
    </row>
    <row r="70" spans="1:11" ht="18">
      <c r="A70" s="550"/>
      <c r="B70" s="550"/>
      <c r="C70" s="535"/>
      <c r="D70" s="535"/>
      <c r="E70" s="535"/>
      <c r="F70" s="535"/>
      <c r="G70" s="535"/>
      <c r="H70" s="535" t="s">
        <v>134</v>
      </c>
      <c r="I70" s="535"/>
      <c r="J70" s="551">
        <f>ROUND(J69,0)</f>
        <v>218</v>
      </c>
      <c r="K70" s="545"/>
    </row>
    <row r="71" spans="1:11" ht="18">
      <c r="A71" s="550"/>
      <c r="B71" s="550"/>
      <c r="C71" s="535"/>
      <c r="D71" s="535"/>
      <c r="E71" s="535"/>
      <c r="F71" s="535"/>
      <c r="G71" s="535"/>
      <c r="H71" s="535"/>
      <c r="I71" s="535"/>
      <c r="J71" s="551"/>
      <c r="K71" s="545"/>
    </row>
    <row r="72" spans="1:11" ht="61.5" customHeight="1">
      <c r="A72" s="550">
        <v>7</v>
      </c>
      <c r="B72" s="550" t="s">
        <v>132</v>
      </c>
      <c r="C72" s="605" t="s">
        <v>732</v>
      </c>
      <c r="D72" s="605"/>
      <c r="E72" s="605"/>
      <c r="F72" s="605"/>
      <c r="G72" s="605"/>
      <c r="H72" s="605"/>
      <c r="I72" s="605"/>
      <c r="J72" s="551"/>
      <c r="K72" s="545"/>
    </row>
    <row r="73" spans="1:11" ht="30">
      <c r="A73" s="550"/>
      <c r="B73" s="550"/>
      <c r="C73" s="534" t="s">
        <v>990</v>
      </c>
      <c r="D73" s="534"/>
      <c r="E73" s="534"/>
      <c r="F73" s="534"/>
      <c r="G73" s="534"/>
      <c r="H73" s="534"/>
      <c r="I73" s="534"/>
      <c r="J73" s="551"/>
      <c r="K73" s="545"/>
    </row>
    <row r="74" spans="1:11" ht="20.100000000000001" customHeight="1">
      <c r="A74" s="550"/>
      <c r="B74" s="550"/>
      <c r="C74" s="244" t="s">
        <v>135</v>
      </c>
      <c r="D74" s="244">
        <v>1</v>
      </c>
      <c r="E74" s="244" t="s">
        <v>722</v>
      </c>
      <c r="F74" s="245">
        <v>2</v>
      </c>
      <c r="G74" s="246">
        <v>12.9</v>
      </c>
      <c r="H74" s="246">
        <v>2.8</v>
      </c>
      <c r="I74" s="246">
        <v>1.5</v>
      </c>
      <c r="J74" s="558">
        <f>ROUND(I74*H74*G74*F74*D74,3)</f>
        <v>108.36</v>
      </c>
      <c r="K74" s="545"/>
    </row>
    <row r="75" spans="1:11" ht="20.100000000000001" customHeight="1">
      <c r="A75" s="550"/>
      <c r="B75" s="550"/>
      <c r="C75" s="244" t="s">
        <v>136</v>
      </c>
      <c r="D75" s="244">
        <v>1</v>
      </c>
      <c r="E75" s="244" t="s">
        <v>722</v>
      </c>
      <c r="F75" s="245">
        <v>1</v>
      </c>
      <c r="G75" s="246">
        <v>5.3</v>
      </c>
      <c r="H75" s="246">
        <v>1.57</v>
      </c>
      <c r="I75" s="246">
        <v>1.5</v>
      </c>
      <c r="J75" s="558">
        <f>ROUND(I75*H75*G75*F75*D75,3)</f>
        <v>12.481999999999999</v>
      </c>
      <c r="K75" s="545"/>
    </row>
    <row r="76" spans="1:11" ht="20.100000000000001" customHeight="1">
      <c r="A76" s="550"/>
      <c r="B76" s="550"/>
      <c r="C76" s="534"/>
      <c r="D76" s="534"/>
      <c r="E76" s="534"/>
      <c r="F76" s="534"/>
      <c r="G76" s="534"/>
      <c r="H76" s="534"/>
      <c r="I76" s="534"/>
      <c r="J76" s="558">
        <f>SUM(J74:J75)</f>
        <v>120.842</v>
      </c>
      <c r="K76" s="545"/>
    </row>
    <row r="77" spans="1:11" ht="30" customHeight="1">
      <c r="A77" s="550"/>
      <c r="B77" s="550"/>
      <c r="C77" s="244" t="s">
        <v>1074</v>
      </c>
      <c r="D77" s="244"/>
      <c r="E77" s="244"/>
      <c r="F77" s="534"/>
      <c r="G77" s="534"/>
      <c r="H77" s="534"/>
      <c r="I77" s="534"/>
      <c r="J77" s="558">
        <f>ROUND(17*J76,3)</f>
        <v>2054.3139999999999</v>
      </c>
      <c r="K77" s="545"/>
    </row>
    <row r="78" spans="1:11" ht="20.100000000000001" customHeight="1">
      <c r="A78" s="550"/>
      <c r="B78" s="550"/>
      <c r="C78" s="534"/>
      <c r="D78" s="534"/>
      <c r="E78" s="534"/>
      <c r="F78" s="534"/>
      <c r="G78" s="534"/>
      <c r="H78" s="534"/>
      <c r="I78" s="534"/>
      <c r="J78" s="551"/>
      <c r="K78" s="545"/>
    </row>
    <row r="79" spans="1:11" ht="35.25" customHeight="1">
      <c r="A79" s="550"/>
      <c r="B79" s="550"/>
      <c r="C79" s="443" t="s">
        <v>989</v>
      </c>
      <c r="D79" s="244"/>
      <c r="E79" s="244"/>
      <c r="F79" s="247"/>
      <c r="G79" s="559"/>
      <c r="H79" s="559"/>
      <c r="I79" s="559"/>
      <c r="J79" s="559"/>
      <c r="K79" s="560"/>
    </row>
    <row r="80" spans="1:11" ht="20.100000000000001" customHeight="1">
      <c r="A80" s="550"/>
      <c r="B80" s="550"/>
      <c r="C80" s="244" t="s">
        <v>857</v>
      </c>
      <c r="D80" s="244">
        <v>1</v>
      </c>
      <c r="E80" s="244" t="s">
        <v>722</v>
      </c>
      <c r="F80" s="247">
        <v>2</v>
      </c>
      <c r="G80" s="559">
        <v>10.6</v>
      </c>
      <c r="H80" s="559">
        <v>2.2000000000000002</v>
      </c>
      <c r="I80" s="559">
        <v>1.5</v>
      </c>
      <c r="J80" s="558">
        <f>ROUND(I80*H80*G80*F80*D80,3)</f>
        <v>69.959999999999994</v>
      </c>
      <c r="K80" s="560"/>
    </row>
    <row r="81" spans="1:11" ht="20.100000000000001" customHeight="1">
      <c r="A81" s="550"/>
      <c r="B81" s="550"/>
      <c r="C81" s="244" t="s">
        <v>858</v>
      </c>
      <c r="D81" s="244">
        <v>1</v>
      </c>
      <c r="E81" s="244" t="s">
        <v>722</v>
      </c>
      <c r="F81" s="247">
        <v>1</v>
      </c>
      <c r="G81" s="559">
        <v>2.5</v>
      </c>
      <c r="H81" s="559">
        <v>1.6</v>
      </c>
      <c r="I81" s="559">
        <v>1.5</v>
      </c>
      <c r="J81" s="558">
        <f t="shared" ref="J81:J110" si="5">ROUND(I81*H81*G81*F81*D81,3)</f>
        <v>6</v>
      </c>
      <c r="K81" s="560"/>
    </row>
    <row r="82" spans="1:11" ht="20.100000000000001" customHeight="1">
      <c r="A82" s="550"/>
      <c r="B82" s="550"/>
      <c r="C82" s="244"/>
      <c r="D82" s="244"/>
      <c r="E82" s="244"/>
      <c r="F82" s="247"/>
      <c r="G82" s="559"/>
      <c r="H82" s="559"/>
      <c r="I82" s="559"/>
      <c r="J82" s="558"/>
      <c r="K82" s="560"/>
    </row>
    <row r="83" spans="1:11" ht="31.5" customHeight="1">
      <c r="A83" s="550"/>
      <c r="B83" s="550"/>
      <c r="C83" s="443" t="s">
        <v>1038</v>
      </c>
      <c r="D83" s="244"/>
      <c r="E83" s="244"/>
      <c r="F83" s="247"/>
      <c r="G83" s="559"/>
      <c r="H83" s="559"/>
      <c r="I83" s="559"/>
      <c r="J83" s="558"/>
      <c r="K83" s="560"/>
    </row>
    <row r="84" spans="1:11" ht="40.5" customHeight="1">
      <c r="A84" s="550"/>
      <c r="B84" s="550"/>
      <c r="C84" s="244" t="s">
        <v>857</v>
      </c>
      <c r="D84" s="244">
        <v>1</v>
      </c>
      <c r="E84" s="244" t="s">
        <v>722</v>
      </c>
      <c r="F84" s="247">
        <v>2</v>
      </c>
      <c r="G84" s="559">
        <v>10.6</v>
      </c>
      <c r="H84" s="559">
        <v>2.2000000000000002</v>
      </c>
      <c r="I84" s="559">
        <v>2.2999999999999998</v>
      </c>
      <c r="J84" s="558">
        <f t="shared" si="5"/>
        <v>107.27200000000001</v>
      </c>
      <c r="K84" s="560"/>
    </row>
    <row r="85" spans="1:11" ht="20.100000000000001" customHeight="1">
      <c r="A85" s="550"/>
      <c r="B85" s="550"/>
      <c r="C85" s="244" t="s">
        <v>858</v>
      </c>
      <c r="D85" s="244">
        <v>1</v>
      </c>
      <c r="E85" s="244" t="s">
        <v>722</v>
      </c>
      <c r="F85" s="247">
        <v>1</v>
      </c>
      <c r="G85" s="559">
        <v>2.5</v>
      </c>
      <c r="H85" s="559">
        <v>1.6</v>
      </c>
      <c r="I85" s="559">
        <v>2.2999999999999998</v>
      </c>
      <c r="J85" s="558">
        <f t="shared" si="5"/>
        <v>9.1999999999999993</v>
      </c>
      <c r="K85" s="560"/>
    </row>
    <row r="86" spans="1:11" ht="20.100000000000001" customHeight="1">
      <c r="A86" s="550"/>
      <c r="B86" s="550"/>
      <c r="C86" s="244"/>
      <c r="D86" s="244"/>
      <c r="E86" s="244"/>
      <c r="F86" s="247"/>
      <c r="G86" s="559"/>
      <c r="H86" s="559"/>
      <c r="I86" s="559"/>
      <c r="J86" s="558"/>
      <c r="K86" s="560"/>
    </row>
    <row r="87" spans="1:11" ht="33" customHeight="1">
      <c r="A87" s="550"/>
      <c r="B87" s="550"/>
      <c r="C87" s="443" t="s">
        <v>1040</v>
      </c>
      <c r="D87" s="244"/>
      <c r="E87" s="244"/>
      <c r="F87" s="247"/>
      <c r="G87" s="559"/>
      <c r="H87" s="559"/>
      <c r="I87" s="559"/>
      <c r="J87" s="558"/>
      <c r="K87" s="560"/>
    </row>
    <row r="88" spans="1:11" ht="20.100000000000001" customHeight="1">
      <c r="A88" s="550"/>
      <c r="B88" s="550"/>
      <c r="C88" s="244" t="s">
        <v>857</v>
      </c>
      <c r="D88" s="244">
        <v>1</v>
      </c>
      <c r="E88" s="244" t="s">
        <v>722</v>
      </c>
      <c r="F88" s="247">
        <v>2</v>
      </c>
      <c r="G88" s="559">
        <v>10.6</v>
      </c>
      <c r="H88" s="559">
        <v>2.2000000000000002</v>
      </c>
      <c r="I88" s="559">
        <v>1.5</v>
      </c>
      <c r="J88" s="558">
        <f t="shared" si="5"/>
        <v>69.959999999999994</v>
      </c>
      <c r="K88" s="560"/>
    </row>
    <row r="89" spans="1:11" ht="20.100000000000001" customHeight="1">
      <c r="A89" s="550"/>
      <c r="B89" s="550"/>
      <c r="C89" s="244" t="s">
        <v>858</v>
      </c>
      <c r="D89" s="244">
        <v>1</v>
      </c>
      <c r="E89" s="244" t="s">
        <v>722</v>
      </c>
      <c r="F89" s="247">
        <v>1</v>
      </c>
      <c r="G89" s="559">
        <v>2.5</v>
      </c>
      <c r="H89" s="559">
        <v>1.6</v>
      </c>
      <c r="I89" s="559">
        <v>1.5</v>
      </c>
      <c r="J89" s="558">
        <f t="shared" si="5"/>
        <v>6</v>
      </c>
      <c r="K89" s="560"/>
    </row>
    <row r="90" spans="1:11" ht="20.100000000000001" customHeight="1">
      <c r="A90" s="550"/>
      <c r="B90" s="550"/>
      <c r="C90" s="244"/>
      <c r="D90" s="244"/>
      <c r="E90" s="244"/>
      <c r="F90" s="247"/>
      <c r="G90" s="559"/>
      <c r="H90" s="559"/>
      <c r="I90" s="559"/>
      <c r="J90" s="558"/>
      <c r="K90" s="560"/>
    </row>
    <row r="91" spans="1:11" ht="36" customHeight="1">
      <c r="A91" s="550"/>
      <c r="B91" s="550"/>
      <c r="C91" s="443" t="s">
        <v>1041</v>
      </c>
      <c r="D91" s="244"/>
      <c r="E91" s="244"/>
      <c r="F91" s="247"/>
      <c r="G91" s="559"/>
      <c r="H91" s="559"/>
      <c r="I91" s="559"/>
      <c r="J91" s="558"/>
      <c r="K91" s="560"/>
    </row>
    <row r="92" spans="1:11" ht="20.100000000000001" customHeight="1">
      <c r="A92" s="550"/>
      <c r="B92" s="550"/>
      <c r="C92" s="244" t="s">
        <v>857</v>
      </c>
      <c r="D92" s="244">
        <v>1</v>
      </c>
      <c r="E92" s="244" t="s">
        <v>722</v>
      </c>
      <c r="F92" s="247">
        <v>2</v>
      </c>
      <c r="G92" s="559">
        <v>10.6</v>
      </c>
      <c r="H92" s="559">
        <v>2.2000000000000002</v>
      </c>
      <c r="I92" s="559">
        <v>1.5</v>
      </c>
      <c r="J92" s="558">
        <f t="shared" si="5"/>
        <v>69.959999999999994</v>
      </c>
      <c r="K92" s="560"/>
    </row>
    <row r="93" spans="1:11" ht="20.100000000000001" customHeight="1">
      <c r="A93" s="550"/>
      <c r="B93" s="550"/>
      <c r="C93" s="244" t="s">
        <v>858</v>
      </c>
      <c r="D93" s="244">
        <v>1</v>
      </c>
      <c r="E93" s="244" t="s">
        <v>722</v>
      </c>
      <c r="F93" s="247">
        <v>1</v>
      </c>
      <c r="G93" s="559">
        <v>2.5</v>
      </c>
      <c r="H93" s="559">
        <v>1.6</v>
      </c>
      <c r="I93" s="559">
        <v>1.5</v>
      </c>
      <c r="J93" s="558">
        <f t="shared" si="5"/>
        <v>6</v>
      </c>
      <c r="K93" s="560"/>
    </row>
    <row r="94" spans="1:11" ht="20.100000000000001" customHeight="1">
      <c r="A94" s="550"/>
      <c r="B94" s="550"/>
      <c r="C94" s="244"/>
      <c r="D94" s="244"/>
      <c r="E94" s="244"/>
      <c r="F94" s="247"/>
      <c r="G94" s="559"/>
      <c r="H94" s="559"/>
      <c r="I94" s="559"/>
      <c r="J94" s="558"/>
      <c r="K94" s="560"/>
    </row>
    <row r="95" spans="1:11" ht="33" customHeight="1">
      <c r="A95" s="550"/>
      <c r="B95" s="550"/>
      <c r="C95" s="443" t="s">
        <v>1049</v>
      </c>
      <c r="D95" s="244"/>
      <c r="E95" s="244"/>
      <c r="F95" s="247"/>
      <c r="G95" s="559"/>
      <c r="H95" s="559"/>
      <c r="I95" s="559"/>
      <c r="J95" s="558"/>
      <c r="K95" s="560"/>
    </row>
    <row r="96" spans="1:11" ht="20.100000000000001" customHeight="1">
      <c r="A96" s="550"/>
      <c r="B96" s="550"/>
      <c r="C96" s="244" t="s">
        <v>857</v>
      </c>
      <c r="D96" s="244">
        <v>1</v>
      </c>
      <c r="E96" s="244" t="s">
        <v>722</v>
      </c>
      <c r="F96" s="247">
        <v>2</v>
      </c>
      <c r="G96" s="559">
        <v>10.6</v>
      </c>
      <c r="H96" s="559">
        <v>2.2000000000000002</v>
      </c>
      <c r="I96" s="559">
        <v>1.5</v>
      </c>
      <c r="J96" s="558">
        <f t="shared" si="5"/>
        <v>69.959999999999994</v>
      </c>
      <c r="K96" s="560"/>
    </row>
    <row r="97" spans="1:11" ht="20.100000000000001" customHeight="1">
      <c r="A97" s="550"/>
      <c r="B97" s="550"/>
      <c r="C97" s="244" t="s">
        <v>858</v>
      </c>
      <c r="D97" s="244">
        <v>1</v>
      </c>
      <c r="E97" s="244" t="s">
        <v>722</v>
      </c>
      <c r="F97" s="247">
        <v>1</v>
      </c>
      <c r="G97" s="559">
        <v>2.5</v>
      </c>
      <c r="H97" s="559">
        <v>1.6</v>
      </c>
      <c r="I97" s="559">
        <v>1.5</v>
      </c>
      <c r="J97" s="558">
        <f t="shared" si="5"/>
        <v>6</v>
      </c>
      <c r="K97" s="560"/>
    </row>
    <row r="98" spans="1:11" ht="20.100000000000001" customHeight="1">
      <c r="A98" s="550"/>
      <c r="B98" s="550"/>
      <c r="C98" s="244"/>
      <c r="D98" s="244"/>
      <c r="E98" s="244"/>
      <c r="F98" s="247"/>
      <c r="G98" s="559"/>
      <c r="H98" s="559"/>
      <c r="I98" s="559"/>
      <c r="J98" s="558"/>
      <c r="K98" s="560"/>
    </row>
    <row r="99" spans="1:11" ht="39.75" customHeight="1">
      <c r="A99" s="550"/>
      <c r="B99" s="550"/>
      <c r="C99" s="443" t="s">
        <v>1064</v>
      </c>
      <c r="D99" s="244"/>
      <c r="E99" s="244"/>
      <c r="F99" s="247"/>
      <c r="G99" s="559"/>
      <c r="H99" s="559"/>
      <c r="I99" s="559"/>
      <c r="J99" s="558"/>
      <c r="K99" s="560"/>
    </row>
    <row r="100" spans="1:11" ht="20.100000000000001" customHeight="1">
      <c r="A100" s="550"/>
      <c r="B100" s="550"/>
      <c r="C100" s="244" t="s">
        <v>1065</v>
      </c>
      <c r="D100" s="244">
        <v>1</v>
      </c>
      <c r="E100" s="244" t="s">
        <v>722</v>
      </c>
      <c r="F100" s="245">
        <v>1</v>
      </c>
      <c r="G100" s="246">
        <v>8.6</v>
      </c>
      <c r="H100" s="246">
        <v>2.1</v>
      </c>
      <c r="I100" s="246">
        <v>1.6</v>
      </c>
      <c r="J100" s="558">
        <f t="shared" si="5"/>
        <v>28.896000000000001</v>
      </c>
      <c r="K100" s="560"/>
    </row>
    <row r="101" spans="1:11" ht="20.100000000000001" customHeight="1">
      <c r="A101" s="550"/>
      <c r="B101" s="550"/>
      <c r="C101" s="244" t="s">
        <v>1066</v>
      </c>
      <c r="D101" s="244">
        <v>1</v>
      </c>
      <c r="E101" s="244" t="s">
        <v>722</v>
      </c>
      <c r="F101" s="245">
        <v>1</v>
      </c>
      <c r="G101" s="246">
        <v>8.6</v>
      </c>
      <c r="H101" s="246">
        <v>2.1</v>
      </c>
      <c r="I101" s="246">
        <v>1.6</v>
      </c>
      <c r="J101" s="558">
        <f t="shared" si="5"/>
        <v>28.896000000000001</v>
      </c>
      <c r="K101" s="560"/>
    </row>
    <row r="102" spans="1:11" ht="20.100000000000001" customHeight="1">
      <c r="A102" s="550"/>
      <c r="B102" s="550"/>
      <c r="C102" s="244" t="s">
        <v>988</v>
      </c>
      <c r="D102" s="244">
        <v>1</v>
      </c>
      <c r="E102" s="244" t="s">
        <v>722</v>
      </c>
      <c r="F102" s="245">
        <v>2</v>
      </c>
      <c r="G102" s="246">
        <v>3.3</v>
      </c>
      <c r="H102" s="246">
        <v>2.1</v>
      </c>
      <c r="I102" s="246">
        <v>1.6</v>
      </c>
      <c r="J102" s="558">
        <f t="shared" si="5"/>
        <v>22.175999999999998</v>
      </c>
      <c r="K102" s="560"/>
    </row>
    <row r="103" spans="1:11" ht="20.100000000000001" customHeight="1">
      <c r="A103" s="550"/>
      <c r="B103" s="550"/>
      <c r="C103" s="244" t="s">
        <v>136</v>
      </c>
      <c r="D103" s="244">
        <v>1</v>
      </c>
      <c r="E103" s="244" t="s">
        <v>722</v>
      </c>
      <c r="F103" s="245">
        <v>1</v>
      </c>
      <c r="G103" s="246">
        <v>1.4</v>
      </c>
      <c r="H103" s="246">
        <v>3.94</v>
      </c>
      <c r="I103" s="246">
        <v>1.6</v>
      </c>
      <c r="J103" s="558">
        <f t="shared" si="5"/>
        <v>8.8260000000000005</v>
      </c>
      <c r="K103" s="560"/>
    </row>
    <row r="104" spans="1:11" ht="20.100000000000001" customHeight="1">
      <c r="A104" s="550"/>
      <c r="B104" s="550"/>
      <c r="C104" s="244"/>
      <c r="D104" s="244"/>
      <c r="E104" s="244"/>
      <c r="F104" s="247"/>
      <c r="G104" s="559"/>
      <c r="H104" s="559"/>
      <c r="I104" s="559"/>
      <c r="J104" s="558"/>
      <c r="K104" s="560"/>
    </row>
    <row r="105" spans="1:11" ht="20.100000000000001" customHeight="1">
      <c r="A105" s="550"/>
      <c r="B105" s="550"/>
      <c r="C105" s="244"/>
      <c r="D105" s="244"/>
      <c r="E105" s="244"/>
      <c r="F105" s="247"/>
      <c r="G105" s="559"/>
      <c r="H105" s="559"/>
      <c r="I105" s="559"/>
      <c r="J105" s="558"/>
      <c r="K105" s="560"/>
    </row>
    <row r="106" spans="1:11" ht="30" customHeight="1">
      <c r="A106" s="550"/>
      <c r="B106" s="550"/>
      <c r="C106" s="443" t="s">
        <v>1067</v>
      </c>
      <c r="D106" s="244"/>
      <c r="E106" s="244"/>
      <c r="F106" s="247"/>
      <c r="G106" s="559"/>
      <c r="H106" s="559"/>
      <c r="I106" s="559"/>
      <c r="J106" s="558"/>
      <c r="K106" s="560"/>
    </row>
    <row r="107" spans="1:11" ht="20.100000000000001" customHeight="1">
      <c r="A107" s="550"/>
      <c r="B107" s="550"/>
      <c r="C107" s="244" t="s">
        <v>1065</v>
      </c>
      <c r="D107" s="244">
        <v>1</v>
      </c>
      <c r="E107" s="244" t="s">
        <v>722</v>
      </c>
      <c r="F107" s="245">
        <v>1</v>
      </c>
      <c r="G107" s="246">
        <v>8.6</v>
      </c>
      <c r="H107" s="246">
        <v>2.1</v>
      </c>
      <c r="I107" s="246">
        <v>1.6</v>
      </c>
      <c r="J107" s="558">
        <f t="shared" si="5"/>
        <v>28.896000000000001</v>
      </c>
      <c r="K107" s="560"/>
    </row>
    <row r="108" spans="1:11" ht="20.100000000000001" customHeight="1">
      <c r="A108" s="550"/>
      <c r="B108" s="550"/>
      <c r="C108" s="244" t="s">
        <v>1066</v>
      </c>
      <c r="D108" s="244">
        <v>1</v>
      </c>
      <c r="E108" s="244" t="s">
        <v>722</v>
      </c>
      <c r="F108" s="245">
        <v>1</v>
      </c>
      <c r="G108" s="246">
        <v>8.6</v>
      </c>
      <c r="H108" s="246">
        <v>2.1</v>
      </c>
      <c r="I108" s="246">
        <v>1.6</v>
      </c>
      <c r="J108" s="558">
        <f t="shared" si="5"/>
        <v>28.896000000000001</v>
      </c>
      <c r="K108" s="560"/>
    </row>
    <row r="109" spans="1:11" ht="20.100000000000001" customHeight="1">
      <c r="A109" s="550"/>
      <c r="B109" s="550"/>
      <c r="C109" s="244" t="s">
        <v>988</v>
      </c>
      <c r="D109" s="244">
        <v>1</v>
      </c>
      <c r="E109" s="244" t="s">
        <v>722</v>
      </c>
      <c r="F109" s="245">
        <v>2</v>
      </c>
      <c r="G109" s="246">
        <v>3.3</v>
      </c>
      <c r="H109" s="246">
        <v>2.1</v>
      </c>
      <c r="I109" s="246">
        <v>1.6</v>
      </c>
      <c r="J109" s="558">
        <f t="shared" si="5"/>
        <v>22.175999999999998</v>
      </c>
      <c r="K109" s="560"/>
    </row>
    <row r="110" spans="1:11" ht="20.100000000000001" customHeight="1">
      <c r="A110" s="550"/>
      <c r="B110" s="550"/>
      <c r="C110" s="244" t="s">
        <v>136</v>
      </c>
      <c r="D110" s="244">
        <v>1</v>
      </c>
      <c r="E110" s="244" t="s">
        <v>722</v>
      </c>
      <c r="F110" s="245">
        <v>1</v>
      </c>
      <c r="G110" s="246">
        <v>1.4</v>
      </c>
      <c r="H110" s="246">
        <v>3.94</v>
      </c>
      <c r="I110" s="246">
        <v>1.6</v>
      </c>
      <c r="J110" s="558">
        <f t="shared" si="5"/>
        <v>8.8260000000000005</v>
      </c>
      <c r="K110" s="560"/>
    </row>
    <row r="111" spans="1:11" ht="20.100000000000001" customHeight="1">
      <c r="A111" s="550"/>
      <c r="B111" s="550"/>
      <c r="C111" s="244"/>
      <c r="D111" s="244"/>
      <c r="E111" s="244"/>
      <c r="F111" s="247"/>
      <c r="G111" s="559"/>
      <c r="H111" s="559"/>
      <c r="I111" s="559"/>
      <c r="J111" s="559"/>
      <c r="K111" s="560"/>
    </row>
    <row r="112" spans="1:11" ht="20.100000000000001" customHeight="1">
      <c r="A112" s="550"/>
      <c r="B112" s="550"/>
      <c r="C112" s="244"/>
      <c r="D112" s="244"/>
      <c r="E112" s="244"/>
      <c r="F112" s="247"/>
      <c r="G112" s="559"/>
      <c r="H112" s="561" t="s">
        <v>717</v>
      </c>
      <c r="I112" s="561"/>
      <c r="J112" s="559">
        <f>SUM(J77:J111)</f>
        <v>2652.2140000000004</v>
      </c>
      <c r="K112" s="560"/>
    </row>
    <row r="113" spans="1:12" ht="20.100000000000001" customHeight="1">
      <c r="A113" s="550"/>
      <c r="B113" s="550"/>
      <c r="C113" s="245"/>
      <c r="D113" s="245"/>
      <c r="E113" s="245"/>
      <c r="F113" s="247"/>
      <c r="G113" s="559"/>
      <c r="H113" s="559"/>
      <c r="I113" s="559" t="s">
        <v>134</v>
      </c>
      <c r="J113" s="562">
        <f>ROUND(J112,0)</f>
        <v>2652</v>
      </c>
    </row>
    <row r="114" spans="1:12">
      <c r="A114" s="550"/>
      <c r="B114" s="550"/>
      <c r="C114" s="245"/>
      <c r="D114" s="245"/>
      <c r="E114" s="245"/>
      <c r="F114" s="247"/>
      <c r="G114" s="559"/>
      <c r="H114" s="559"/>
      <c r="I114" s="559"/>
      <c r="J114" s="562"/>
    </row>
    <row r="115" spans="1:12" ht="54" customHeight="1">
      <c r="A115" s="550">
        <v>8</v>
      </c>
      <c r="B115" s="550" t="s">
        <v>132</v>
      </c>
      <c r="C115" s="594" t="s">
        <v>731</v>
      </c>
      <c r="D115" s="594"/>
      <c r="E115" s="594"/>
      <c r="F115" s="594"/>
      <c r="G115" s="594"/>
      <c r="H115" s="594"/>
      <c r="I115" s="594"/>
      <c r="J115" s="551"/>
    </row>
    <row r="116" spans="1:12" ht="30">
      <c r="A116" s="550"/>
      <c r="B116" s="550"/>
      <c r="C116" s="534" t="s">
        <v>990</v>
      </c>
      <c r="D116" s="534"/>
      <c r="E116" s="534"/>
      <c r="F116" s="534"/>
      <c r="G116" s="534"/>
      <c r="H116" s="534"/>
      <c r="I116" s="534"/>
      <c r="J116" s="551"/>
    </row>
    <row r="117" spans="1:12" ht="20.100000000000001" customHeight="1">
      <c r="A117" s="550"/>
      <c r="B117" s="550"/>
      <c r="C117" s="244" t="s">
        <v>135</v>
      </c>
      <c r="D117" s="244">
        <v>1</v>
      </c>
      <c r="E117" s="244" t="s">
        <v>722</v>
      </c>
      <c r="F117" s="245">
        <v>2</v>
      </c>
      <c r="G117" s="246">
        <v>12.9</v>
      </c>
      <c r="H117" s="246">
        <v>2.8</v>
      </c>
      <c r="I117" s="246">
        <v>0.6</v>
      </c>
      <c r="J117" s="558">
        <f>ROUND(I117*H117*G117*F117*D117,3)</f>
        <v>43.344000000000001</v>
      </c>
      <c r="L117" s="563" t="s">
        <v>859</v>
      </c>
    </row>
    <row r="118" spans="1:12" ht="20.100000000000001" customHeight="1">
      <c r="A118" s="550"/>
      <c r="B118" s="550"/>
      <c r="C118" s="244" t="s">
        <v>136</v>
      </c>
      <c r="D118" s="244">
        <v>1</v>
      </c>
      <c r="E118" s="244" t="s">
        <v>722</v>
      </c>
      <c r="F118" s="245">
        <v>1</v>
      </c>
      <c r="G118" s="246">
        <v>5.3</v>
      </c>
      <c r="H118" s="246">
        <v>1.57</v>
      </c>
      <c r="I118" s="246">
        <v>0.6</v>
      </c>
      <c r="J118" s="558">
        <f>ROUND(I118*H118*G118*F118*D118,3)</f>
        <v>4.9930000000000003</v>
      </c>
    </row>
    <row r="119" spans="1:12" ht="20.100000000000001" customHeight="1">
      <c r="A119" s="550"/>
      <c r="B119" s="550"/>
      <c r="C119" s="534"/>
      <c r="D119" s="534"/>
      <c r="E119" s="534"/>
      <c r="F119" s="534"/>
      <c r="G119" s="534"/>
      <c r="H119" s="534"/>
      <c r="I119" s="534"/>
      <c r="J119" s="558">
        <f>SUM(J117:J118)</f>
        <v>48.337000000000003</v>
      </c>
    </row>
    <row r="120" spans="1:12" ht="36.75" customHeight="1">
      <c r="A120" s="550"/>
      <c r="B120" s="550"/>
      <c r="C120" s="244" t="s">
        <v>1075</v>
      </c>
      <c r="D120" s="244"/>
      <c r="E120" s="244"/>
      <c r="F120" s="534"/>
      <c r="G120" s="534"/>
      <c r="H120" s="534"/>
      <c r="I120" s="534"/>
      <c r="J120" s="558">
        <f>ROUND(17*J119,3)</f>
        <v>821.72900000000004</v>
      </c>
    </row>
    <row r="121" spans="1:12" ht="36.75" customHeight="1">
      <c r="A121" s="550"/>
      <c r="B121" s="550"/>
      <c r="C121" s="534"/>
      <c r="D121" s="534"/>
      <c r="E121" s="534"/>
      <c r="F121" s="534"/>
      <c r="G121" s="534"/>
      <c r="H121" s="534"/>
      <c r="I121" s="534"/>
      <c r="J121" s="551"/>
    </row>
    <row r="122" spans="1:12" ht="36.75" customHeight="1">
      <c r="A122" s="550"/>
      <c r="B122" s="550"/>
      <c r="C122" s="443" t="s">
        <v>989</v>
      </c>
      <c r="D122" s="244"/>
      <c r="E122" s="244"/>
      <c r="F122" s="247"/>
      <c r="G122" s="559"/>
      <c r="H122" s="559"/>
      <c r="I122" s="559"/>
      <c r="J122" s="559"/>
    </row>
    <row r="123" spans="1:12" ht="22.5" customHeight="1">
      <c r="A123" s="550"/>
      <c r="B123" s="550"/>
      <c r="C123" s="244" t="s">
        <v>857</v>
      </c>
      <c r="D123" s="244">
        <v>1</v>
      </c>
      <c r="E123" s="244" t="s">
        <v>722</v>
      </c>
      <c r="F123" s="247">
        <v>2</v>
      </c>
      <c r="G123" s="559">
        <v>10.6</v>
      </c>
      <c r="H123" s="559">
        <v>2.2000000000000002</v>
      </c>
      <c r="I123" s="559">
        <v>0.3</v>
      </c>
      <c r="J123" s="558">
        <f>ROUND(I123*H123*G123*F123*D123,3)</f>
        <v>13.992000000000001</v>
      </c>
    </row>
    <row r="124" spans="1:12" ht="21" customHeight="1">
      <c r="A124" s="550"/>
      <c r="B124" s="550"/>
      <c r="C124" s="244" t="s">
        <v>858</v>
      </c>
      <c r="D124" s="244">
        <v>1</v>
      </c>
      <c r="E124" s="244" t="s">
        <v>722</v>
      </c>
      <c r="F124" s="247">
        <v>1</v>
      </c>
      <c r="G124" s="559">
        <v>2.5</v>
      </c>
      <c r="H124" s="559">
        <v>1.6</v>
      </c>
      <c r="I124" s="559">
        <v>0.3</v>
      </c>
      <c r="J124" s="558">
        <f t="shared" ref="J124:J153" si="6">ROUND(I124*H124*G124*F124*D124,3)</f>
        <v>1.2</v>
      </c>
    </row>
    <row r="125" spans="1:12" ht="36.75" customHeight="1">
      <c r="A125" s="550"/>
      <c r="B125" s="550"/>
      <c r="C125" s="244"/>
      <c r="D125" s="244"/>
      <c r="E125" s="244"/>
      <c r="F125" s="247"/>
      <c r="G125" s="559"/>
      <c r="H125" s="559"/>
      <c r="I125" s="559"/>
      <c r="J125" s="558"/>
    </row>
    <row r="126" spans="1:12" ht="36.75" customHeight="1">
      <c r="A126" s="550"/>
      <c r="B126" s="550"/>
      <c r="C126" s="443" t="s">
        <v>1038</v>
      </c>
      <c r="D126" s="244"/>
      <c r="E126" s="244"/>
      <c r="F126" s="247"/>
      <c r="G126" s="559"/>
      <c r="H126" s="559"/>
      <c r="I126" s="559"/>
      <c r="J126" s="558"/>
    </row>
    <row r="127" spans="1:12" ht="30" customHeight="1">
      <c r="A127" s="550"/>
      <c r="B127" s="550"/>
      <c r="C127" s="244" t="s">
        <v>857</v>
      </c>
      <c r="D127" s="244">
        <v>1</v>
      </c>
      <c r="E127" s="244" t="s">
        <v>722</v>
      </c>
      <c r="F127" s="247">
        <v>2</v>
      </c>
      <c r="G127" s="559">
        <v>10.6</v>
      </c>
      <c r="H127" s="559">
        <v>2.2000000000000002</v>
      </c>
      <c r="I127" s="559">
        <v>0.3</v>
      </c>
      <c r="J127" s="558">
        <f t="shared" si="6"/>
        <v>13.992000000000001</v>
      </c>
    </row>
    <row r="128" spans="1:12" ht="20.25" customHeight="1">
      <c r="A128" s="550"/>
      <c r="B128" s="550"/>
      <c r="C128" s="244" t="s">
        <v>858</v>
      </c>
      <c r="D128" s="244">
        <v>1</v>
      </c>
      <c r="E128" s="244" t="s">
        <v>722</v>
      </c>
      <c r="F128" s="247">
        <v>1</v>
      </c>
      <c r="G128" s="559">
        <v>2.5</v>
      </c>
      <c r="H128" s="559">
        <v>1.6</v>
      </c>
      <c r="I128" s="559">
        <v>0.3</v>
      </c>
      <c r="J128" s="558">
        <f t="shared" si="6"/>
        <v>1.2</v>
      </c>
    </row>
    <row r="129" spans="1:10" ht="36.75" customHeight="1">
      <c r="A129" s="550"/>
      <c r="B129" s="550"/>
      <c r="C129" s="244"/>
      <c r="D129" s="244"/>
      <c r="E129" s="244"/>
      <c r="F129" s="247"/>
      <c r="G129" s="559"/>
      <c r="H129" s="559"/>
      <c r="I129" s="559"/>
      <c r="J129" s="558"/>
    </row>
    <row r="130" spans="1:10" ht="36.75" customHeight="1">
      <c r="A130" s="550"/>
      <c r="B130" s="550"/>
      <c r="C130" s="443" t="s">
        <v>1040</v>
      </c>
      <c r="D130" s="244"/>
      <c r="E130" s="244"/>
      <c r="F130" s="247"/>
      <c r="G130" s="559"/>
      <c r="H130" s="559"/>
      <c r="I130" s="559"/>
      <c r="J130" s="558"/>
    </row>
    <row r="131" spans="1:10" ht="36.75" customHeight="1">
      <c r="A131" s="550"/>
      <c r="B131" s="550"/>
      <c r="C131" s="244" t="s">
        <v>857</v>
      </c>
      <c r="D131" s="244">
        <v>1</v>
      </c>
      <c r="E131" s="244" t="s">
        <v>722</v>
      </c>
      <c r="F131" s="247">
        <v>2</v>
      </c>
      <c r="G131" s="559">
        <v>10.6</v>
      </c>
      <c r="H131" s="559">
        <v>2.2000000000000002</v>
      </c>
      <c r="I131" s="559">
        <v>0.3</v>
      </c>
      <c r="J131" s="558">
        <f t="shared" si="6"/>
        <v>13.992000000000001</v>
      </c>
    </row>
    <row r="132" spans="1:10" ht="36.75" customHeight="1">
      <c r="A132" s="550"/>
      <c r="B132" s="550"/>
      <c r="C132" s="244" t="s">
        <v>858</v>
      </c>
      <c r="D132" s="244">
        <v>1</v>
      </c>
      <c r="E132" s="244" t="s">
        <v>722</v>
      </c>
      <c r="F132" s="247">
        <v>1</v>
      </c>
      <c r="G132" s="559">
        <v>2.5</v>
      </c>
      <c r="H132" s="559">
        <v>1.6</v>
      </c>
      <c r="I132" s="559">
        <v>0.3</v>
      </c>
      <c r="J132" s="558">
        <f t="shared" si="6"/>
        <v>1.2</v>
      </c>
    </row>
    <row r="133" spans="1:10" ht="36.75" customHeight="1">
      <c r="A133" s="550"/>
      <c r="B133" s="550"/>
      <c r="C133" s="244"/>
      <c r="D133" s="244"/>
      <c r="E133" s="244"/>
      <c r="F133" s="247"/>
      <c r="G133" s="559"/>
      <c r="H133" s="559"/>
      <c r="I133" s="559"/>
      <c r="J133" s="558"/>
    </row>
    <row r="134" spans="1:10" ht="36.75" customHeight="1">
      <c r="A134" s="550"/>
      <c r="B134" s="550"/>
      <c r="C134" s="443" t="s">
        <v>1041</v>
      </c>
      <c r="D134" s="244"/>
      <c r="E134" s="244"/>
      <c r="F134" s="247"/>
      <c r="G134" s="559"/>
      <c r="H134" s="559"/>
      <c r="I134" s="559"/>
      <c r="J134" s="558"/>
    </row>
    <row r="135" spans="1:10" ht="36.75" customHeight="1">
      <c r="A135" s="550"/>
      <c r="B135" s="550"/>
      <c r="C135" s="244" t="s">
        <v>857</v>
      </c>
      <c r="D135" s="244">
        <v>1</v>
      </c>
      <c r="E135" s="244" t="s">
        <v>722</v>
      </c>
      <c r="F135" s="247">
        <v>2</v>
      </c>
      <c r="G135" s="559">
        <v>10.6</v>
      </c>
      <c r="H135" s="559">
        <v>2.2000000000000002</v>
      </c>
      <c r="I135" s="559">
        <v>0.3</v>
      </c>
      <c r="J135" s="558">
        <f t="shared" si="6"/>
        <v>13.992000000000001</v>
      </c>
    </row>
    <row r="136" spans="1:10" ht="36.75" customHeight="1">
      <c r="A136" s="550"/>
      <c r="B136" s="550"/>
      <c r="C136" s="244" t="s">
        <v>858</v>
      </c>
      <c r="D136" s="244">
        <v>1</v>
      </c>
      <c r="E136" s="244" t="s">
        <v>722</v>
      </c>
      <c r="F136" s="247">
        <v>1</v>
      </c>
      <c r="G136" s="559">
        <v>2.5</v>
      </c>
      <c r="H136" s="559">
        <v>1.6</v>
      </c>
      <c r="I136" s="559">
        <v>0.3</v>
      </c>
      <c r="J136" s="558">
        <f t="shared" si="6"/>
        <v>1.2</v>
      </c>
    </row>
    <row r="137" spans="1:10" ht="36.75" customHeight="1">
      <c r="A137" s="550"/>
      <c r="B137" s="550"/>
      <c r="C137" s="244"/>
      <c r="D137" s="244"/>
      <c r="E137" s="244"/>
      <c r="F137" s="247"/>
      <c r="G137" s="559"/>
      <c r="H137" s="559"/>
      <c r="I137" s="559"/>
      <c r="J137" s="558"/>
    </row>
    <row r="138" spans="1:10" ht="36.75" customHeight="1">
      <c r="A138" s="550"/>
      <c r="B138" s="550"/>
      <c r="C138" s="443" t="s">
        <v>1048</v>
      </c>
      <c r="D138" s="244"/>
      <c r="E138" s="244"/>
      <c r="F138" s="247"/>
      <c r="G138" s="559"/>
      <c r="H138" s="559"/>
      <c r="I138" s="559"/>
      <c r="J138" s="558"/>
    </row>
    <row r="139" spans="1:10" ht="36.75" customHeight="1">
      <c r="A139" s="550"/>
      <c r="B139" s="550"/>
      <c r="C139" s="244" t="s">
        <v>857</v>
      </c>
      <c r="D139" s="244">
        <v>1</v>
      </c>
      <c r="E139" s="244" t="s">
        <v>722</v>
      </c>
      <c r="F139" s="247">
        <v>2</v>
      </c>
      <c r="G139" s="559">
        <v>10.6</v>
      </c>
      <c r="H139" s="559">
        <v>2.2000000000000002</v>
      </c>
      <c r="I139" s="559">
        <v>0.3</v>
      </c>
      <c r="J139" s="558">
        <f t="shared" si="6"/>
        <v>13.992000000000001</v>
      </c>
    </row>
    <row r="140" spans="1:10" ht="36.75" customHeight="1">
      <c r="A140" s="550"/>
      <c r="B140" s="550"/>
      <c r="C140" s="244" t="s">
        <v>858</v>
      </c>
      <c r="D140" s="244">
        <v>1</v>
      </c>
      <c r="E140" s="244" t="s">
        <v>722</v>
      </c>
      <c r="F140" s="247">
        <v>1</v>
      </c>
      <c r="G140" s="559">
        <v>2.5</v>
      </c>
      <c r="H140" s="559">
        <v>1.6</v>
      </c>
      <c r="I140" s="559">
        <v>0.3</v>
      </c>
      <c r="J140" s="558">
        <f t="shared" si="6"/>
        <v>1.2</v>
      </c>
    </row>
    <row r="141" spans="1:10" ht="36.75" customHeight="1">
      <c r="A141" s="550"/>
      <c r="B141" s="550"/>
      <c r="C141" s="244"/>
      <c r="D141" s="244"/>
      <c r="E141" s="244"/>
      <c r="F141" s="247"/>
      <c r="G141" s="559"/>
      <c r="H141" s="559"/>
      <c r="I141" s="559"/>
      <c r="J141" s="558"/>
    </row>
    <row r="142" spans="1:10" ht="36.75" customHeight="1">
      <c r="A142" s="550"/>
      <c r="B142" s="550"/>
      <c r="C142" s="443" t="s">
        <v>1064</v>
      </c>
      <c r="D142" s="244"/>
      <c r="E142" s="244"/>
      <c r="F142" s="247"/>
      <c r="G142" s="559"/>
      <c r="H142" s="559"/>
      <c r="I142" s="559"/>
      <c r="J142" s="558"/>
    </row>
    <row r="143" spans="1:10" ht="36.75" customHeight="1">
      <c r="A143" s="550"/>
      <c r="B143" s="550"/>
      <c r="C143" s="244" t="s">
        <v>1065</v>
      </c>
      <c r="D143" s="244">
        <v>1</v>
      </c>
      <c r="E143" s="244" t="s">
        <v>722</v>
      </c>
      <c r="F143" s="245">
        <v>1</v>
      </c>
      <c r="G143" s="246">
        <v>8.6</v>
      </c>
      <c r="H143" s="246">
        <v>1.35</v>
      </c>
      <c r="I143" s="246">
        <v>0.6</v>
      </c>
      <c r="J143" s="558">
        <f t="shared" si="6"/>
        <v>6.9660000000000002</v>
      </c>
    </row>
    <row r="144" spans="1:10">
      <c r="A144" s="550"/>
      <c r="B144" s="550"/>
      <c r="C144" s="244" t="s">
        <v>1066</v>
      </c>
      <c r="D144" s="244">
        <v>1</v>
      </c>
      <c r="E144" s="244" t="s">
        <v>722</v>
      </c>
      <c r="F144" s="245">
        <v>1</v>
      </c>
      <c r="G144" s="246">
        <v>8.6</v>
      </c>
      <c r="H144" s="246">
        <v>1.35</v>
      </c>
      <c r="I144" s="246">
        <v>0.6</v>
      </c>
      <c r="J144" s="558">
        <f t="shared" si="6"/>
        <v>6.9660000000000002</v>
      </c>
    </row>
    <row r="145" spans="1:11">
      <c r="A145" s="550"/>
      <c r="B145" s="550"/>
      <c r="C145" s="244" t="s">
        <v>988</v>
      </c>
      <c r="D145" s="244">
        <v>1</v>
      </c>
      <c r="E145" s="244" t="s">
        <v>722</v>
      </c>
      <c r="F145" s="245">
        <v>2</v>
      </c>
      <c r="G145" s="246">
        <v>3.3</v>
      </c>
      <c r="H145" s="246">
        <v>1.35</v>
      </c>
      <c r="I145" s="246">
        <v>0.6</v>
      </c>
      <c r="J145" s="558">
        <f t="shared" si="6"/>
        <v>5.3460000000000001</v>
      </c>
    </row>
    <row r="146" spans="1:11">
      <c r="A146" s="550"/>
      <c r="B146" s="550"/>
      <c r="C146" s="244" t="s">
        <v>136</v>
      </c>
      <c r="D146" s="244">
        <v>1</v>
      </c>
      <c r="E146" s="244" t="s">
        <v>722</v>
      </c>
      <c r="F146" s="245">
        <v>1</v>
      </c>
      <c r="G146" s="246">
        <v>1.4</v>
      </c>
      <c r="H146" s="246">
        <v>1.35</v>
      </c>
      <c r="I146" s="246">
        <v>0.6</v>
      </c>
      <c r="J146" s="558">
        <f t="shared" si="6"/>
        <v>1.1339999999999999</v>
      </c>
    </row>
    <row r="147" spans="1:11">
      <c r="A147" s="550"/>
      <c r="B147" s="550"/>
      <c r="C147" s="244"/>
      <c r="D147" s="244"/>
      <c r="E147" s="244"/>
      <c r="F147" s="247"/>
      <c r="G147" s="559"/>
      <c r="H147" s="559"/>
      <c r="I147" s="559"/>
      <c r="J147" s="558"/>
    </row>
    <row r="148" spans="1:11">
      <c r="A148" s="550"/>
      <c r="B148" s="550"/>
      <c r="C148" s="244"/>
      <c r="D148" s="244"/>
      <c r="E148" s="244"/>
      <c r="F148" s="247"/>
      <c r="G148" s="559"/>
      <c r="H148" s="559"/>
      <c r="I148" s="559"/>
      <c r="J148" s="558"/>
    </row>
    <row r="149" spans="1:11" ht="30">
      <c r="A149" s="550"/>
      <c r="B149" s="550"/>
      <c r="C149" s="443" t="s">
        <v>1067</v>
      </c>
      <c r="D149" s="244"/>
      <c r="E149" s="244"/>
      <c r="F149" s="247"/>
      <c r="G149" s="559"/>
      <c r="H149" s="559"/>
      <c r="I149" s="559"/>
      <c r="J149" s="558"/>
    </row>
    <row r="150" spans="1:11">
      <c r="A150" s="550"/>
      <c r="B150" s="550"/>
      <c r="C150" s="244" t="s">
        <v>1065</v>
      </c>
      <c r="D150" s="244">
        <v>1</v>
      </c>
      <c r="E150" s="244" t="s">
        <v>722</v>
      </c>
      <c r="F150" s="245">
        <v>1</v>
      </c>
      <c r="G150" s="246">
        <v>8.6</v>
      </c>
      <c r="H150" s="246">
        <v>1.35</v>
      </c>
      <c r="I150" s="246">
        <v>0.6</v>
      </c>
      <c r="J150" s="558">
        <f t="shared" si="6"/>
        <v>6.9660000000000002</v>
      </c>
    </row>
    <row r="151" spans="1:11">
      <c r="A151" s="550"/>
      <c r="B151" s="550"/>
      <c r="C151" s="244" t="s">
        <v>1066</v>
      </c>
      <c r="D151" s="244">
        <v>1</v>
      </c>
      <c r="E151" s="244" t="s">
        <v>722</v>
      </c>
      <c r="F151" s="245">
        <v>1</v>
      </c>
      <c r="G151" s="246">
        <v>8.6</v>
      </c>
      <c r="H151" s="246">
        <v>1.35</v>
      </c>
      <c r="I151" s="246">
        <v>0.6</v>
      </c>
      <c r="J151" s="558">
        <f t="shared" si="6"/>
        <v>6.9660000000000002</v>
      </c>
    </row>
    <row r="152" spans="1:11" ht="36.75" customHeight="1">
      <c r="A152" s="550"/>
      <c r="B152" s="550"/>
      <c r="C152" s="244" t="s">
        <v>988</v>
      </c>
      <c r="D152" s="244">
        <v>1</v>
      </c>
      <c r="E152" s="244" t="s">
        <v>722</v>
      </c>
      <c r="F152" s="245">
        <v>2</v>
      </c>
      <c r="G152" s="246">
        <v>3.3</v>
      </c>
      <c r="H152" s="246">
        <v>1.45</v>
      </c>
      <c r="I152" s="246">
        <v>0.6</v>
      </c>
      <c r="J152" s="558">
        <f t="shared" si="6"/>
        <v>5.742</v>
      </c>
    </row>
    <row r="153" spans="1:11" ht="36.75" customHeight="1">
      <c r="A153" s="550"/>
      <c r="B153" s="550"/>
      <c r="C153" s="244" t="s">
        <v>136</v>
      </c>
      <c r="D153" s="244">
        <v>1</v>
      </c>
      <c r="E153" s="244" t="s">
        <v>722</v>
      </c>
      <c r="F153" s="245">
        <v>1</v>
      </c>
      <c r="G153" s="246">
        <v>1.4</v>
      </c>
      <c r="H153" s="246">
        <v>3.94</v>
      </c>
      <c r="I153" s="246">
        <v>0.6</v>
      </c>
      <c r="J153" s="558">
        <f t="shared" si="6"/>
        <v>3.31</v>
      </c>
    </row>
    <row r="154" spans="1:11" ht="20.100000000000001" customHeight="1">
      <c r="A154" s="550"/>
      <c r="B154" s="550"/>
      <c r="C154" s="248"/>
      <c r="D154" s="248"/>
      <c r="E154" s="248"/>
      <c r="F154" s="210"/>
      <c r="G154" s="564"/>
      <c r="H154" s="564"/>
      <c r="I154" s="564"/>
      <c r="J154" s="564"/>
    </row>
    <row r="155" spans="1:11" ht="20.100000000000001" customHeight="1">
      <c r="A155" s="550"/>
      <c r="B155" s="550"/>
      <c r="C155" s="248"/>
      <c r="D155" s="248"/>
      <c r="E155" s="248"/>
      <c r="F155" s="210"/>
      <c r="G155" s="565" t="s">
        <v>137</v>
      </c>
      <c r="H155" s="564"/>
      <c r="I155" s="564"/>
      <c r="J155" s="566">
        <f>ROUND(SUM(J120:J153),3)</f>
        <v>941.08500000000004</v>
      </c>
    </row>
    <row r="156" spans="1:11" ht="20.100000000000001" customHeight="1">
      <c r="A156" s="550"/>
      <c r="B156" s="550"/>
      <c r="C156" s="249"/>
      <c r="D156" s="249"/>
      <c r="E156" s="249"/>
      <c r="F156" s="210"/>
      <c r="G156" s="564"/>
      <c r="H156" s="564"/>
      <c r="I156" s="564" t="s">
        <v>134</v>
      </c>
      <c r="J156" s="567">
        <f>ROUND(J155,0)</f>
        <v>941</v>
      </c>
    </row>
    <row r="157" spans="1:11" ht="18">
      <c r="A157" s="550"/>
      <c r="B157" s="550"/>
      <c r="C157" s="249"/>
      <c r="D157" s="249"/>
      <c r="E157" s="249"/>
      <c r="F157" s="210"/>
      <c r="G157" s="564"/>
      <c r="H157" s="564"/>
      <c r="I157" s="564"/>
      <c r="J157" s="564"/>
      <c r="K157" s="545"/>
    </row>
    <row r="158" spans="1:11" ht="101.25" customHeight="1">
      <c r="A158" s="550">
        <v>9</v>
      </c>
      <c r="B158" s="550" t="s">
        <v>132</v>
      </c>
      <c r="C158" s="594" t="s">
        <v>729</v>
      </c>
      <c r="D158" s="594"/>
      <c r="E158" s="594"/>
      <c r="F158" s="594"/>
      <c r="G158" s="594"/>
      <c r="H158" s="594"/>
      <c r="I158" s="594"/>
      <c r="J158" s="564"/>
      <c r="K158" s="545"/>
    </row>
    <row r="159" spans="1:11" ht="18">
      <c r="A159" s="550"/>
      <c r="B159" s="550"/>
      <c r="C159" s="249"/>
      <c r="D159" s="249"/>
      <c r="E159" s="249"/>
      <c r="F159" s="210"/>
      <c r="G159" s="564"/>
      <c r="H159" s="564"/>
      <c r="I159" s="564"/>
      <c r="J159" s="564"/>
      <c r="K159" s="545"/>
    </row>
    <row r="160" spans="1:11" ht="33" customHeight="1">
      <c r="A160" s="550"/>
      <c r="B160" s="550"/>
      <c r="C160" s="443" t="s">
        <v>1042</v>
      </c>
      <c r="D160" s="244"/>
      <c r="E160" s="244"/>
      <c r="F160" s="247"/>
      <c r="G160" s="559"/>
      <c r="H160" s="559"/>
      <c r="I160" s="559"/>
      <c r="J160" s="559"/>
      <c r="K160" s="547"/>
    </row>
    <row r="161" spans="1:11" ht="20.100000000000001" customHeight="1">
      <c r="A161" s="550"/>
      <c r="B161" s="550"/>
      <c r="C161" s="244" t="s">
        <v>857</v>
      </c>
      <c r="D161" s="244">
        <v>1</v>
      </c>
      <c r="E161" s="244" t="s">
        <v>722</v>
      </c>
      <c r="F161" s="247">
        <v>2</v>
      </c>
      <c r="G161" s="559">
        <v>10.6</v>
      </c>
      <c r="H161" s="559">
        <v>2.2000000000000002</v>
      </c>
      <c r="I161" s="559">
        <v>0.15</v>
      </c>
      <c r="J161" s="558">
        <f>ROUND(I161*H161*G161*F161*D161,3)</f>
        <v>6.9960000000000004</v>
      </c>
      <c r="K161" s="547"/>
    </row>
    <row r="162" spans="1:11" ht="20.100000000000001" customHeight="1">
      <c r="A162" s="550"/>
      <c r="B162" s="550"/>
      <c r="C162" s="244" t="s">
        <v>858</v>
      </c>
      <c r="D162" s="244">
        <v>1</v>
      </c>
      <c r="E162" s="244" t="s">
        <v>722</v>
      </c>
      <c r="F162" s="247">
        <v>1</v>
      </c>
      <c r="G162" s="559">
        <v>2.5</v>
      </c>
      <c r="H162" s="559">
        <v>1.6</v>
      </c>
      <c r="I162" s="559">
        <v>0.15</v>
      </c>
      <c r="J162" s="558">
        <f t="shared" ref="J162:J178" si="7">ROUND(I162*H162*G162*F162*D162,3)</f>
        <v>0.6</v>
      </c>
      <c r="K162" s="547"/>
    </row>
    <row r="163" spans="1:11" ht="20.100000000000001" customHeight="1">
      <c r="A163" s="550"/>
      <c r="B163" s="550"/>
      <c r="C163" s="244"/>
      <c r="D163" s="244"/>
      <c r="E163" s="244"/>
      <c r="F163" s="247"/>
      <c r="G163" s="559"/>
      <c r="H163" s="559"/>
      <c r="I163" s="559"/>
      <c r="J163" s="558"/>
      <c r="K163" s="547"/>
    </row>
    <row r="164" spans="1:11" ht="32.25" customHeight="1">
      <c r="A164" s="550"/>
      <c r="B164" s="550"/>
      <c r="C164" s="443" t="s">
        <v>1043</v>
      </c>
      <c r="D164" s="244"/>
      <c r="E164" s="244"/>
      <c r="F164" s="247"/>
      <c r="G164" s="559"/>
      <c r="H164" s="559"/>
      <c r="I164" s="559"/>
      <c r="J164" s="558"/>
      <c r="K164" s="547"/>
    </row>
    <row r="165" spans="1:11" ht="20.100000000000001" customHeight="1">
      <c r="A165" s="550"/>
      <c r="B165" s="550"/>
      <c r="C165" s="244" t="s">
        <v>857</v>
      </c>
      <c r="D165" s="244">
        <v>1</v>
      </c>
      <c r="E165" s="244" t="s">
        <v>722</v>
      </c>
      <c r="F165" s="247">
        <v>2</v>
      </c>
      <c r="G165" s="559">
        <v>10.6</v>
      </c>
      <c r="H165" s="559">
        <v>2.2000000000000002</v>
      </c>
      <c r="I165" s="559">
        <v>0.15</v>
      </c>
      <c r="J165" s="558">
        <f t="shared" si="7"/>
        <v>6.9960000000000004</v>
      </c>
      <c r="K165" s="547"/>
    </row>
    <row r="166" spans="1:11" ht="20.100000000000001" customHeight="1">
      <c r="A166" s="550"/>
      <c r="B166" s="550"/>
      <c r="C166" s="244" t="s">
        <v>858</v>
      </c>
      <c r="D166" s="244">
        <v>1</v>
      </c>
      <c r="E166" s="244" t="s">
        <v>722</v>
      </c>
      <c r="F166" s="247">
        <v>1</v>
      </c>
      <c r="G166" s="559">
        <v>2.5</v>
      </c>
      <c r="H166" s="559">
        <v>1.6</v>
      </c>
      <c r="I166" s="559">
        <v>0.15</v>
      </c>
      <c r="J166" s="558">
        <f t="shared" si="7"/>
        <v>0.6</v>
      </c>
      <c r="K166" s="547"/>
    </row>
    <row r="167" spans="1:11" ht="20.100000000000001" customHeight="1">
      <c r="A167" s="550"/>
      <c r="B167" s="550"/>
      <c r="C167" s="244"/>
      <c r="D167" s="244"/>
      <c r="E167" s="244"/>
      <c r="F167" s="247"/>
      <c r="G167" s="559"/>
      <c r="H167" s="559"/>
      <c r="I167" s="559"/>
      <c r="J167" s="558"/>
      <c r="K167" s="547"/>
    </row>
    <row r="168" spans="1:11" ht="31.5" customHeight="1">
      <c r="A168" s="550"/>
      <c r="B168" s="550"/>
      <c r="C168" s="443" t="s">
        <v>1039</v>
      </c>
      <c r="D168" s="244"/>
      <c r="E168" s="244"/>
      <c r="F168" s="247"/>
      <c r="G168" s="559"/>
      <c r="H168" s="559"/>
      <c r="I168" s="559"/>
      <c r="J168" s="558"/>
      <c r="K168" s="547"/>
    </row>
    <row r="169" spans="1:11" ht="20.100000000000001" customHeight="1">
      <c r="A169" s="550"/>
      <c r="B169" s="550"/>
      <c r="C169" s="244" t="s">
        <v>857</v>
      </c>
      <c r="D169" s="244">
        <v>1</v>
      </c>
      <c r="E169" s="244" t="s">
        <v>722</v>
      </c>
      <c r="F169" s="247">
        <v>2</v>
      </c>
      <c r="G169" s="559">
        <v>10.6</v>
      </c>
      <c r="H169" s="559">
        <v>2.2000000000000002</v>
      </c>
      <c r="I169" s="559">
        <v>0.15</v>
      </c>
      <c r="J169" s="558">
        <f t="shared" si="7"/>
        <v>6.9960000000000004</v>
      </c>
      <c r="K169" s="547"/>
    </row>
    <row r="170" spans="1:11" ht="20.100000000000001" customHeight="1">
      <c r="A170" s="550"/>
      <c r="B170" s="550"/>
      <c r="C170" s="244" t="s">
        <v>858</v>
      </c>
      <c r="D170" s="244">
        <v>1</v>
      </c>
      <c r="E170" s="244" t="s">
        <v>722</v>
      </c>
      <c r="F170" s="247">
        <v>1</v>
      </c>
      <c r="G170" s="559">
        <v>2.5</v>
      </c>
      <c r="H170" s="559">
        <v>1.6</v>
      </c>
      <c r="I170" s="559">
        <v>0.15</v>
      </c>
      <c r="J170" s="558">
        <f t="shared" si="7"/>
        <v>0.6</v>
      </c>
      <c r="K170" s="547"/>
    </row>
    <row r="171" spans="1:11" ht="20.100000000000001" customHeight="1">
      <c r="A171" s="550"/>
      <c r="B171" s="550"/>
      <c r="C171" s="244"/>
      <c r="D171" s="244"/>
      <c r="E171" s="244"/>
      <c r="F171" s="247"/>
      <c r="G171" s="559"/>
      <c r="H171" s="559"/>
      <c r="I171" s="559"/>
      <c r="J171" s="558"/>
      <c r="K171" s="547"/>
    </row>
    <row r="172" spans="1:11" ht="33" customHeight="1">
      <c r="A172" s="550"/>
      <c r="B172" s="550"/>
      <c r="C172" s="443" t="s">
        <v>1044</v>
      </c>
      <c r="D172" s="244"/>
      <c r="E172" s="244"/>
      <c r="F172" s="247"/>
      <c r="G172" s="559"/>
      <c r="H172" s="559"/>
      <c r="I172" s="559"/>
      <c r="J172" s="558"/>
      <c r="K172" s="547"/>
    </row>
    <row r="173" spans="1:11" ht="20.100000000000001" customHeight="1">
      <c r="A173" s="550"/>
      <c r="B173" s="550"/>
      <c r="C173" s="244" t="s">
        <v>857</v>
      </c>
      <c r="D173" s="244">
        <v>1</v>
      </c>
      <c r="E173" s="244" t="s">
        <v>722</v>
      </c>
      <c r="F173" s="247">
        <v>2</v>
      </c>
      <c r="G173" s="559">
        <v>10.6</v>
      </c>
      <c r="H173" s="559">
        <v>2.2000000000000002</v>
      </c>
      <c r="I173" s="559">
        <v>0.15</v>
      </c>
      <c r="J173" s="558">
        <f t="shared" si="7"/>
        <v>6.9960000000000004</v>
      </c>
      <c r="K173" s="547"/>
    </row>
    <row r="174" spans="1:11" ht="20.100000000000001" customHeight="1">
      <c r="A174" s="550"/>
      <c r="B174" s="550"/>
      <c r="C174" s="244" t="s">
        <v>858</v>
      </c>
      <c r="D174" s="244">
        <v>1</v>
      </c>
      <c r="E174" s="244" t="s">
        <v>722</v>
      </c>
      <c r="F174" s="247">
        <v>1</v>
      </c>
      <c r="G174" s="559">
        <v>2.5</v>
      </c>
      <c r="H174" s="559">
        <v>1.6</v>
      </c>
      <c r="I174" s="559">
        <v>0.15</v>
      </c>
      <c r="J174" s="558">
        <f t="shared" si="7"/>
        <v>0.6</v>
      </c>
      <c r="K174" s="547"/>
    </row>
    <row r="175" spans="1:11" ht="20.100000000000001" customHeight="1">
      <c r="A175" s="550"/>
      <c r="B175" s="550"/>
      <c r="C175" s="244"/>
      <c r="D175" s="244"/>
      <c r="E175" s="244"/>
      <c r="F175" s="247"/>
      <c r="G175" s="559"/>
      <c r="H175" s="559"/>
      <c r="I175" s="559"/>
      <c r="J175" s="558"/>
      <c r="K175" s="547"/>
    </row>
    <row r="176" spans="1:11" ht="33.75" customHeight="1">
      <c r="A176" s="550"/>
      <c r="B176" s="550"/>
      <c r="C176" s="443" t="s">
        <v>1047</v>
      </c>
      <c r="D176" s="244"/>
      <c r="E176" s="244"/>
      <c r="F176" s="247"/>
      <c r="G176" s="559"/>
      <c r="H176" s="559"/>
      <c r="I176" s="559"/>
      <c r="J176" s="558"/>
      <c r="K176" s="547"/>
    </row>
    <row r="177" spans="1:14" ht="20.100000000000001" customHeight="1">
      <c r="A177" s="550"/>
      <c r="B177" s="550"/>
      <c r="C177" s="244" t="s">
        <v>857</v>
      </c>
      <c r="D177" s="244">
        <v>1</v>
      </c>
      <c r="E177" s="244" t="s">
        <v>722</v>
      </c>
      <c r="F177" s="247">
        <v>2</v>
      </c>
      <c r="G177" s="559">
        <v>10.6</v>
      </c>
      <c r="H177" s="559">
        <v>2.2000000000000002</v>
      </c>
      <c r="I177" s="559">
        <v>0.15</v>
      </c>
      <c r="J177" s="558">
        <f t="shared" si="7"/>
        <v>6.9960000000000004</v>
      </c>
      <c r="K177" s="547"/>
    </row>
    <row r="178" spans="1:14" ht="20.100000000000001" customHeight="1">
      <c r="A178" s="550"/>
      <c r="B178" s="550"/>
      <c r="C178" s="244" t="s">
        <v>858</v>
      </c>
      <c r="D178" s="244">
        <v>1</v>
      </c>
      <c r="E178" s="244" t="s">
        <v>722</v>
      </c>
      <c r="F178" s="247">
        <v>1</v>
      </c>
      <c r="G178" s="559">
        <v>2.5</v>
      </c>
      <c r="H178" s="559">
        <v>1.6</v>
      </c>
      <c r="I178" s="559">
        <v>0.15</v>
      </c>
      <c r="J178" s="558">
        <f t="shared" si="7"/>
        <v>0.6</v>
      </c>
      <c r="K178" s="547"/>
    </row>
    <row r="179" spans="1:14" ht="20.100000000000001" customHeight="1">
      <c r="A179" s="550"/>
      <c r="B179" s="550"/>
      <c r="C179" s="244"/>
      <c r="D179" s="245"/>
      <c r="E179" s="245"/>
      <c r="F179" s="247"/>
      <c r="G179" s="559"/>
      <c r="H179" s="559"/>
      <c r="I179" s="559"/>
      <c r="J179" s="559"/>
    </row>
    <row r="180" spans="1:14" ht="20.100000000000001" customHeight="1">
      <c r="A180" s="550"/>
      <c r="B180" s="550"/>
      <c r="C180" s="244"/>
      <c r="D180" s="244"/>
      <c r="E180" s="244"/>
      <c r="F180" s="247"/>
      <c r="G180" s="559"/>
      <c r="H180" s="559"/>
      <c r="I180" s="559" t="s">
        <v>230</v>
      </c>
      <c r="J180" s="558">
        <f>ROUND(SUM(J160:J179),3)</f>
        <v>37.979999999999997</v>
      </c>
    </row>
    <row r="181" spans="1:14" ht="20.100000000000001" customHeight="1">
      <c r="A181" s="550"/>
      <c r="B181" s="550"/>
      <c r="C181" s="248"/>
      <c r="D181" s="248"/>
      <c r="E181" s="248"/>
      <c r="F181" s="210"/>
      <c r="G181" s="564"/>
      <c r="H181" s="564"/>
      <c r="I181" s="564"/>
      <c r="J181" s="564"/>
    </row>
    <row r="182" spans="1:14" ht="20.100000000000001" customHeight="1">
      <c r="A182" s="550"/>
      <c r="B182" s="550"/>
      <c r="C182" s="249"/>
      <c r="D182" s="249"/>
      <c r="E182" s="249"/>
      <c r="F182" s="210"/>
      <c r="G182" s="564"/>
      <c r="H182" s="564"/>
      <c r="I182" s="564" t="s">
        <v>134</v>
      </c>
      <c r="J182" s="567">
        <f>ROUND(J180,0)</f>
        <v>38</v>
      </c>
    </row>
    <row r="183" spans="1:14">
      <c r="A183" s="550"/>
      <c r="B183" s="550"/>
      <c r="C183" s="249"/>
      <c r="D183" s="249"/>
      <c r="E183" s="249"/>
      <c r="F183" s="210"/>
      <c r="G183" s="564"/>
      <c r="H183" s="564"/>
      <c r="I183" s="564"/>
      <c r="J183" s="564"/>
    </row>
    <row r="184" spans="1:14">
      <c r="A184" s="550"/>
      <c r="B184" s="550"/>
      <c r="C184" s="535"/>
      <c r="D184" s="535"/>
      <c r="E184" s="535"/>
      <c r="F184" s="535"/>
      <c r="G184" s="535"/>
      <c r="H184" s="535"/>
      <c r="I184" s="535"/>
      <c r="J184" s="551"/>
    </row>
    <row r="185" spans="1:14" ht="96.75" customHeight="1">
      <c r="A185" s="550">
        <v>10</v>
      </c>
      <c r="B185" s="550" t="s">
        <v>132</v>
      </c>
      <c r="C185" s="594" t="s">
        <v>730</v>
      </c>
      <c r="D185" s="594"/>
      <c r="E185" s="594"/>
      <c r="F185" s="594"/>
      <c r="G185" s="594"/>
      <c r="H185" s="594"/>
      <c r="I185" s="594"/>
      <c r="J185" s="551"/>
    </row>
    <row r="186" spans="1:14" ht="30">
      <c r="A186" s="550"/>
      <c r="B186" s="550"/>
      <c r="C186" s="534" t="s">
        <v>990</v>
      </c>
      <c r="D186" s="534"/>
      <c r="E186" s="534"/>
      <c r="F186" s="534"/>
      <c r="G186" s="534"/>
      <c r="H186" s="534"/>
      <c r="I186" s="534"/>
      <c r="J186" s="551"/>
    </row>
    <row r="187" spans="1:14" ht="20.100000000000001" customHeight="1">
      <c r="A187" s="550"/>
      <c r="B187" s="550"/>
      <c r="C187" s="244"/>
      <c r="D187" s="244"/>
      <c r="E187" s="244"/>
      <c r="F187" s="245"/>
      <c r="G187" s="246"/>
      <c r="H187" s="444"/>
      <c r="I187" s="246"/>
      <c r="J187" s="559"/>
      <c r="M187" s="563" t="s">
        <v>860</v>
      </c>
    </row>
    <row r="188" spans="1:14" ht="32.25" customHeight="1">
      <c r="A188" s="550"/>
      <c r="B188" s="550"/>
      <c r="C188" s="244" t="s">
        <v>895</v>
      </c>
      <c r="D188" s="244">
        <v>1</v>
      </c>
      <c r="E188" s="244" t="s">
        <v>722</v>
      </c>
      <c r="F188" s="245">
        <v>2</v>
      </c>
      <c r="G188" s="246">
        <v>12.9</v>
      </c>
      <c r="H188" s="246">
        <v>2.8</v>
      </c>
      <c r="I188" s="246">
        <v>0.6</v>
      </c>
      <c r="J188" s="558">
        <f>ROUND(I188*H188*G188*F188*D188,3)</f>
        <v>43.344000000000001</v>
      </c>
    </row>
    <row r="189" spans="1:14" ht="20.100000000000001" customHeight="1">
      <c r="A189" s="550"/>
      <c r="B189" s="550"/>
      <c r="C189" s="244" t="s">
        <v>861</v>
      </c>
      <c r="D189" s="244">
        <v>1</v>
      </c>
      <c r="E189" s="244" t="s">
        <v>722</v>
      </c>
      <c r="F189" s="245">
        <v>1</v>
      </c>
      <c r="G189" s="246">
        <v>5.3</v>
      </c>
      <c r="H189" s="246">
        <v>1.57</v>
      </c>
      <c r="I189" s="246">
        <v>0.35</v>
      </c>
      <c r="J189" s="558">
        <f t="shared" ref="J189:J190" si="8">ROUND(I189*H189*G189*F189*D189,3)</f>
        <v>2.9119999999999999</v>
      </c>
      <c r="N189" s="548">
        <f>(0.45+0.3)/2</f>
        <v>0.375</v>
      </c>
    </row>
    <row r="190" spans="1:14" ht="20.100000000000001" customHeight="1">
      <c r="A190" s="550"/>
      <c r="B190" s="550"/>
      <c r="C190" s="244" t="s">
        <v>862</v>
      </c>
      <c r="D190" s="244">
        <v>1</v>
      </c>
      <c r="E190" s="244" t="s">
        <v>722</v>
      </c>
      <c r="F190" s="245">
        <v>1</v>
      </c>
      <c r="G190" s="246">
        <v>5.3</v>
      </c>
      <c r="H190" s="246">
        <v>1.57</v>
      </c>
      <c r="I190" s="246">
        <v>0.4</v>
      </c>
      <c r="J190" s="558">
        <f t="shared" si="8"/>
        <v>3.3279999999999998</v>
      </c>
    </row>
    <row r="191" spans="1:14" ht="20.100000000000001" customHeight="1">
      <c r="A191" s="550"/>
      <c r="B191" s="550"/>
      <c r="C191" s="244"/>
      <c r="D191" s="244"/>
      <c r="E191" s="244"/>
      <c r="F191" s="245"/>
      <c r="G191" s="246"/>
      <c r="H191" s="246"/>
      <c r="I191" s="246"/>
      <c r="J191" s="559"/>
    </row>
    <row r="192" spans="1:14" ht="20.100000000000001" customHeight="1">
      <c r="A192" s="550"/>
      <c r="B192" s="550"/>
      <c r="C192" s="534"/>
      <c r="D192" s="534"/>
      <c r="E192" s="534"/>
      <c r="F192" s="534"/>
      <c r="G192" s="534"/>
      <c r="H192" s="534"/>
      <c r="I192" s="534" t="s">
        <v>230</v>
      </c>
      <c r="J192" s="558">
        <f>ROUND(SUM(J187:J191),3)</f>
        <v>49.584000000000003</v>
      </c>
    </row>
    <row r="193" spans="1:10" ht="30">
      <c r="A193" s="550"/>
      <c r="B193" s="550"/>
      <c r="C193" s="244" t="s">
        <v>1073</v>
      </c>
      <c r="D193" s="244"/>
      <c r="E193" s="244"/>
      <c r="F193" s="534"/>
      <c r="G193" s="534"/>
      <c r="H193" s="534"/>
      <c r="I193" s="534"/>
      <c r="J193" s="558">
        <f>ROUND(J192*17,3)</f>
        <v>842.928</v>
      </c>
    </row>
    <row r="194" spans="1:10">
      <c r="A194" s="550"/>
      <c r="B194" s="550"/>
      <c r="C194" s="534"/>
      <c r="D194" s="534"/>
      <c r="E194" s="534"/>
      <c r="F194" s="534"/>
      <c r="G194" s="534"/>
      <c r="H194" s="534"/>
      <c r="I194" s="534"/>
      <c r="J194" s="551"/>
    </row>
    <row r="195" spans="1:10" ht="20.100000000000001" customHeight="1">
      <c r="A195" s="550"/>
      <c r="B195" s="550"/>
      <c r="C195" s="443"/>
      <c r="D195" s="244"/>
      <c r="E195" s="244"/>
      <c r="F195" s="247"/>
      <c r="G195" s="559"/>
      <c r="H195" s="559"/>
      <c r="I195" s="559"/>
      <c r="J195" s="559"/>
    </row>
    <row r="196" spans="1:10" ht="20.100000000000001" customHeight="1">
      <c r="A196" s="550"/>
      <c r="B196" s="550"/>
      <c r="C196" s="443" t="s">
        <v>989</v>
      </c>
      <c r="D196" s="244"/>
      <c r="E196" s="244"/>
      <c r="F196" s="247"/>
      <c r="G196" s="559"/>
      <c r="H196" s="559"/>
      <c r="I196" s="559"/>
      <c r="J196" s="559"/>
    </row>
    <row r="197" spans="1:10" ht="20.100000000000001" customHeight="1">
      <c r="A197" s="550"/>
      <c r="B197" s="550"/>
      <c r="C197" s="244" t="s">
        <v>857</v>
      </c>
      <c r="D197" s="244">
        <v>1</v>
      </c>
      <c r="E197" s="244" t="s">
        <v>722</v>
      </c>
      <c r="F197" s="247">
        <v>2</v>
      </c>
      <c r="G197" s="559">
        <v>10.6</v>
      </c>
      <c r="H197" s="559">
        <v>2.2000000000000002</v>
      </c>
      <c r="I197" s="559">
        <v>0.3</v>
      </c>
      <c r="J197" s="558">
        <f>ROUND(I197*H197*G197*F197*D197,3)</f>
        <v>13.992000000000001</v>
      </c>
    </row>
    <row r="198" spans="1:10" ht="20.100000000000001" customHeight="1">
      <c r="A198" s="550"/>
      <c r="B198" s="550"/>
      <c r="C198" s="244" t="s">
        <v>858</v>
      </c>
      <c r="D198" s="244">
        <v>1</v>
      </c>
      <c r="E198" s="244" t="s">
        <v>722</v>
      </c>
      <c r="F198" s="247">
        <v>1</v>
      </c>
      <c r="G198" s="559">
        <v>2.5</v>
      </c>
      <c r="H198" s="559">
        <v>1.6</v>
      </c>
      <c r="I198" s="559">
        <v>0.3</v>
      </c>
      <c r="J198" s="558">
        <f t="shared" ref="J198:J260" si="9">ROUND(I198*H198*G198*F198*D198,3)</f>
        <v>1.2</v>
      </c>
    </row>
    <row r="199" spans="1:10" ht="20.100000000000001" customHeight="1">
      <c r="A199" s="550"/>
      <c r="B199" s="550"/>
      <c r="C199" s="244" t="s">
        <v>1045</v>
      </c>
      <c r="D199" s="244">
        <v>1</v>
      </c>
      <c r="E199" s="244" t="s">
        <v>722</v>
      </c>
      <c r="F199" s="247">
        <v>2</v>
      </c>
      <c r="G199" s="559">
        <v>5</v>
      </c>
      <c r="H199" s="558">
        <v>0.375</v>
      </c>
      <c r="I199" s="559">
        <v>0.7</v>
      </c>
      <c r="J199" s="558">
        <f t="shared" si="9"/>
        <v>2.625</v>
      </c>
    </row>
    <row r="200" spans="1:10" ht="20.100000000000001" customHeight="1">
      <c r="A200" s="550"/>
      <c r="B200" s="550"/>
      <c r="C200" s="244" t="s">
        <v>1046</v>
      </c>
      <c r="D200" s="244">
        <v>1</v>
      </c>
      <c r="E200" s="244" t="s">
        <v>722</v>
      </c>
      <c r="F200" s="247">
        <v>2</v>
      </c>
      <c r="G200" s="559">
        <v>5</v>
      </c>
      <c r="H200" s="558">
        <v>1.3</v>
      </c>
      <c r="I200" s="559">
        <v>0.3</v>
      </c>
      <c r="J200" s="558">
        <f t="shared" si="9"/>
        <v>3.9</v>
      </c>
    </row>
    <row r="201" spans="1:10" ht="20.100000000000001" customHeight="1">
      <c r="A201" s="550"/>
      <c r="B201" s="550"/>
      <c r="C201" s="244"/>
      <c r="D201" s="244"/>
      <c r="E201" s="244"/>
      <c r="F201" s="247"/>
      <c r="G201" s="559"/>
      <c r="H201" s="559"/>
      <c r="I201" s="559"/>
      <c r="J201" s="558"/>
    </row>
    <row r="202" spans="1:10" ht="20.100000000000001" customHeight="1">
      <c r="A202" s="550"/>
      <c r="B202" s="550"/>
      <c r="C202" s="443" t="s">
        <v>1038</v>
      </c>
      <c r="D202" s="244"/>
      <c r="E202" s="244"/>
      <c r="F202" s="247"/>
      <c r="G202" s="559"/>
      <c r="H202" s="559"/>
      <c r="I202" s="559"/>
      <c r="J202" s="558"/>
    </row>
    <row r="203" spans="1:10" ht="20.100000000000001" customHeight="1">
      <c r="A203" s="550"/>
      <c r="B203" s="550"/>
      <c r="C203" s="244" t="s">
        <v>857</v>
      </c>
      <c r="D203" s="244">
        <v>1</v>
      </c>
      <c r="E203" s="244" t="s">
        <v>722</v>
      </c>
      <c r="F203" s="247">
        <v>2</v>
      </c>
      <c r="G203" s="559">
        <v>10.6</v>
      </c>
      <c r="H203" s="559">
        <v>2.2000000000000002</v>
      </c>
      <c r="I203" s="559">
        <v>0.3</v>
      </c>
      <c r="J203" s="558">
        <f t="shared" si="9"/>
        <v>13.992000000000001</v>
      </c>
    </row>
    <row r="204" spans="1:10" ht="20.100000000000001" customHeight="1">
      <c r="A204" s="550"/>
      <c r="B204" s="550"/>
      <c r="C204" s="244" t="s">
        <v>858</v>
      </c>
      <c r="D204" s="244">
        <v>1</v>
      </c>
      <c r="E204" s="244" t="s">
        <v>722</v>
      </c>
      <c r="F204" s="247">
        <v>1</v>
      </c>
      <c r="G204" s="559">
        <v>2.5</v>
      </c>
      <c r="H204" s="559">
        <v>1.6</v>
      </c>
      <c r="I204" s="559">
        <v>0.3</v>
      </c>
      <c r="J204" s="558">
        <f t="shared" si="9"/>
        <v>1.2</v>
      </c>
    </row>
    <row r="205" spans="1:10" ht="20.100000000000001" customHeight="1">
      <c r="A205" s="550"/>
      <c r="B205" s="550"/>
      <c r="C205" s="244" t="s">
        <v>1045</v>
      </c>
      <c r="D205" s="244">
        <v>1</v>
      </c>
      <c r="E205" s="244" t="s">
        <v>722</v>
      </c>
      <c r="F205" s="247">
        <v>2</v>
      </c>
      <c r="G205" s="559">
        <v>5</v>
      </c>
      <c r="H205" s="558">
        <v>0.375</v>
      </c>
      <c r="I205" s="559">
        <v>0.7</v>
      </c>
      <c r="J205" s="558">
        <f t="shared" si="9"/>
        <v>2.625</v>
      </c>
    </row>
    <row r="206" spans="1:10" ht="20.100000000000001" customHeight="1">
      <c r="A206" s="550"/>
      <c r="B206" s="550"/>
      <c r="C206" s="244" t="s">
        <v>1046</v>
      </c>
      <c r="D206" s="244">
        <v>1</v>
      </c>
      <c r="E206" s="244" t="s">
        <v>722</v>
      </c>
      <c r="F206" s="247">
        <v>2</v>
      </c>
      <c r="G206" s="559">
        <v>5</v>
      </c>
      <c r="H206" s="558">
        <v>0.4</v>
      </c>
      <c r="I206" s="559">
        <v>0.3</v>
      </c>
      <c r="J206" s="558">
        <f t="shared" si="9"/>
        <v>1.2</v>
      </c>
    </row>
    <row r="207" spans="1:10" ht="20.100000000000001" customHeight="1">
      <c r="A207" s="550"/>
      <c r="B207" s="550"/>
      <c r="C207" s="244"/>
      <c r="D207" s="244"/>
      <c r="E207" s="244"/>
      <c r="F207" s="247"/>
      <c r="G207" s="559"/>
      <c r="H207" s="559"/>
      <c r="I207" s="559"/>
      <c r="J207" s="558"/>
    </row>
    <row r="208" spans="1:10" ht="20.100000000000001" customHeight="1">
      <c r="A208" s="550"/>
      <c r="B208" s="550"/>
      <c r="C208" s="443" t="s">
        <v>1040</v>
      </c>
      <c r="D208" s="244"/>
      <c r="E208" s="244"/>
      <c r="F208" s="247"/>
      <c r="G208" s="559"/>
      <c r="H208" s="559"/>
      <c r="I208" s="559"/>
      <c r="J208" s="558"/>
    </row>
    <row r="209" spans="1:10" ht="20.100000000000001" customHeight="1">
      <c r="A209" s="550"/>
      <c r="B209" s="550"/>
      <c r="C209" s="244" t="s">
        <v>857</v>
      </c>
      <c r="D209" s="244">
        <v>1</v>
      </c>
      <c r="E209" s="244" t="s">
        <v>722</v>
      </c>
      <c r="F209" s="247">
        <v>2</v>
      </c>
      <c r="G209" s="559">
        <v>10.6</v>
      </c>
      <c r="H209" s="559">
        <v>2.2000000000000002</v>
      </c>
      <c r="I209" s="559">
        <v>0.3</v>
      </c>
      <c r="J209" s="558">
        <f t="shared" si="9"/>
        <v>13.992000000000001</v>
      </c>
    </row>
    <row r="210" spans="1:10" ht="20.100000000000001" customHeight="1">
      <c r="A210" s="550"/>
      <c r="B210" s="550"/>
      <c r="C210" s="244" t="s">
        <v>858</v>
      </c>
      <c r="D210" s="244">
        <v>1</v>
      </c>
      <c r="E210" s="244" t="s">
        <v>722</v>
      </c>
      <c r="F210" s="247">
        <v>1</v>
      </c>
      <c r="G210" s="559">
        <v>2.5</v>
      </c>
      <c r="H210" s="559">
        <v>1.6</v>
      </c>
      <c r="I210" s="559">
        <v>0.3</v>
      </c>
      <c r="J210" s="558">
        <f t="shared" si="9"/>
        <v>1.2</v>
      </c>
    </row>
    <row r="211" spans="1:10" ht="20.100000000000001" customHeight="1">
      <c r="A211" s="550"/>
      <c r="B211" s="550"/>
      <c r="C211" s="244" t="s">
        <v>1045</v>
      </c>
      <c r="D211" s="244">
        <v>1</v>
      </c>
      <c r="E211" s="244" t="s">
        <v>722</v>
      </c>
      <c r="F211" s="247">
        <v>2</v>
      </c>
      <c r="G211" s="559">
        <v>5</v>
      </c>
      <c r="H211" s="558">
        <v>0.375</v>
      </c>
      <c r="I211" s="559">
        <v>0.7</v>
      </c>
      <c r="J211" s="558">
        <f t="shared" si="9"/>
        <v>2.625</v>
      </c>
    </row>
    <row r="212" spans="1:10" ht="20.100000000000001" customHeight="1">
      <c r="A212" s="550"/>
      <c r="B212" s="550"/>
      <c r="C212" s="244" t="s">
        <v>1046</v>
      </c>
      <c r="D212" s="244">
        <v>1</v>
      </c>
      <c r="E212" s="244" t="s">
        <v>722</v>
      </c>
      <c r="F212" s="247">
        <v>2</v>
      </c>
      <c r="G212" s="559">
        <v>5</v>
      </c>
      <c r="H212" s="558">
        <v>1.6</v>
      </c>
      <c r="I212" s="559">
        <v>0.3</v>
      </c>
      <c r="J212" s="558">
        <f t="shared" si="9"/>
        <v>4.8</v>
      </c>
    </row>
    <row r="213" spans="1:10" ht="20.100000000000001" customHeight="1">
      <c r="A213" s="550"/>
      <c r="B213" s="550"/>
      <c r="C213" s="244"/>
      <c r="D213" s="244"/>
      <c r="E213" s="244"/>
      <c r="F213" s="247"/>
      <c r="G213" s="559"/>
      <c r="H213" s="559"/>
      <c r="I213" s="559"/>
      <c r="J213" s="558"/>
    </row>
    <row r="214" spans="1:10" ht="20.100000000000001" customHeight="1">
      <c r="A214" s="550"/>
      <c r="B214" s="550"/>
      <c r="C214" s="443" t="s">
        <v>1041</v>
      </c>
      <c r="D214" s="244"/>
      <c r="E214" s="244"/>
      <c r="F214" s="247"/>
      <c r="G214" s="559"/>
      <c r="H214" s="559"/>
      <c r="I214" s="559"/>
      <c r="J214" s="558"/>
    </row>
    <row r="215" spans="1:10" ht="20.100000000000001" customHeight="1">
      <c r="A215" s="550"/>
      <c r="B215" s="550"/>
      <c r="C215" s="244" t="s">
        <v>857</v>
      </c>
      <c r="D215" s="244">
        <v>1</v>
      </c>
      <c r="E215" s="244" t="s">
        <v>722</v>
      </c>
      <c r="F215" s="247">
        <v>2</v>
      </c>
      <c r="G215" s="559">
        <v>10.6</v>
      </c>
      <c r="H215" s="559">
        <v>2.2000000000000002</v>
      </c>
      <c r="I215" s="559">
        <v>0.3</v>
      </c>
      <c r="J215" s="558">
        <f t="shared" si="9"/>
        <v>13.992000000000001</v>
      </c>
    </row>
    <row r="216" spans="1:10" ht="20.100000000000001" customHeight="1">
      <c r="A216" s="550"/>
      <c r="B216" s="550"/>
      <c r="C216" s="244" t="s">
        <v>858</v>
      </c>
      <c r="D216" s="244">
        <v>1</v>
      </c>
      <c r="E216" s="244" t="s">
        <v>722</v>
      </c>
      <c r="F216" s="247">
        <v>1</v>
      </c>
      <c r="G216" s="559">
        <v>2.5</v>
      </c>
      <c r="H216" s="559">
        <v>1.6</v>
      </c>
      <c r="I216" s="559">
        <v>0.3</v>
      </c>
      <c r="J216" s="558">
        <f t="shared" si="9"/>
        <v>1.2</v>
      </c>
    </row>
    <row r="217" spans="1:10" ht="20.100000000000001" customHeight="1">
      <c r="A217" s="550"/>
      <c r="B217" s="550"/>
      <c r="C217" s="244" t="s">
        <v>1045</v>
      </c>
      <c r="D217" s="244">
        <v>1</v>
      </c>
      <c r="E217" s="244" t="s">
        <v>722</v>
      </c>
      <c r="F217" s="247">
        <v>2</v>
      </c>
      <c r="G217" s="559">
        <v>5</v>
      </c>
      <c r="H217" s="558">
        <v>0.375</v>
      </c>
      <c r="I217" s="559">
        <v>0.7</v>
      </c>
      <c r="J217" s="558">
        <f t="shared" si="9"/>
        <v>2.625</v>
      </c>
    </row>
    <row r="218" spans="1:10" ht="20.100000000000001" customHeight="1">
      <c r="A218" s="550"/>
      <c r="B218" s="550"/>
      <c r="C218" s="244" t="s">
        <v>1046</v>
      </c>
      <c r="D218" s="244">
        <v>1</v>
      </c>
      <c r="E218" s="244" t="s">
        <v>722</v>
      </c>
      <c r="F218" s="247">
        <v>2</v>
      </c>
      <c r="G218" s="559">
        <v>5</v>
      </c>
      <c r="H218" s="558">
        <v>1.1000000000000001</v>
      </c>
      <c r="I218" s="559">
        <v>0.3</v>
      </c>
      <c r="J218" s="558">
        <f t="shared" si="9"/>
        <v>3.3</v>
      </c>
    </row>
    <row r="219" spans="1:10" ht="20.100000000000001" customHeight="1">
      <c r="A219" s="550"/>
      <c r="B219" s="550"/>
      <c r="C219" s="244"/>
      <c r="D219" s="244"/>
      <c r="E219" s="244"/>
      <c r="F219" s="247"/>
      <c r="G219" s="559"/>
      <c r="H219" s="559"/>
      <c r="I219" s="559"/>
      <c r="J219" s="558"/>
    </row>
    <row r="220" spans="1:10" ht="36" customHeight="1">
      <c r="A220" s="550"/>
      <c r="B220" s="550"/>
      <c r="C220" s="443" t="s">
        <v>1049</v>
      </c>
      <c r="D220" s="244"/>
      <c r="E220" s="244"/>
      <c r="F220" s="247"/>
      <c r="G220" s="559"/>
      <c r="H220" s="559"/>
      <c r="I220" s="559"/>
      <c r="J220" s="558"/>
    </row>
    <row r="221" spans="1:10" ht="20.100000000000001" customHeight="1">
      <c r="A221" s="550"/>
      <c r="B221" s="550"/>
      <c r="C221" s="244" t="s">
        <v>857</v>
      </c>
      <c r="D221" s="244">
        <v>1</v>
      </c>
      <c r="E221" s="244" t="s">
        <v>722</v>
      </c>
      <c r="F221" s="247">
        <v>2</v>
      </c>
      <c r="G221" s="559">
        <v>10.6</v>
      </c>
      <c r="H221" s="559">
        <v>2.2000000000000002</v>
      </c>
      <c r="I221" s="559">
        <v>0.3</v>
      </c>
      <c r="J221" s="558">
        <f t="shared" si="9"/>
        <v>13.992000000000001</v>
      </c>
    </row>
    <row r="222" spans="1:10" ht="20.100000000000001" customHeight="1">
      <c r="A222" s="550"/>
      <c r="B222" s="550"/>
      <c r="C222" s="244" t="s">
        <v>858</v>
      </c>
      <c r="D222" s="244">
        <v>1</v>
      </c>
      <c r="E222" s="244" t="s">
        <v>722</v>
      </c>
      <c r="F222" s="247">
        <v>1</v>
      </c>
      <c r="G222" s="559">
        <v>2.5</v>
      </c>
      <c r="H222" s="559">
        <v>1.6</v>
      </c>
      <c r="I222" s="559">
        <v>0.3</v>
      </c>
      <c r="J222" s="558">
        <f t="shared" si="9"/>
        <v>1.2</v>
      </c>
    </row>
    <row r="223" spans="1:10" ht="20.100000000000001" customHeight="1">
      <c r="A223" s="550"/>
      <c r="B223" s="550"/>
      <c r="C223" s="244" t="s">
        <v>1045</v>
      </c>
      <c r="D223" s="244">
        <v>1</v>
      </c>
      <c r="E223" s="244" t="s">
        <v>722</v>
      </c>
      <c r="F223" s="247">
        <v>2</v>
      </c>
      <c r="G223" s="559">
        <v>5</v>
      </c>
      <c r="H223" s="558">
        <v>0.375</v>
      </c>
      <c r="I223" s="559">
        <v>0.7</v>
      </c>
      <c r="J223" s="558">
        <f t="shared" si="9"/>
        <v>2.625</v>
      </c>
    </row>
    <row r="224" spans="1:10" ht="20.100000000000001" customHeight="1">
      <c r="A224" s="550"/>
      <c r="B224" s="550"/>
      <c r="C224" s="244" t="s">
        <v>1046</v>
      </c>
      <c r="D224" s="244">
        <v>1</v>
      </c>
      <c r="E224" s="244" t="s">
        <v>722</v>
      </c>
      <c r="F224" s="247">
        <v>2</v>
      </c>
      <c r="G224" s="559">
        <v>5</v>
      </c>
      <c r="H224" s="558">
        <v>0.9</v>
      </c>
      <c r="I224" s="559">
        <v>0.3</v>
      </c>
      <c r="J224" s="558">
        <f t="shared" si="9"/>
        <v>2.7</v>
      </c>
    </row>
    <row r="225" spans="1:10" ht="20.100000000000001" customHeight="1">
      <c r="A225" s="550"/>
      <c r="B225" s="550"/>
      <c r="C225" s="244"/>
      <c r="D225" s="244"/>
      <c r="E225" s="244"/>
      <c r="F225" s="247"/>
      <c r="G225" s="559"/>
      <c r="H225" s="559"/>
      <c r="I225" s="559"/>
      <c r="J225" s="558"/>
    </row>
    <row r="226" spans="1:10" ht="20.100000000000001" customHeight="1">
      <c r="A226" s="550"/>
      <c r="B226" s="550"/>
      <c r="C226" s="244"/>
      <c r="D226" s="244"/>
      <c r="E226" s="244"/>
      <c r="F226" s="247"/>
      <c r="G226" s="559"/>
      <c r="H226" s="559"/>
      <c r="I226" s="559"/>
      <c r="J226" s="558"/>
    </row>
    <row r="227" spans="1:10" ht="35.25" customHeight="1">
      <c r="A227" s="550"/>
      <c r="B227" s="550"/>
      <c r="C227" s="443" t="s">
        <v>1064</v>
      </c>
      <c r="D227" s="244"/>
      <c r="E227" s="244"/>
      <c r="F227" s="247"/>
      <c r="G227" s="559"/>
      <c r="H227" s="559"/>
      <c r="I227" s="559"/>
      <c r="J227" s="558"/>
    </row>
    <row r="228" spans="1:10" ht="20.100000000000001" customHeight="1">
      <c r="A228" s="550"/>
      <c r="B228" s="550"/>
      <c r="C228" s="244" t="s">
        <v>1065</v>
      </c>
      <c r="D228" s="244">
        <v>1</v>
      </c>
      <c r="E228" s="244" t="s">
        <v>722</v>
      </c>
      <c r="F228" s="245">
        <v>1</v>
      </c>
      <c r="G228" s="246">
        <v>8.6</v>
      </c>
      <c r="H228" s="246">
        <v>2.1</v>
      </c>
      <c r="I228" s="246">
        <v>0.6</v>
      </c>
      <c r="J228" s="558">
        <f t="shared" si="9"/>
        <v>10.836</v>
      </c>
    </row>
    <row r="229" spans="1:10" ht="20.100000000000001" customHeight="1">
      <c r="A229" s="550"/>
      <c r="B229" s="550"/>
      <c r="C229" s="244" t="s">
        <v>1066</v>
      </c>
      <c r="D229" s="244">
        <v>1</v>
      </c>
      <c r="E229" s="244" t="s">
        <v>722</v>
      </c>
      <c r="F229" s="245">
        <v>1</v>
      </c>
      <c r="G229" s="246">
        <v>8.6</v>
      </c>
      <c r="H229" s="246">
        <v>2.1</v>
      </c>
      <c r="I229" s="246">
        <v>0.6</v>
      </c>
      <c r="J229" s="558">
        <f t="shared" si="9"/>
        <v>10.836</v>
      </c>
    </row>
    <row r="230" spans="1:10" ht="20.100000000000001" customHeight="1">
      <c r="A230" s="550"/>
      <c r="B230" s="550"/>
      <c r="C230" s="244" t="s">
        <v>988</v>
      </c>
      <c r="D230" s="244">
        <v>1</v>
      </c>
      <c r="E230" s="244" t="s">
        <v>722</v>
      </c>
      <c r="F230" s="245">
        <v>2</v>
      </c>
      <c r="G230" s="246">
        <v>3.3</v>
      </c>
      <c r="H230" s="246">
        <v>2.1</v>
      </c>
      <c r="I230" s="246">
        <v>0.6</v>
      </c>
      <c r="J230" s="558">
        <f t="shared" si="9"/>
        <v>8.3160000000000007</v>
      </c>
    </row>
    <row r="231" spans="1:10" ht="20.100000000000001" customHeight="1">
      <c r="A231" s="550"/>
      <c r="B231" s="550"/>
      <c r="C231" s="244" t="s">
        <v>136</v>
      </c>
      <c r="D231" s="244">
        <v>1</v>
      </c>
      <c r="E231" s="244" t="s">
        <v>722</v>
      </c>
      <c r="F231" s="245">
        <v>1</v>
      </c>
      <c r="G231" s="246">
        <v>1.4</v>
      </c>
      <c r="H231" s="246">
        <v>0.97</v>
      </c>
      <c r="I231" s="246">
        <v>0.15</v>
      </c>
      <c r="J231" s="558">
        <f t="shared" si="9"/>
        <v>0.20399999999999999</v>
      </c>
    </row>
    <row r="232" spans="1:10" ht="20.100000000000001" customHeight="1">
      <c r="A232" s="550"/>
      <c r="B232" s="550"/>
      <c r="C232" s="244" t="s">
        <v>1068</v>
      </c>
      <c r="D232" s="244">
        <v>1</v>
      </c>
      <c r="E232" s="244" t="s">
        <v>722</v>
      </c>
      <c r="F232" s="245">
        <v>1</v>
      </c>
      <c r="G232" s="246">
        <v>3</v>
      </c>
      <c r="H232" s="246">
        <v>1.3</v>
      </c>
      <c r="I232" s="246">
        <v>0.15</v>
      </c>
      <c r="J232" s="558">
        <f t="shared" si="9"/>
        <v>0.58499999999999996</v>
      </c>
    </row>
    <row r="233" spans="1:10" ht="20.100000000000001" customHeight="1">
      <c r="A233" s="550"/>
      <c r="B233" s="550"/>
      <c r="C233" s="244" t="s">
        <v>1069</v>
      </c>
      <c r="D233" s="244">
        <v>1</v>
      </c>
      <c r="E233" s="244" t="s">
        <v>722</v>
      </c>
      <c r="F233" s="245">
        <v>1</v>
      </c>
      <c r="G233" s="246">
        <v>3</v>
      </c>
      <c r="H233" s="246">
        <v>1.1000000000000001</v>
      </c>
      <c r="I233" s="246">
        <v>0.15</v>
      </c>
      <c r="J233" s="558">
        <f t="shared" si="9"/>
        <v>0.495</v>
      </c>
    </row>
    <row r="234" spans="1:10" ht="20.100000000000001" customHeight="1">
      <c r="A234" s="550"/>
      <c r="B234" s="550"/>
      <c r="C234" s="244" t="s">
        <v>1070</v>
      </c>
      <c r="D234" s="244">
        <v>1</v>
      </c>
      <c r="E234" s="244" t="s">
        <v>722</v>
      </c>
      <c r="F234" s="245">
        <v>1</v>
      </c>
      <c r="G234" s="246">
        <v>1.4</v>
      </c>
      <c r="H234" s="246">
        <v>0.97</v>
      </c>
      <c r="I234" s="246">
        <v>0.2</v>
      </c>
      <c r="J234" s="558">
        <f t="shared" si="9"/>
        <v>0.27200000000000002</v>
      </c>
    </row>
    <row r="235" spans="1:10" ht="20.100000000000001" customHeight="1">
      <c r="A235" s="550"/>
      <c r="B235" s="550"/>
      <c r="C235" s="244" t="s">
        <v>1072</v>
      </c>
      <c r="D235" s="244">
        <v>1</v>
      </c>
      <c r="E235" s="244" t="s">
        <v>722</v>
      </c>
      <c r="F235" s="245">
        <v>1</v>
      </c>
      <c r="G235" s="246">
        <v>0.5</v>
      </c>
      <c r="H235" s="246">
        <v>1.43</v>
      </c>
      <c r="I235" s="444">
        <v>1.43</v>
      </c>
      <c r="J235" s="558">
        <f t="shared" si="9"/>
        <v>1.022</v>
      </c>
    </row>
    <row r="236" spans="1:10" ht="20.100000000000001" customHeight="1">
      <c r="A236" s="550"/>
      <c r="B236" s="550"/>
      <c r="C236" s="245" t="s">
        <v>1071</v>
      </c>
      <c r="D236" s="244"/>
      <c r="E236" s="244"/>
      <c r="F236" s="245"/>
      <c r="G236" s="246"/>
      <c r="H236" s="246"/>
      <c r="I236" s="246"/>
      <c r="J236" s="558"/>
    </row>
    <row r="237" spans="1:10" ht="20.100000000000001" customHeight="1">
      <c r="A237" s="550"/>
      <c r="B237" s="550"/>
      <c r="C237" s="244" t="s">
        <v>1065</v>
      </c>
      <c r="D237" s="244">
        <v>1</v>
      </c>
      <c r="E237" s="244" t="s">
        <v>722</v>
      </c>
      <c r="F237" s="245">
        <v>2</v>
      </c>
      <c r="G237" s="246">
        <v>8.6</v>
      </c>
      <c r="H237" s="444">
        <v>0.375</v>
      </c>
      <c r="I237" s="246">
        <v>0.6</v>
      </c>
      <c r="J237" s="558">
        <f t="shared" si="9"/>
        <v>3.87</v>
      </c>
    </row>
    <row r="238" spans="1:10" ht="20.100000000000001" customHeight="1">
      <c r="A238" s="550"/>
      <c r="B238" s="550"/>
      <c r="C238" s="244" t="s">
        <v>1066</v>
      </c>
      <c r="D238" s="244">
        <v>1</v>
      </c>
      <c r="E238" s="244" t="s">
        <v>722</v>
      </c>
      <c r="F238" s="245">
        <v>2</v>
      </c>
      <c r="G238" s="246">
        <v>8.6</v>
      </c>
      <c r="H238" s="444">
        <v>0.375</v>
      </c>
      <c r="I238" s="246">
        <v>0.6</v>
      </c>
      <c r="J238" s="558">
        <f t="shared" si="9"/>
        <v>3.87</v>
      </c>
    </row>
    <row r="239" spans="1:10" ht="20.100000000000001" customHeight="1">
      <c r="A239" s="550"/>
      <c r="B239" s="550"/>
      <c r="C239" s="244" t="s">
        <v>988</v>
      </c>
      <c r="D239" s="244">
        <v>2</v>
      </c>
      <c r="E239" s="244" t="s">
        <v>722</v>
      </c>
      <c r="F239" s="245">
        <v>1</v>
      </c>
      <c r="G239" s="246">
        <v>3.3</v>
      </c>
      <c r="H239" s="444">
        <v>0.375</v>
      </c>
      <c r="I239" s="246">
        <v>0.6</v>
      </c>
      <c r="J239" s="558">
        <f t="shared" si="9"/>
        <v>1.4850000000000001</v>
      </c>
    </row>
    <row r="240" spans="1:10" ht="20.100000000000001" customHeight="1">
      <c r="A240" s="550"/>
      <c r="B240" s="550"/>
      <c r="C240" s="244"/>
      <c r="D240" s="244"/>
      <c r="E240" s="244"/>
      <c r="F240" s="247"/>
      <c r="G240" s="559"/>
      <c r="H240" s="559"/>
      <c r="I240" s="559"/>
      <c r="J240" s="558"/>
    </row>
    <row r="241" spans="1:10" ht="20.100000000000001" customHeight="1">
      <c r="A241" s="550"/>
      <c r="B241" s="550"/>
      <c r="C241" s="244"/>
      <c r="D241" s="244"/>
      <c r="E241" s="244"/>
      <c r="F241" s="247"/>
      <c r="G241" s="559"/>
      <c r="H241" s="559"/>
      <c r="I241" s="559"/>
      <c r="J241" s="558"/>
    </row>
    <row r="242" spans="1:10" ht="36" customHeight="1">
      <c r="A242" s="550"/>
      <c r="B242" s="550"/>
      <c r="C242" s="443" t="s">
        <v>1067</v>
      </c>
      <c r="D242" s="244"/>
      <c r="E242" s="244"/>
      <c r="F242" s="247"/>
      <c r="G242" s="559"/>
      <c r="H242" s="559"/>
      <c r="I242" s="559"/>
      <c r="J242" s="558"/>
    </row>
    <row r="243" spans="1:10" ht="20.100000000000001" customHeight="1">
      <c r="A243" s="550"/>
      <c r="B243" s="550"/>
      <c r="C243" s="244" t="s">
        <v>1065</v>
      </c>
      <c r="D243" s="244">
        <v>1</v>
      </c>
      <c r="E243" s="244" t="s">
        <v>722</v>
      </c>
      <c r="F243" s="245">
        <v>1</v>
      </c>
      <c r="G243" s="246">
        <v>8.6</v>
      </c>
      <c r="H243" s="246">
        <v>2.1</v>
      </c>
      <c r="I243" s="246">
        <v>0.6</v>
      </c>
      <c r="J243" s="558">
        <f t="shared" si="9"/>
        <v>10.836</v>
      </c>
    </row>
    <row r="244" spans="1:10" ht="20.100000000000001" customHeight="1">
      <c r="A244" s="550"/>
      <c r="B244" s="550"/>
      <c r="C244" s="244" t="s">
        <v>1066</v>
      </c>
      <c r="D244" s="244">
        <v>1</v>
      </c>
      <c r="E244" s="244" t="s">
        <v>722</v>
      </c>
      <c r="F244" s="245">
        <v>1</v>
      </c>
      <c r="G244" s="246">
        <v>8.6</v>
      </c>
      <c r="H244" s="246">
        <v>2.1</v>
      </c>
      <c r="I244" s="246">
        <v>0.6</v>
      </c>
      <c r="J244" s="558">
        <f t="shared" si="9"/>
        <v>10.836</v>
      </c>
    </row>
    <row r="245" spans="1:10" ht="20.100000000000001" customHeight="1">
      <c r="A245" s="550"/>
      <c r="B245" s="550"/>
      <c r="C245" s="244" t="s">
        <v>988</v>
      </c>
      <c r="D245" s="244">
        <v>1</v>
      </c>
      <c r="E245" s="244" t="s">
        <v>722</v>
      </c>
      <c r="F245" s="245">
        <v>2</v>
      </c>
      <c r="G245" s="246">
        <v>3.3</v>
      </c>
      <c r="H245" s="246">
        <v>2.2000000000000002</v>
      </c>
      <c r="I245" s="246">
        <v>0.6</v>
      </c>
      <c r="J245" s="558">
        <f t="shared" si="9"/>
        <v>8.7119999999999997</v>
      </c>
    </row>
    <row r="246" spans="1:10" ht="20.100000000000001" customHeight="1">
      <c r="A246" s="550"/>
      <c r="B246" s="550"/>
      <c r="C246" s="244" t="s">
        <v>136</v>
      </c>
      <c r="D246" s="244">
        <v>1</v>
      </c>
      <c r="E246" s="244" t="s">
        <v>722</v>
      </c>
      <c r="F246" s="245">
        <v>1</v>
      </c>
      <c r="G246" s="246">
        <v>1.4</v>
      </c>
      <c r="H246" s="246">
        <v>0.97</v>
      </c>
      <c r="I246" s="246">
        <v>0.25</v>
      </c>
      <c r="J246" s="558">
        <f t="shared" si="9"/>
        <v>0.34</v>
      </c>
    </row>
    <row r="247" spans="1:10" ht="40.5" customHeight="1">
      <c r="A247" s="550"/>
      <c r="B247" s="550"/>
      <c r="C247" s="244" t="s">
        <v>1068</v>
      </c>
      <c r="D247" s="244">
        <v>1</v>
      </c>
      <c r="E247" s="244" t="s">
        <v>722</v>
      </c>
      <c r="F247" s="245">
        <v>1</v>
      </c>
      <c r="G247" s="246">
        <v>3</v>
      </c>
      <c r="H247" s="246">
        <v>1.3</v>
      </c>
      <c r="I247" s="246">
        <v>0.15</v>
      </c>
      <c r="J247" s="558">
        <f t="shared" si="9"/>
        <v>0.58499999999999996</v>
      </c>
    </row>
    <row r="248" spans="1:10" ht="20.100000000000001" customHeight="1">
      <c r="A248" s="550"/>
      <c r="B248" s="550"/>
      <c r="C248" s="244" t="s">
        <v>1069</v>
      </c>
      <c r="D248" s="244">
        <v>1</v>
      </c>
      <c r="E248" s="244" t="s">
        <v>722</v>
      </c>
      <c r="F248" s="245">
        <v>1</v>
      </c>
      <c r="G248" s="246">
        <v>3</v>
      </c>
      <c r="H248" s="246">
        <v>0.9</v>
      </c>
      <c r="I248" s="246">
        <v>0.15</v>
      </c>
      <c r="J248" s="558">
        <f t="shared" si="9"/>
        <v>0.40500000000000003</v>
      </c>
    </row>
    <row r="249" spans="1:10" ht="20.100000000000001" customHeight="1">
      <c r="A249" s="550"/>
      <c r="B249" s="550"/>
      <c r="C249" s="244" t="s">
        <v>1070</v>
      </c>
      <c r="D249" s="244">
        <v>1</v>
      </c>
      <c r="E249" s="244" t="s">
        <v>722</v>
      </c>
      <c r="F249" s="245">
        <v>1</v>
      </c>
      <c r="G249" s="246">
        <v>1.43</v>
      </c>
      <c r="H249" s="246">
        <v>1.43</v>
      </c>
      <c r="I249" s="246">
        <v>0.31</v>
      </c>
      <c r="J249" s="558">
        <f t="shared" si="9"/>
        <v>0.63400000000000001</v>
      </c>
    </row>
    <row r="250" spans="1:10" ht="20.100000000000001" customHeight="1">
      <c r="A250" s="550"/>
      <c r="B250" s="550"/>
      <c r="C250" s="244" t="s">
        <v>1072</v>
      </c>
      <c r="D250" s="244">
        <v>1</v>
      </c>
      <c r="E250" s="244" t="s">
        <v>722</v>
      </c>
      <c r="F250" s="245">
        <v>1</v>
      </c>
      <c r="G250" s="246">
        <v>0.5</v>
      </c>
      <c r="H250" s="246">
        <v>0.97</v>
      </c>
      <c r="I250" s="444">
        <v>1.07</v>
      </c>
      <c r="J250" s="558">
        <f t="shared" si="9"/>
        <v>0.51900000000000002</v>
      </c>
    </row>
    <row r="251" spans="1:10" ht="20.100000000000001" customHeight="1">
      <c r="A251" s="550"/>
      <c r="B251" s="550"/>
      <c r="C251" s="245" t="s">
        <v>1071</v>
      </c>
      <c r="D251" s="244"/>
      <c r="E251" s="244"/>
      <c r="F251" s="245"/>
      <c r="G251" s="246"/>
      <c r="H251" s="246"/>
      <c r="I251" s="246"/>
      <c r="J251" s="558"/>
    </row>
    <row r="252" spans="1:10" ht="20.100000000000001" customHeight="1">
      <c r="A252" s="550"/>
      <c r="B252" s="550"/>
      <c r="C252" s="244" t="s">
        <v>1065</v>
      </c>
      <c r="D252" s="244">
        <v>1</v>
      </c>
      <c r="E252" s="244" t="s">
        <v>722</v>
      </c>
      <c r="F252" s="245">
        <v>2</v>
      </c>
      <c r="G252" s="246">
        <v>8.6</v>
      </c>
      <c r="H252" s="444">
        <v>0.375</v>
      </c>
      <c r="I252" s="246">
        <v>0.6</v>
      </c>
      <c r="J252" s="558">
        <f t="shared" si="9"/>
        <v>3.87</v>
      </c>
    </row>
    <row r="253" spans="1:10" ht="20.100000000000001" customHeight="1">
      <c r="A253" s="550"/>
      <c r="B253" s="550"/>
      <c r="C253" s="244" t="s">
        <v>1066</v>
      </c>
      <c r="D253" s="244">
        <v>1</v>
      </c>
      <c r="E253" s="244" t="s">
        <v>722</v>
      </c>
      <c r="F253" s="245">
        <v>2</v>
      </c>
      <c r="G253" s="246">
        <v>8.6</v>
      </c>
      <c r="H253" s="444">
        <v>0.375</v>
      </c>
      <c r="I253" s="246">
        <v>0.6</v>
      </c>
      <c r="J253" s="558">
        <f t="shared" si="9"/>
        <v>3.87</v>
      </c>
    </row>
    <row r="254" spans="1:10" ht="20.100000000000001" customHeight="1">
      <c r="A254" s="550"/>
      <c r="B254" s="550"/>
      <c r="C254" s="244" t="s">
        <v>988</v>
      </c>
      <c r="D254" s="244">
        <v>2</v>
      </c>
      <c r="E254" s="244" t="s">
        <v>722</v>
      </c>
      <c r="F254" s="245">
        <v>1</v>
      </c>
      <c r="G254" s="246">
        <v>3.3</v>
      </c>
      <c r="H254" s="444">
        <v>0.375</v>
      </c>
      <c r="I254" s="246">
        <v>0.6</v>
      </c>
      <c r="J254" s="558">
        <f t="shared" si="9"/>
        <v>1.4850000000000001</v>
      </c>
    </row>
    <row r="255" spans="1:10" ht="20.100000000000001" customHeight="1">
      <c r="A255" s="550"/>
      <c r="B255" s="550"/>
      <c r="C255" s="244"/>
      <c r="D255" s="244"/>
      <c r="E255" s="244"/>
      <c r="F255" s="245"/>
      <c r="G255" s="246"/>
      <c r="H255" s="246"/>
      <c r="I255" s="246"/>
      <c r="J255" s="558"/>
    </row>
    <row r="256" spans="1:10" ht="20.100000000000001" customHeight="1">
      <c r="A256" s="550"/>
      <c r="B256" s="550"/>
      <c r="C256" s="244"/>
      <c r="D256" s="244"/>
      <c r="E256" s="244"/>
      <c r="F256" s="247"/>
      <c r="G256" s="559"/>
      <c r="H256" s="559"/>
      <c r="I256" s="559"/>
      <c r="J256" s="558"/>
    </row>
    <row r="257" spans="1:12" ht="20.100000000000001" customHeight="1">
      <c r="A257" s="550"/>
      <c r="B257" s="550"/>
      <c r="C257" s="499" t="s">
        <v>996</v>
      </c>
      <c r="D257" s="248"/>
      <c r="E257" s="248"/>
      <c r="F257" s="210"/>
      <c r="G257" s="564"/>
      <c r="H257" s="564"/>
      <c r="I257" s="564"/>
      <c r="J257" s="558"/>
    </row>
    <row r="258" spans="1:12" ht="43.5" customHeight="1">
      <c r="A258" s="550"/>
      <c r="B258" s="550"/>
      <c r="C258" s="535" t="s">
        <v>1129</v>
      </c>
      <c r="D258" s="540">
        <v>1</v>
      </c>
      <c r="E258" s="540" t="s">
        <v>722</v>
      </c>
      <c r="F258" s="540">
        <v>140</v>
      </c>
      <c r="G258" s="544">
        <v>6.59</v>
      </c>
      <c r="H258" s="559">
        <v>0.2</v>
      </c>
      <c r="I258" s="559">
        <v>0.15</v>
      </c>
      <c r="J258" s="558">
        <f t="shared" si="9"/>
        <v>27.678000000000001</v>
      </c>
    </row>
    <row r="259" spans="1:12" ht="54.75" customHeight="1">
      <c r="A259" s="550"/>
      <c r="B259" s="550"/>
      <c r="C259" s="535" t="s">
        <v>1130</v>
      </c>
      <c r="D259" s="540">
        <v>1</v>
      </c>
      <c r="E259" s="540" t="s">
        <v>722</v>
      </c>
      <c r="F259" s="540">
        <f>146/2</f>
        <v>73</v>
      </c>
      <c r="G259" s="544">
        <v>5.43</v>
      </c>
      <c r="H259" s="559">
        <v>0.2</v>
      </c>
      <c r="I259" s="559">
        <v>0.15</v>
      </c>
      <c r="J259" s="558">
        <f t="shared" si="9"/>
        <v>11.891999999999999</v>
      </c>
    </row>
    <row r="260" spans="1:12" ht="51" customHeight="1">
      <c r="A260" s="550"/>
      <c r="B260" s="550"/>
      <c r="C260" s="535" t="s">
        <v>1131</v>
      </c>
      <c r="D260" s="540">
        <v>1</v>
      </c>
      <c r="E260" s="540" t="s">
        <v>722</v>
      </c>
      <c r="F260" s="540">
        <f>ROUND(195/2,0)</f>
        <v>98</v>
      </c>
      <c r="G260" s="544">
        <v>5.33</v>
      </c>
      <c r="H260" s="559">
        <v>0.2</v>
      </c>
      <c r="I260" s="559">
        <v>0.15</v>
      </c>
      <c r="J260" s="558">
        <f t="shared" si="9"/>
        <v>15.67</v>
      </c>
    </row>
    <row r="261" spans="1:12" ht="51.75" customHeight="1">
      <c r="A261" s="550"/>
      <c r="B261" s="550"/>
      <c r="C261" s="535" t="s">
        <v>1132</v>
      </c>
      <c r="D261" s="540">
        <v>1</v>
      </c>
      <c r="E261" s="540" t="s">
        <v>722</v>
      </c>
      <c r="F261" s="540">
        <v>130</v>
      </c>
      <c r="G261" s="544">
        <v>7.13</v>
      </c>
      <c r="H261" s="559">
        <v>0.2</v>
      </c>
      <c r="I261" s="559">
        <v>0.15</v>
      </c>
      <c r="J261" s="558">
        <f t="shared" ref="J261:J264" si="10">ROUND(I261*H261*G261*F261*D261,3)</f>
        <v>27.806999999999999</v>
      </c>
    </row>
    <row r="262" spans="1:12" ht="51.75" customHeight="1">
      <c r="A262" s="550"/>
      <c r="B262" s="550"/>
      <c r="C262" s="535" t="s">
        <v>1133</v>
      </c>
      <c r="D262" s="540">
        <v>1</v>
      </c>
      <c r="E262" s="540" t="s">
        <v>722</v>
      </c>
      <c r="F262" s="540">
        <v>50</v>
      </c>
      <c r="G262" s="544">
        <v>6.53</v>
      </c>
      <c r="H262" s="559">
        <v>0.2</v>
      </c>
      <c r="I262" s="559">
        <v>0.15</v>
      </c>
      <c r="J262" s="558">
        <f t="shared" si="10"/>
        <v>9.7949999999999999</v>
      </c>
    </row>
    <row r="263" spans="1:12" ht="64.5" customHeight="1">
      <c r="A263" s="550"/>
      <c r="B263" s="550"/>
      <c r="C263" s="535" t="s">
        <v>1134</v>
      </c>
      <c r="D263" s="540">
        <v>1</v>
      </c>
      <c r="E263" s="540" t="s">
        <v>722</v>
      </c>
      <c r="F263" s="540">
        <v>115</v>
      </c>
      <c r="G263" s="544">
        <v>5.49</v>
      </c>
      <c r="H263" s="559">
        <v>0.2</v>
      </c>
      <c r="I263" s="559">
        <v>0.15</v>
      </c>
      <c r="J263" s="558">
        <f t="shared" si="10"/>
        <v>18.940999999999999</v>
      </c>
    </row>
    <row r="264" spans="1:12" ht="53.25" customHeight="1">
      <c r="A264" s="550"/>
      <c r="B264" s="550"/>
      <c r="C264" s="535" t="s">
        <v>1135</v>
      </c>
      <c r="D264" s="540">
        <v>1</v>
      </c>
      <c r="E264" s="540" t="s">
        <v>722</v>
      </c>
      <c r="F264" s="540">
        <v>150</v>
      </c>
      <c r="G264" s="544">
        <v>5.83</v>
      </c>
      <c r="H264" s="559">
        <v>0.2</v>
      </c>
      <c r="I264" s="559">
        <v>0.15</v>
      </c>
      <c r="J264" s="558">
        <f t="shared" si="10"/>
        <v>26.234999999999999</v>
      </c>
    </row>
    <row r="265" spans="1:12" ht="20.100000000000001" customHeight="1">
      <c r="A265" s="550"/>
      <c r="B265" s="550"/>
      <c r="C265" s="248"/>
      <c r="D265" s="248"/>
      <c r="E265" s="248"/>
      <c r="F265" s="210"/>
      <c r="G265" s="564"/>
      <c r="H265" s="564"/>
      <c r="I265" s="564"/>
      <c r="J265" s="564"/>
    </row>
    <row r="266" spans="1:12" ht="20.100000000000001" customHeight="1">
      <c r="A266" s="550"/>
      <c r="B266" s="550"/>
      <c r="C266" s="248"/>
      <c r="D266" s="248"/>
      <c r="E266" s="248"/>
      <c r="F266" s="210"/>
      <c r="G266" s="565" t="s">
        <v>1076</v>
      </c>
      <c r="H266" s="564"/>
      <c r="I266" s="564"/>
      <c r="J266" s="566">
        <f>ROUND(SUM(J193:J265),3)</f>
        <v>1169.8140000000001</v>
      </c>
      <c r="L266" s="568" t="s">
        <v>991</v>
      </c>
    </row>
    <row r="267" spans="1:12" ht="20.100000000000001" customHeight="1">
      <c r="A267" s="550"/>
      <c r="B267" s="550"/>
      <c r="C267" s="249"/>
      <c r="D267" s="249"/>
      <c r="E267" s="249"/>
      <c r="F267" s="210"/>
      <c r="G267" s="564"/>
      <c r="H267" s="564"/>
      <c r="I267" s="564" t="s">
        <v>134</v>
      </c>
      <c r="J267" s="562">
        <f>ROUND(J266,0)</f>
        <v>1170</v>
      </c>
    </row>
    <row r="268" spans="1:12">
      <c r="A268" s="550"/>
      <c r="B268" s="550"/>
      <c r="C268" s="535"/>
      <c r="D268" s="535"/>
      <c r="E268" s="535"/>
      <c r="F268" s="535"/>
      <c r="G268" s="535"/>
      <c r="H268" s="535"/>
      <c r="I268" s="535"/>
      <c r="J268" s="551"/>
    </row>
    <row r="269" spans="1:12" ht="101.25" customHeight="1">
      <c r="A269" s="550">
        <v>11</v>
      </c>
      <c r="B269" s="550" t="s">
        <v>132</v>
      </c>
      <c r="C269" s="594" t="s">
        <v>1138</v>
      </c>
      <c r="D269" s="594"/>
      <c r="E269" s="594"/>
      <c r="F269" s="594"/>
      <c r="G269" s="594"/>
      <c r="H269" s="594"/>
      <c r="I269" s="594"/>
      <c r="J269" s="551"/>
    </row>
    <row r="270" spans="1:12" ht="33.75" customHeight="1">
      <c r="A270" s="550"/>
      <c r="B270" s="550"/>
      <c r="C270" s="534" t="s">
        <v>992</v>
      </c>
      <c r="D270" s="534"/>
      <c r="E270" s="534"/>
      <c r="F270" s="534"/>
      <c r="G270" s="534"/>
      <c r="H270" s="534"/>
      <c r="I270" s="534"/>
      <c r="J270" s="551"/>
    </row>
    <row r="271" spans="1:12">
      <c r="A271" s="550"/>
      <c r="B271" s="550"/>
      <c r="C271" s="244" t="s">
        <v>863</v>
      </c>
      <c r="D271" s="244">
        <v>1</v>
      </c>
      <c r="E271" s="244" t="s">
        <v>722</v>
      </c>
      <c r="F271" s="245">
        <v>2</v>
      </c>
      <c r="G271" s="246">
        <v>12</v>
      </c>
      <c r="H271" s="444">
        <v>1.25</v>
      </c>
      <c r="I271" s="444">
        <v>1.9870000000000001</v>
      </c>
      <c r="J271" s="558">
        <f>ROUND(I271*H271*G271*F271*D271,3)</f>
        <v>59.61</v>
      </c>
      <c r="K271" s="444"/>
      <c r="L271" s="563" t="s">
        <v>1035</v>
      </c>
    </row>
    <row r="272" spans="1:12">
      <c r="A272" s="550"/>
      <c r="B272" s="550"/>
      <c r="C272" s="244" t="s">
        <v>864</v>
      </c>
      <c r="D272" s="244">
        <v>1</v>
      </c>
      <c r="E272" s="244" t="s">
        <v>722</v>
      </c>
      <c r="F272" s="245">
        <v>2</v>
      </c>
      <c r="G272" s="246">
        <v>12</v>
      </c>
      <c r="H272" s="246">
        <v>0.3</v>
      </c>
      <c r="I272" s="246">
        <v>0.45</v>
      </c>
      <c r="J272" s="558">
        <f>ROUND(I272*H272*G272*F272*D272,3)</f>
        <v>3.24</v>
      </c>
      <c r="K272" s="524"/>
    </row>
    <row r="273" spans="1:13" ht="30">
      <c r="A273" s="550"/>
      <c r="B273" s="550"/>
      <c r="C273" s="244" t="s">
        <v>865</v>
      </c>
      <c r="D273" s="244">
        <v>1</v>
      </c>
      <c r="E273" s="244" t="s">
        <v>722</v>
      </c>
      <c r="F273" s="245">
        <v>2</v>
      </c>
      <c r="G273" s="246">
        <v>-1</v>
      </c>
      <c r="H273" s="246" t="s">
        <v>1036</v>
      </c>
      <c r="I273" s="526" t="s">
        <v>86</v>
      </c>
      <c r="J273" s="558">
        <f>ROUND(1.27*G273*F273,3)</f>
        <v>-2.54</v>
      </c>
      <c r="K273" s="246"/>
      <c r="L273" s="548">
        <f>(1.8+0.5)/2</f>
        <v>1.1499999999999999</v>
      </c>
      <c r="M273" s="548">
        <f>22/7/4</f>
        <v>0.7857142857142857</v>
      </c>
    </row>
    <row r="274" spans="1:13">
      <c r="A274" s="550"/>
      <c r="B274" s="550"/>
      <c r="C274" s="244" t="s">
        <v>868</v>
      </c>
      <c r="D274" s="244">
        <v>1</v>
      </c>
      <c r="E274" s="244" t="s">
        <v>722</v>
      </c>
      <c r="F274" s="245">
        <v>3</v>
      </c>
      <c r="G274" s="246">
        <v>0.5</v>
      </c>
      <c r="H274" s="246">
        <v>1.57</v>
      </c>
      <c r="I274" s="246">
        <v>1.87</v>
      </c>
      <c r="J274" s="558">
        <f>ROUND(I274*H274*G274*F274*D274,3)</f>
        <v>4.4039999999999999</v>
      </c>
      <c r="K274" s="246"/>
      <c r="M274" s="548">
        <f>1.67*1.67</f>
        <v>2.7888999999999999</v>
      </c>
    </row>
    <row r="275" spans="1:13" ht="30">
      <c r="A275" s="550"/>
      <c r="B275" s="550"/>
      <c r="C275" s="244" t="s">
        <v>865</v>
      </c>
      <c r="D275" s="244">
        <v>1</v>
      </c>
      <c r="E275" s="244" t="s">
        <v>722</v>
      </c>
      <c r="F275" s="245">
        <v>2</v>
      </c>
      <c r="G275" s="246">
        <v>-0.5</v>
      </c>
      <c r="H275" s="246" t="s">
        <v>1036</v>
      </c>
      <c r="I275" s="526" t="s">
        <v>86</v>
      </c>
      <c r="J275" s="558">
        <f>ROUND(1.27*G275*F275,3)</f>
        <v>-1.27</v>
      </c>
      <c r="K275" s="246"/>
      <c r="M275" s="548">
        <f>M273*M274</f>
        <v>2.1912785714285712</v>
      </c>
    </row>
    <row r="276" spans="1:13">
      <c r="A276" s="550"/>
      <c r="B276" s="550"/>
      <c r="C276" s="534"/>
      <c r="D276" s="534"/>
      <c r="E276" s="534"/>
      <c r="F276" s="534"/>
      <c r="G276" s="534"/>
      <c r="H276" s="534"/>
      <c r="I276" s="534" t="s">
        <v>230</v>
      </c>
      <c r="J276" s="558">
        <f>ROUND(SUM(J271:J275),3)</f>
        <v>63.444000000000003</v>
      </c>
      <c r="K276" s="246"/>
    </row>
    <row r="277" spans="1:13" ht="30">
      <c r="A277" s="550"/>
      <c r="B277" s="550"/>
      <c r="C277" s="244" t="s">
        <v>1077</v>
      </c>
      <c r="D277" s="244"/>
      <c r="E277" s="244"/>
      <c r="F277" s="534"/>
      <c r="G277" s="534"/>
      <c r="H277" s="534"/>
      <c r="I277" s="534"/>
      <c r="J277" s="558">
        <f>ROUND(J276*17,3)</f>
        <v>1078.548</v>
      </c>
      <c r="K277" s="246"/>
    </row>
    <row r="278" spans="1:13">
      <c r="A278" s="550"/>
      <c r="B278" s="550"/>
      <c r="C278" s="534"/>
      <c r="D278" s="534"/>
      <c r="E278" s="534"/>
      <c r="F278" s="534"/>
      <c r="G278" s="534"/>
      <c r="H278" s="534"/>
      <c r="I278" s="534"/>
      <c r="J278" s="551"/>
      <c r="K278" s="444"/>
    </row>
    <row r="279" spans="1:13" ht="30">
      <c r="A279" s="550"/>
      <c r="B279" s="550"/>
      <c r="C279" s="443" t="s">
        <v>989</v>
      </c>
      <c r="D279" s="244"/>
      <c r="E279" s="244"/>
      <c r="F279" s="247"/>
      <c r="G279" s="559"/>
      <c r="H279" s="559"/>
      <c r="I279" s="559"/>
      <c r="J279" s="559"/>
      <c r="K279" s="246"/>
    </row>
    <row r="280" spans="1:13">
      <c r="A280" s="550"/>
      <c r="B280" s="550"/>
      <c r="C280" s="244" t="s">
        <v>857</v>
      </c>
      <c r="D280" s="244">
        <v>1</v>
      </c>
      <c r="E280" s="244" t="s">
        <v>722</v>
      </c>
      <c r="F280" s="247">
        <v>2</v>
      </c>
      <c r="G280" s="559">
        <v>10</v>
      </c>
      <c r="H280" s="559">
        <v>1.3</v>
      </c>
      <c r="I280" s="559">
        <v>2</v>
      </c>
      <c r="J280" s="558">
        <f>ROUND(I280*H280*G280*F280*D280,3)</f>
        <v>52</v>
      </c>
      <c r="K280" s="246"/>
      <c r="L280" s="563" t="s">
        <v>866</v>
      </c>
    </row>
    <row r="281" spans="1:13">
      <c r="A281" s="550"/>
      <c r="B281" s="550"/>
      <c r="C281" s="244" t="s">
        <v>858</v>
      </c>
      <c r="D281" s="244">
        <v>1</v>
      </c>
      <c r="E281" s="244" t="s">
        <v>722</v>
      </c>
      <c r="F281" s="247">
        <v>2</v>
      </c>
      <c r="G281" s="559">
        <v>0.75</v>
      </c>
      <c r="H281" s="559">
        <v>1</v>
      </c>
      <c r="I281" s="559">
        <v>2</v>
      </c>
      <c r="J281" s="558">
        <f t="shared" ref="J281:J297" si="11">ROUND(I281*H281*G281*F281*D281,3)</f>
        <v>3</v>
      </c>
      <c r="K281" s="246"/>
    </row>
    <row r="282" spans="1:13">
      <c r="A282" s="550"/>
      <c r="B282" s="550"/>
      <c r="C282" s="244"/>
      <c r="D282" s="244"/>
      <c r="E282" s="244"/>
      <c r="F282" s="247"/>
      <c r="G282" s="559"/>
      <c r="H282" s="559"/>
      <c r="I282" s="559"/>
      <c r="J282" s="558"/>
      <c r="K282" s="246"/>
    </row>
    <row r="283" spans="1:13" ht="30">
      <c r="A283" s="550"/>
      <c r="B283" s="550"/>
      <c r="C283" s="443" t="s">
        <v>1038</v>
      </c>
      <c r="D283" s="244"/>
      <c r="E283" s="244"/>
      <c r="F283" s="247"/>
      <c r="G283" s="559"/>
      <c r="H283" s="559"/>
      <c r="I283" s="559"/>
      <c r="J283" s="558"/>
      <c r="K283" s="246"/>
    </row>
    <row r="284" spans="1:13">
      <c r="A284" s="550"/>
      <c r="B284" s="550"/>
      <c r="C284" s="244" t="s">
        <v>857</v>
      </c>
      <c r="D284" s="244">
        <v>1</v>
      </c>
      <c r="E284" s="244" t="s">
        <v>722</v>
      </c>
      <c r="F284" s="247">
        <v>2</v>
      </c>
      <c r="G284" s="559">
        <v>10</v>
      </c>
      <c r="H284" s="559">
        <v>1.3</v>
      </c>
      <c r="I284" s="558">
        <v>2.8029999999999999</v>
      </c>
      <c r="J284" s="558">
        <f t="shared" si="11"/>
        <v>72.878</v>
      </c>
      <c r="K284" s="246"/>
    </row>
    <row r="285" spans="1:13">
      <c r="A285" s="550"/>
      <c r="B285" s="550"/>
      <c r="C285" s="244" t="s">
        <v>858</v>
      </c>
      <c r="D285" s="244">
        <v>1</v>
      </c>
      <c r="E285" s="244" t="s">
        <v>722</v>
      </c>
      <c r="F285" s="247">
        <v>2</v>
      </c>
      <c r="G285" s="559">
        <v>0.75</v>
      </c>
      <c r="H285" s="559">
        <v>1</v>
      </c>
      <c r="I285" s="559">
        <v>2.8029999999999999</v>
      </c>
      <c r="J285" s="558">
        <f t="shared" si="11"/>
        <v>4.2050000000000001</v>
      </c>
      <c r="K285" s="246"/>
    </row>
    <row r="286" spans="1:13">
      <c r="A286" s="550"/>
      <c r="B286" s="550"/>
      <c r="C286" s="244"/>
      <c r="D286" s="244"/>
      <c r="E286" s="244"/>
      <c r="F286" s="247"/>
      <c r="G286" s="559"/>
      <c r="H286" s="559"/>
      <c r="I286" s="559"/>
      <c r="J286" s="558"/>
      <c r="K286" s="246"/>
    </row>
    <row r="287" spans="1:13" ht="30">
      <c r="A287" s="550"/>
      <c r="B287" s="550"/>
      <c r="C287" s="443" t="s">
        <v>1040</v>
      </c>
      <c r="D287" s="244"/>
      <c r="E287" s="244"/>
      <c r="F287" s="247"/>
      <c r="G287" s="559"/>
      <c r="H287" s="559"/>
      <c r="I287" s="559"/>
      <c r="J287" s="558"/>
      <c r="K287" s="246"/>
    </row>
    <row r="288" spans="1:13">
      <c r="A288" s="550"/>
      <c r="B288" s="550"/>
      <c r="C288" s="244" t="s">
        <v>857</v>
      </c>
      <c r="D288" s="244">
        <v>1</v>
      </c>
      <c r="E288" s="244" t="s">
        <v>722</v>
      </c>
      <c r="F288" s="247">
        <v>2</v>
      </c>
      <c r="G288" s="559">
        <v>10</v>
      </c>
      <c r="H288" s="559">
        <v>1.3</v>
      </c>
      <c r="I288" s="558">
        <v>1.9</v>
      </c>
      <c r="J288" s="558">
        <f t="shared" si="11"/>
        <v>49.4</v>
      </c>
      <c r="K288" s="246"/>
    </row>
    <row r="289" spans="1:11">
      <c r="A289" s="550"/>
      <c r="B289" s="550"/>
      <c r="C289" s="244" t="s">
        <v>858</v>
      </c>
      <c r="D289" s="244">
        <v>1</v>
      </c>
      <c r="E289" s="244" t="s">
        <v>722</v>
      </c>
      <c r="F289" s="247">
        <v>2</v>
      </c>
      <c r="G289" s="559">
        <v>0.75</v>
      </c>
      <c r="H289" s="559">
        <v>1</v>
      </c>
      <c r="I289" s="559">
        <v>1.9</v>
      </c>
      <c r="J289" s="558">
        <f t="shared" si="11"/>
        <v>2.85</v>
      </c>
      <c r="K289" s="246"/>
    </row>
    <row r="290" spans="1:11">
      <c r="A290" s="550"/>
      <c r="B290" s="550"/>
      <c r="C290" s="244"/>
      <c r="D290" s="244"/>
      <c r="E290" s="244"/>
      <c r="F290" s="247"/>
      <c r="G290" s="559"/>
      <c r="H290" s="559"/>
      <c r="I290" s="559"/>
      <c r="J290" s="558"/>
      <c r="K290" s="246"/>
    </row>
    <row r="291" spans="1:11" ht="30">
      <c r="A291" s="550"/>
      <c r="B291" s="550"/>
      <c r="C291" s="443" t="s">
        <v>1050</v>
      </c>
      <c r="D291" s="244"/>
      <c r="E291" s="244"/>
      <c r="F291" s="247"/>
      <c r="G291" s="559"/>
      <c r="H291" s="559"/>
      <c r="I291" s="559"/>
      <c r="J291" s="558"/>
      <c r="K291" s="246"/>
    </row>
    <row r="292" spans="1:11">
      <c r="A292" s="550"/>
      <c r="B292" s="550"/>
      <c r="C292" s="244" t="s">
        <v>857</v>
      </c>
      <c r="D292" s="244">
        <v>1</v>
      </c>
      <c r="E292" s="244" t="s">
        <v>722</v>
      </c>
      <c r="F292" s="247">
        <v>2</v>
      </c>
      <c r="G292" s="559">
        <v>10</v>
      </c>
      <c r="H292" s="559">
        <v>1.3</v>
      </c>
      <c r="I292" s="558">
        <v>1.75</v>
      </c>
      <c r="J292" s="558">
        <f t="shared" si="11"/>
        <v>45.5</v>
      </c>
      <c r="K292" s="246"/>
    </row>
    <row r="293" spans="1:11">
      <c r="A293" s="550"/>
      <c r="B293" s="550"/>
      <c r="C293" s="244" t="s">
        <v>858</v>
      </c>
      <c r="D293" s="244">
        <v>1</v>
      </c>
      <c r="E293" s="244" t="s">
        <v>722</v>
      </c>
      <c r="F293" s="247">
        <v>2</v>
      </c>
      <c r="G293" s="559">
        <v>0.75</v>
      </c>
      <c r="H293" s="559">
        <v>1</v>
      </c>
      <c r="I293" s="559">
        <v>1.75</v>
      </c>
      <c r="J293" s="558">
        <f t="shared" si="11"/>
        <v>2.625</v>
      </c>
      <c r="K293" s="246"/>
    </row>
    <row r="294" spans="1:11">
      <c r="A294" s="550"/>
      <c r="B294" s="550"/>
      <c r="C294" s="244"/>
      <c r="D294" s="244"/>
      <c r="E294" s="244"/>
      <c r="F294" s="247"/>
      <c r="G294" s="559"/>
      <c r="H294" s="559"/>
      <c r="I294" s="559"/>
      <c r="J294" s="558"/>
      <c r="K294" s="246"/>
    </row>
    <row r="295" spans="1:11" ht="30">
      <c r="A295" s="550"/>
      <c r="B295" s="550"/>
      <c r="C295" s="443" t="s">
        <v>1051</v>
      </c>
      <c r="D295" s="244"/>
      <c r="E295" s="244"/>
      <c r="F295" s="247"/>
      <c r="G295" s="559"/>
      <c r="H295" s="559"/>
      <c r="I295" s="559"/>
      <c r="J295" s="558"/>
      <c r="K295" s="246"/>
    </row>
    <row r="296" spans="1:11">
      <c r="A296" s="550"/>
      <c r="B296" s="550"/>
      <c r="C296" s="244" t="s">
        <v>857</v>
      </c>
      <c r="D296" s="244">
        <v>1</v>
      </c>
      <c r="E296" s="244" t="s">
        <v>722</v>
      </c>
      <c r="F296" s="247">
        <v>2</v>
      </c>
      <c r="G296" s="559">
        <v>10</v>
      </c>
      <c r="H296" s="559">
        <v>1.3</v>
      </c>
      <c r="I296" s="558">
        <v>1.75</v>
      </c>
      <c r="J296" s="558">
        <f t="shared" si="11"/>
        <v>45.5</v>
      </c>
      <c r="K296" s="246"/>
    </row>
    <row r="297" spans="1:11">
      <c r="A297" s="550"/>
      <c r="B297" s="550"/>
      <c r="C297" s="244" t="s">
        <v>858</v>
      </c>
      <c r="D297" s="244">
        <v>1</v>
      </c>
      <c r="E297" s="244" t="s">
        <v>722</v>
      </c>
      <c r="F297" s="247">
        <v>2</v>
      </c>
      <c r="G297" s="559">
        <v>0.75</v>
      </c>
      <c r="H297" s="559">
        <v>1</v>
      </c>
      <c r="I297" s="558">
        <v>1.75</v>
      </c>
      <c r="J297" s="558">
        <f t="shared" si="11"/>
        <v>2.625</v>
      </c>
      <c r="K297" s="246"/>
    </row>
    <row r="298" spans="1:11">
      <c r="A298" s="550"/>
      <c r="B298" s="550"/>
      <c r="C298" s="244"/>
      <c r="D298" s="244"/>
      <c r="E298" s="244"/>
      <c r="F298" s="247"/>
      <c r="G298" s="559"/>
      <c r="H298" s="559"/>
      <c r="I298" s="559"/>
      <c r="J298" s="559"/>
      <c r="K298" s="246"/>
    </row>
    <row r="299" spans="1:11">
      <c r="A299" s="550"/>
      <c r="B299" s="550"/>
      <c r="C299" s="244"/>
      <c r="D299" s="244"/>
      <c r="E299" s="244"/>
      <c r="F299" s="247"/>
      <c r="G299" s="559"/>
      <c r="H299" s="559"/>
      <c r="I299" s="559"/>
      <c r="J299" s="559"/>
      <c r="K299" s="246"/>
    </row>
    <row r="300" spans="1:11" ht="30">
      <c r="A300" s="550"/>
      <c r="B300" s="550"/>
      <c r="C300" s="443" t="s">
        <v>1078</v>
      </c>
      <c r="D300" s="244"/>
      <c r="E300" s="244"/>
      <c r="F300" s="247"/>
      <c r="G300" s="559"/>
      <c r="H300" s="559"/>
      <c r="I300" s="559"/>
      <c r="J300" s="559"/>
      <c r="K300" s="246"/>
    </row>
    <row r="301" spans="1:11">
      <c r="A301" s="550"/>
      <c r="B301" s="550"/>
      <c r="C301" s="244" t="s">
        <v>1065</v>
      </c>
      <c r="D301" s="244">
        <v>1</v>
      </c>
      <c r="E301" s="244" t="s">
        <v>722</v>
      </c>
      <c r="F301" s="245">
        <v>1</v>
      </c>
      <c r="G301" s="246">
        <v>8</v>
      </c>
      <c r="H301" s="444">
        <v>1.2</v>
      </c>
      <c r="I301" s="444">
        <v>1.6759999999999999</v>
      </c>
      <c r="J301" s="558">
        <f>ROUND(I301*H301*G301*F301*D301,3)</f>
        <v>16.09</v>
      </c>
      <c r="K301" s="246"/>
    </row>
    <row r="302" spans="1:11">
      <c r="A302" s="550"/>
      <c r="B302" s="550"/>
      <c r="C302" s="244" t="s">
        <v>1079</v>
      </c>
      <c r="D302" s="244">
        <v>1</v>
      </c>
      <c r="E302" s="244" t="s">
        <v>722</v>
      </c>
      <c r="F302" s="245">
        <v>1</v>
      </c>
      <c r="G302" s="246">
        <v>8</v>
      </c>
      <c r="H302" s="444">
        <v>1</v>
      </c>
      <c r="I302" s="444">
        <v>1.6759999999999999</v>
      </c>
      <c r="J302" s="558">
        <f>ROUND(I302*H302*G302*F302*D302,3)</f>
        <v>13.407999999999999</v>
      </c>
      <c r="K302" s="246"/>
    </row>
    <row r="303" spans="1:11">
      <c r="A303" s="550"/>
      <c r="B303" s="550"/>
      <c r="C303" s="244" t="s">
        <v>1080</v>
      </c>
      <c r="D303" s="244">
        <v>1</v>
      </c>
      <c r="E303" s="244" t="s">
        <v>722</v>
      </c>
      <c r="F303" s="245">
        <v>2</v>
      </c>
      <c r="G303" s="246">
        <v>3</v>
      </c>
      <c r="H303" s="444">
        <v>1</v>
      </c>
      <c r="I303" s="444">
        <v>1.6759999999999999</v>
      </c>
      <c r="J303" s="558">
        <f>ROUND(I303*H303*G303*F303*D303,3)</f>
        <v>10.055999999999999</v>
      </c>
      <c r="K303" s="246"/>
    </row>
    <row r="304" spans="1:11">
      <c r="A304" s="550"/>
      <c r="B304" s="550"/>
      <c r="C304" s="245" t="s">
        <v>1081</v>
      </c>
      <c r="D304" s="244"/>
      <c r="E304" s="244"/>
      <c r="F304" s="245"/>
      <c r="G304" s="246"/>
      <c r="H304" s="444"/>
      <c r="I304" s="444"/>
      <c r="J304" s="558"/>
      <c r="K304" s="246"/>
    </row>
    <row r="305" spans="1:11">
      <c r="A305" s="550"/>
      <c r="B305" s="550"/>
      <c r="C305" s="244" t="s">
        <v>1065</v>
      </c>
      <c r="D305" s="244">
        <v>1</v>
      </c>
      <c r="E305" s="244" t="s">
        <v>722</v>
      </c>
      <c r="F305" s="245">
        <v>1</v>
      </c>
      <c r="G305" s="246">
        <v>8</v>
      </c>
      <c r="H305" s="246">
        <v>0.9</v>
      </c>
      <c r="I305" s="246">
        <v>0.3</v>
      </c>
      <c r="J305" s="558">
        <f>ROUND(I305*H305*G305*F305*D305,3)</f>
        <v>2.16</v>
      </c>
      <c r="K305" s="246"/>
    </row>
    <row r="306" spans="1:11">
      <c r="A306" s="550"/>
      <c r="B306" s="550"/>
      <c r="C306" s="244" t="s">
        <v>1079</v>
      </c>
      <c r="D306" s="244">
        <v>1</v>
      </c>
      <c r="E306" s="244" t="s">
        <v>722</v>
      </c>
      <c r="F306" s="245">
        <v>1</v>
      </c>
      <c r="G306" s="246">
        <v>8</v>
      </c>
      <c r="H306" s="246">
        <v>0.5</v>
      </c>
      <c r="I306" s="246">
        <v>0.3</v>
      </c>
      <c r="J306" s="558">
        <f>ROUND(I306*H306*G306*F306*D306,3)</f>
        <v>1.2</v>
      </c>
      <c r="K306" s="246"/>
    </row>
    <row r="307" spans="1:11" ht="30">
      <c r="A307" s="550"/>
      <c r="B307" s="550"/>
      <c r="C307" s="244" t="s">
        <v>865</v>
      </c>
      <c r="D307" s="244">
        <v>1</v>
      </c>
      <c r="E307" s="244" t="s">
        <v>722</v>
      </c>
      <c r="F307" s="245">
        <v>2</v>
      </c>
      <c r="G307" s="246">
        <v>-1</v>
      </c>
      <c r="H307" s="246" t="s">
        <v>1090</v>
      </c>
      <c r="I307" s="526" t="s">
        <v>86</v>
      </c>
      <c r="J307" s="558">
        <f>ROUND(0.466*G307*F307,3)</f>
        <v>-0.93200000000000005</v>
      </c>
      <c r="K307" s="246"/>
    </row>
    <row r="308" spans="1:11">
      <c r="A308" s="550"/>
      <c r="B308" s="550"/>
      <c r="C308" s="244" t="s">
        <v>868</v>
      </c>
      <c r="D308" s="244">
        <v>1</v>
      </c>
      <c r="E308" s="244" t="s">
        <v>722</v>
      </c>
      <c r="F308" s="245">
        <v>1</v>
      </c>
      <c r="G308" s="246">
        <v>0.5</v>
      </c>
      <c r="H308" s="246">
        <v>0.97</v>
      </c>
      <c r="I308" s="246">
        <v>1.07</v>
      </c>
      <c r="J308" s="558">
        <f>ROUND(I308*H308*G308*F308*D308,3)</f>
        <v>0.51900000000000002</v>
      </c>
      <c r="K308" s="246"/>
    </row>
    <row r="309" spans="1:11" ht="30">
      <c r="A309" s="550"/>
      <c r="B309" s="550"/>
      <c r="C309" s="244" t="s">
        <v>865</v>
      </c>
      <c r="D309" s="244">
        <v>1</v>
      </c>
      <c r="E309" s="244" t="s">
        <v>722</v>
      </c>
      <c r="F309" s="245">
        <v>2</v>
      </c>
      <c r="G309" s="246">
        <v>-0.5</v>
      </c>
      <c r="H309" s="246" t="s">
        <v>1090</v>
      </c>
      <c r="I309" s="526" t="s">
        <v>86</v>
      </c>
      <c r="J309" s="558">
        <f>ROUND(0.466*G309*F309,3)</f>
        <v>-0.46600000000000003</v>
      </c>
      <c r="K309" s="246"/>
    </row>
    <row r="310" spans="1:11">
      <c r="A310" s="550"/>
      <c r="B310" s="550"/>
      <c r="C310" s="244"/>
      <c r="D310" s="244"/>
      <c r="E310" s="244"/>
      <c r="F310" s="247"/>
      <c r="G310" s="559"/>
      <c r="H310" s="559"/>
      <c r="I310" s="559"/>
      <c r="J310" s="559"/>
      <c r="K310" s="246"/>
    </row>
    <row r="311" spans="1:11">
      <c r="A311" s="550"/>
      <c r="B311" s="550"/>
      <c r="C311" s="244"/>
      <c r="D311" s="244"/>
      <c r="E311" s="244"/>
      <c r="F311" s="247"/>
      <c r="G311" s="559"/>
      <c r="H311" s="559"/>
      <c r="I311" s="559"/>
      <c r="J311" s="559"/>
      <c r="K311" s="246"/>
    </row>
    <row r="312" spans="1:11" ht="30">
      <c r="A312" s="550"/>
      <c r="B312" s="550"/>
      <c r="C312" s="443" t="s">
        <v>1082</v>
      </c>
      <c r="D312" s="244"/>
      <c r="E312" s="244"/>
      <c r="F312" s="247"/>
      <c r="G312" s="559"/>
      <c r="H312" s="559"/>
      <c r="I312" s="559"/>
      <c r="J312" s="559"/>
      <c r="K312" s="246"/>
    </row>
    <row r="313" spans="1:11">
      <c r="A313" s="550"/>
      <c r="B313" s="550"/>
      <c r="C313" s="244" t="s">
        <v>1065</v>
      </c>
      <c r="D313" s="244">
        <v>1</v>
      </c>
      <c r="E313" s="244" t="s">
        <v>722</v>
      </c>
      <c r="F313" s="245">
        <v>1</v>
      </c>
      <c r="G313" s="246">
        <v>8</v>
      </c>
      <c r="H313" s="444">
        <v>1.05</v>
      </c>
      <c r="I313" s="444">
        <v>1.704</v>
      </c>
      <c r="J313" s="558">
        <f>ROUND(I313*H313*G313*F313*D313,3)</f>
        <v>14.314</v>
      </c>
      <c r="K313" s="246"/>
    </row>
    <row r="314" spans="1:11">
      <c r="A314" s="550"/>
      <c r="B314" s="550"/>
      <c r="C314" s="244" t="s">
        <v>1079</v>
      </c>
      <c r="D314" s="244">
        <v>1</v>
      </c>
      <c r="E314" s="244" t="s">
        <v>722</v>
      </c>
      <c r="F314" s="245">
        <v>1</v>
      </c>
      <c r="G314" s="246">
        <v>8</v>
      </c>
      <c r="H314" s="444">
        <v>1</v>
      </c>
      <c r="I314" s="444">
        <v>1.704</v>
      </c>
      <c r="J314" s="558">
        <f>ROUND(I314*H314*G314*F314*D314,3)</f>
        <v>13.632</v>
      </c>
      <c r="K314" s="246"/>
    </row>
    <row r="315" spans="1:11">
      <c r="A315" s="550"/>
      <c r="B315" s="550"/>
      <c r="C315" s="244" t="s">
        <v>1080</v>
      </c>
      <c r="D315" s="244">
        <v>1</v>
      </c>
      <c r="E315" s="244" t="s">
        <v>722</v>
      </c>
      <c r="F315" s="245">
        <v>2</v>
      </c>
      <c r="G315" s="246">
        <v>3</v>
      </c>
      <c r="H315" s="444">
        <v>1.1000000000000001</v>
      </c>
      <c r="I315" s="444">
        <v>1.704</v>
      </c>
      <c r="J315" s="558">
        <f>ROUND(I315*H315*G315*F315*D315,3)</f>
        <v>11.246</v>
      </c>
      <c r="K315" s="246"/>
    </row>
    <row r="316" spans="1:11">
      <c r="A316" s="550"/>
      <c r="B316" s="550"/>
      <c r="C316" s="245" t="s">
        <v>1081</v>
      </c>
      <c r="D316" s="244"/>
      <c r="E316" s="244"/>
      <c r="F316" s="245"/>
      <c r="G316" s="246"/>
      <c r="H316" s="444"/>
      <c r="I316" s="444"/>
      <c r="J316" s="558"/>
      <c r="K316" s="246"/>
    </row>
    <row r="317" spans="1:11">
      <c r="A317" s="550"/>
      <c r="B317" s="550"/>
      <c r="C317" s="244" t="s">
        <v>1065</v>
      </c>
      <c r="D317" s="244">
        <v>1</v>
      </c>
      <c r="E317" s="244" t="s">
        <v>722</v>
      </c>
      <c r="F317" s="245">
        <v>1</v>
      </c>
      <c r="G317" s="246">
        <v>8</v>
      </c>
      <c r="H317" s="246">
        <v>0.6</v>
      </c>
      <c r="I317" s="246">
        <v>0.3</v>
      </c>
      <c r="J317" s="558">
        <f>ROUND(I317*H317*G317*F317*D317,3)</f>
        <v>1.44</v>
      </c>
      <c r="K317" s="246"/>
    </row>
    <row r="318" spans="1:11">
      <c r="A318" s="550"/>
      <c r="B318" s="550"/>
      <c r="C318" s="244" t="s">
        <v>1079</v>
      </c>
      <c r="D318" s="244">
        <v>1</v>
      </c>
      <c r="E318" s="244" t="s">
        <v>722</v>
      </c>
      <c r="F318" s="245">
        <v>1</v>
      </c>
      <c r="G318" s="246">
        <v>8</v>
      </c>
      <c r="H318" s="246">
        <v>0.5</v>
      </c>
      <c r="I318" s="246">
        <v>0.3</v>
      </c>
      <c r="J318" s="558">
        <f>ROUND(I318*H318*G318*F318*D318,3)</f>
        <v>1.2</v>
      </c>
      <c r="K318" s="246"/>
    </row>
    <row r="319" spans="1:11" ht="30">
      <c r="A319" s="550"/>
      <c r="B319" s="550"/>
      <c r="C319" s="244" t="s">
        <v>865</v>
      </c>
      <c r="D319" s="244">
        <v>1</v>
      </c>
      <c r="E319" s="244" t="s">
        <v>722</v>
      </c>
      <c r="F319" s="245">
        <v>2</v>
      </c>
      <c r="G319" s="246">
        <v>-1</v>
      </c>
      <c r="H319" s="246" t="s">
        <v>1089</v>
      </c>
      <c r="I319" s="526" t="s">
        <v>86</v>
      </c>
      <c r="J319" s="558">
        <f>ROUND(1.189*G319*F319,3)</f>
        <v>-2.3780000000000001</v>
      </c>
      <c r="K319" s="246"/>
    </row>
    <row r="320" spans="1:11">
      <c r="A320" s="550"/>
      <c r="B320" s="550"/>
      <c r="C320" s="244" t="s">
        <v>868</v>
      </c>
      <c r="D320" s="244">
        <v>1</v>
      </c>
      <c r="E320" s="244" t="s">
        <v>722</v>
      </c>
      <c r="F320" s="245">
        <v>1</v>
      </c>
      <c r="G320" s="246">
        <v>0.5</v>
      </c>
      <c r="H320" s="246">
        <v>1.43</v>
      </c>
      <c r="I320" s="246">
        <v>1.43</v>
      </c>
      <c r="J320" s="558">
        <f>ROUND(I320*H320*G320*F320*D320,3)</f>
        <v>1.022</v>
      </c>
      <c r="K320" s="246"/>
    </row>
    <row r="321" spans="1:11" ht="30">
      <c r="A321" s="550"/>
      <c r="B321" s="550"/>
      <c r="C321" s="244" t="s">
        <v>865</v>
      </c>
      <c r="D321" s="244">
        <v>1</v>
      </c>
      <c r="E321" s="244" t="s">
        <v>722</v>
      </c>
      <c r="F321" s="245">
        <v>2</v>
      </c>
      <c r="G321" s="246">
        <v>-0.5</v>
      </c>
      <c r="H321" s="246" t="s">
        <v>1089</v>
      </c>
      <c r="I321" s="526" t="s">
        <v>86</v>
      </c>
      <c r="J321" s="558">
        <f>ROUND(1.189*G321*F321,3)</f>
        <v>-1.1890000000000001</v>
      </c>
      <c r="K321" s="246"/>
    </row>
    <row r="322" spans="1:11">
      <c r="A322" s="550"/>
      <c r="B322" s="550"/>
      <c r="C322" s="244"/>
      <c r="D322" s="244"/>
      <c r="E322" s="244"/>
      <c r="F322" s="247"/>
      <c r="G322" s="559"/>
      <c r="H322" s="559"/>
      <c r="I322" s="559"/>
      <c r="J322" s="559"/>
      <c r="K322" s="246"/>
    </row>
    <row r="323" spans="1:11">
      <c r="A323" s="550"/>
      <c r="B323" s="550"/>
      <c r="C323" s="248"/>
      <c r="D323" s="248"/>
      <c r="E323" s="248"/>
      <c r="F323" s="210"/>
      <c r="G323" s="564"/>
      <c r="H323" s="564"/>
      <c r="I323" s="564"/>
      <c r="J323" s="564"/>
      <c r="K323" s="246"/>
    </row>
    <row r="324" spans="1:11" ht="30">
      <c r="A324" s="550"/>
      <c r="B324" s="550"/>
      <c r="C324" s="248"/>
      <c r="D324" s="248"/>
      <c r="E324" s="248"/>
      <c r="F324" s="210"/>
      <c r="G324" s="565" t="s">
        <v>137</v>
      </c>
      <c r="H324" s="564"/>
      <c r="I324" s="564"/>
      <c r="J324" s="558">
        <f>ROUND(SUM(J277:J323),3)</f>
        <v>1440.453</v>
      </c>
      <c r="K324" s="246" t="s">
        <v>993</v>
      </c>
    </row>
    <row r="325" spans="1:11">
      <c r="A325" s="550"/>
      <c r="B325" s="550"/>
      <c r="C325" s="249"/>
      <c r="D325" s="249"/>
      <c r="E325" s="249"/>
      <c r="F325" s="210"/>
      <c r="G325" s="564"/>
      <c r="H325" s="564"/>
      <c r="I325" s="564" t="s">
        <v>134</v>
      </c>
      <c r="J325" s="562">
        <f>ROUND(J324,0)</f>
        <v>1440</v>
      </c>
      <c r="K325" s="246"/>
    </row>
    <row r="326" spans="1:11">
      <c r="A326" s="550"/>
      <c r="B326" s="550"/>
      <c r="C326" s="249"/>
      <c r="D326" s="249"/>
      <c r="E326" s="249"/>
      <c r="F326" s="210"/>
      <c r="G326" s="564"/>
      <c r="H326" s="564"/>
      <c r="I326" s="564"/>
      <c r="J326" s="562"/>
      <c r="K326" s="246"/>
    </row>
    <row r="327" spans="1:11" ht="97.5" customHeight="1">
      <c r="A327" s="550">
        <v>12</v>
      </c>
      <c r="B327" s="550"/>
      <c r="C327" s="594" t="s">
        <v>998</v>
      </c>
      <c r="D327" s="594"/>
      <c r="E327" s="594"/>
      <c r="F327" s="594"/>
      <c r="G327" s="594"/>
      <c r="H327" s="594"/>
      <c r="I327" s="594"/>
      <c r="J327" s="562"/>
      <c r="K327" s="246"/>
    </row>
    <row r="328" spans="1:11">
      <c r="A328" s="550"/>
      <c r="B328" s="550"/>
      <c r="C328" s="249"/>
      <c r="D328" s="249"/>
      <c r="E328" s="249"/>
      <c r="F328" s="210"/>
      <c r="G328" s="564"/>
      <c r="H328" s="564"/>
      <c r="I328" s="564"/>
      <c r="J328" s="562"/>
      <c r="K328" s="246"/>
    </row>
    <row r="329" spans="1:11" ht="30">
      <c r="A329" s="550"/>
      <c r="B329" s="550"/>
      <c r="C329" s="499" t="s">
        <v>1052</v>
      </c>
      <c r="D329" s="249"/>
      <c r="E329" s="249"/>
      <c r="F329" s="210"/>
      <c r="G329" s="564"/>
      <c r="H329" s="564"/>
      <c r="I329" s="564"/>
      <c r="J329" s="562"/>
      <c r="K329" s="246"/>
    </row>
    <row r="330" spans="1:11">
      <c r="A330" s="550"/>
      <c r="B330" s="550"/>
      <c r="C330" s="249" t="s">
        <v>1053</v>
      </c>
      <c r="D330" s="249">
        <v>1</v>
      </c>
      <c r="E330" s="249" t="s">
        <v>722</v>
      </c>
      <c r="F330" s="210">
        <v>2</v>
      </c>
      <c r="G330" s="564">
        <v>5</v>
      </c>
      <c r="H330" s="564">
        <v>1.3</v>
      </c>
      <c r="I330" s="566">
        <v>7.4999999999999997E-2</v>
      </c>
      <c r="J330" s="569">
        <f>ROUND(I330*H330*G330*F330*D330,3)</f>
        <v>0.97499999999999998</v>
      </c>
      <c r="K330" s="246"/>
    </row>
    <row r="331" spans="1:11">
      <c r="A331" s="550"/>
      <c r="B331" s="550"/>
      <c r="C331" s="249"/>
      <c r="D331" s="249"/>
      <c r="E331" s="249"/>
      <c r="F331" s="210"/>
      <c r="G331" s="564"/>
      <c r="H331" s="564"/>
      <c r="I331" s="564"/>
      <c r="J331" s="569"/>
      <c r="K331" s="246"/>
    </row>
    <row r="332" spans="1:11" ht="30">
      <c r="A332" s="550"/>
      <c r="B332" s="550"/>
      <c r="C332" s="499" t="s">
        <v>1054</v>
      </c>
      <c r="D332" s="249"/>
      <c r="E332" s="249"/>
      <c r="F332" s="210"/>
      <c r="G332" s="564"/>
      <c r="H332" s="564"/>
      <c r="I332" s="564"/>
      <c r="J332" s="569"/>
      <c r="K332" s="246"/>
    </row>
    <row r="333" spans="1:11">
      <c r="A333" s="550"/>
      <c r="B333" s="550"/>
      <c r="C333" s="249" t="s">
        <v>1053</v>
      </c>
      <c r="D333" s="249">
        <v>1</v>
      </c>
      <c r="E333" s="249" t="s">
        <v>722</v>
      </c>
      <c r="F333" s="210">
        <v>2</v>
      </c>
      <c r="G333" s="564">
        <v>5</v>
      </c>
      <c r="H333" s="564">
        <v>0.4</v>
      </c>
      <c r="I333" s="566">
        <v>7.4999999999999997E-2</v>
      </c>
      <c r="J333" s="569">
        <f t="shared" ref="J333:J342" si="12">ROUND(I333*H333*G333*F333*D333,3)</f>
        <v>0.3</v>
      </c>
      <c r="K333" s="246"/>
    </row>
    <row r="334" spans="1:11">
      <c r="A334" s="550"/>
      <c r="B334" s="550"/>
      <c r="C334" s="249"/>
      <c r="D334" s="249"/>
      <c r="E334" s="249"/>
      <c r="F334" s="210"/>
      <c r="G334" s="564"/>
      <c r="H334" s="564"/>
      <c r="I334" s="564"/>
      <c r="J334" s="569"/>
      <c r="K334" s="246"/>
    </row>
    <row r="335" spans="1:11" ht="30">
      <c r="A335" s="550"/>
      <c r="B335" s="550"/>
      <c r="C335" s="499" t="s">
        <v>1055</v>
      </c>
      <c r="D335" s="249"/>
      <c r="E335" s="249"/>
      <c r="F335" s="210"/>
      <c r="G335" s="564"/>
      <c r="H335" s="564"/>
      <c r="I335" s="564"/>
      <c r="J335" s="569"/>
      <c r="K335" s="246"/>
    </row>
    <row r="336" spans="1:11">
      <c r="A336" s="550"/>
      <c r="B336" s="550"/>
      <c r="C336" s="249" t="s">
        <v>1053</v>
      </c>
      <c r="D336" s="249">
        <v>1</v>
      </c>
      <c r="E336" s="249" t="s">
        <v>722</v>
      </c>
      <c r="F336" s="210">
        <v>2</v>
      </c>
      <c r="G336" s="564">
        <v>5</v>
      </c>
      <c r="H336" s="564">
        <v>1.6</v>
      </c>
      <c r="I336" s="566">
        <v>7.4999999999999997E-2</v>
      </c>
      <c r="J336" s="569">
        <f t="shared" si="12"/>
        <v>1.2</v>
      </c>
      <c r="K336" s="246"/>
    </row>
    <row r="337" spans="1:11">
      <c r="A337" s="550"/>
      <c r="B337" s="550"/>
      <c r="C337" s="249"/>
      <c r="D337" s="249"/>
      <c r="E337" s="249"/>
      <c r="F337" s="210"/>
      <c r="G337" s="564"/>
      <c r="H337" s="564"/>
      <c r="I337" s="564"/>
      <c r="J337" s="569"/>
      <c r="K337" s="246"/>
    </row>
    <row r="338" spans="1:11" ht="30">
      <c r="A338" s="550"/>
      <c r="B338" s="550"/>
      <c r="C338" s="499" t="s">
        <v>1056</v>
      </c>
      <c r="D338" s="249"/>
      <c r="E338" s="249"/>
      <c r="F338" s="210"/>
      <c r="G338" s="564"/>
      <c r="H338" s="564"/>
      <c r="I338" s="564"/>
      <c r="J338" s="569"/>
      <c r="K338" s="246"/>
    </row>
    <row r="339" spans="1:11">
      <c r="A339" s="550"/>
      <c r="B339" s="550"/>
      <c r="C339" s="249" t="s">
        <v>1053</v>
      </c>
      <c r="D339" s="249">
        <v>1</v>
      </c>
      <c r="E339" s="249" t="s">
        <v>722</v>
      </c>
      <c r="F339" s="210">
        <v>2</v>
      </c>
      <c r="G339" s="564">
        <v>5</v>
      </c>
      <c r="H339" s="564">
        <v>1.1000000000000001</v>
      </c>
      <c r="I339" s="566">
        <v>7.4999999999999997E-2</v>
      </c>
      <c r="J339" s="569">
        <f t="shared" si="12"/>
        <v>0.82499999999999996</v>
      </c>
      <c r="K339" s="246"/>
    </row>
    <row r="340" spans="1:11">
      <c r="A340" s="550"/>
      <c r="B340" s="550"/>
      <c r="C340" s="249"/>
      <c r="D340" s="249"/>
      <c r="E340" s="249"/>
      <c r="F340" s="210"/>
      <c r="G340" s="564"/>
      <c r="H340" s="564"/>
      <c r="I340" s="564"/>
      <c r="J340" s="569"/>
      <c r="K340" s="246"/>
    </row>
    <row r="341" spans="1:11" ht="30">
      <c r="A341" s="550"/>
      <c r="B341" s="550"/>
      <c r="C341" s="499" t="s">
        <v>1057</v>
      </c>
      <c r="D341" s="249"/>
      <c r="E341" s="249"/>
      <c r="F341" s="210"/>
      <c r="G341" s="564"/>
      <c r="H341" s="564"/>
      <c r="I341" s="564"/>
      <c r="J341" s="569"/>
      <c r="K341" s="246"/>
    </row>
    <row r="342" spans="1:11">
      <c r="A342" s="550"/>
      <c r="B342" s="550"/>
      <c r="C342" s="249" t="s">
        <v>1053</v>
      </c>
      <c r="D342" s="249">
        <v>1</v>
      </c>
      <c r="E342" s="249" t="s">
        <v>722</v>
      </c>
      <c r="F342" s="210">
        <v>2</v>
      </c>
      <c r="G342" s="564">
        <v>5</v>
      </c>
      <c r="H342" s="564">
        <v>0.9</v>
      </c>
      <c r="I342" s="566">
        <v>7.4999999999999997E-2</v>
      </c>
      <c r="J342" s="569">
        <f t="shared" si="12"/>
        <v>0.67500000000000004</v>
      </c>
      <c r="K342" s="246"/>
    </row>
    <row r="343" spans="1:11">
      <c r="A343" s="550"/>
      <c r="B343" s="550"/>
      <c r="C343" s="249"/>
      <c r="D343" s="249"/>
      <c r="E343" s="249"/>
      <c r="F343" s="210"/>
      <c r="G343" s="564"/>
      <c r="H343" s="564"/>
      <c r="I343" s="564"/>
      <c r="J343" s="562"/>
      <c r="K343" s="246"/>
    </row>
    <row r="344" spans="1:11">
      <c r="A344" s="550"/>
      <c r="B344" s="550"/>
      <c r="C344" s="249"/>
      <c r="D344" s="249"/>
      <c r="E344" s="249"/>
      <c r="F344" s="210"/>
      <c r="G344" s="564"/>
      <c r="H344" s="564" t="s">
        <v>717</v>
      </c>
      <c r="I344" s="564"/>
      <c r="J344" s="569">
        <f>SUM(J330:J343)</f>
        <v>3.9749999999999996</v>
      </c>
      <c r="K344" s="246"/>
    </row>
    <row r="345" spans="1:11">
      <c r="A345" s="550"/>
      <c r="B345" s="550"/>
      <c r="C345" s="249"/>
      <c r="D345" s="249"/>
      <c r="E345" s="249"/>
      <c r="F345" s="210"/>
      <c r="G345" s="564"/>
      <c r="H345" s="564"/>
      <c r="I345" s="564" t="s">
        <v>134</v>
      </c>
      <c r="J345" s="562">
        <f>ROUND(J344,0)</f>
        <v>4</v>
      </c>
      <c r="K345" s="246"/>
    </row>
    <row r="346" spans="1:11">
      <c r="A346" s="550"/>
      <c r="B346" s="550"/>
      <c r="C346" s="249"/>
      <c r="D346" s="249"/>
      <c r="E346" s="249"/>
      <c r="F346" s="210"/>
      <c r="G346" s="564"/>
      <c r="H346" s="564"/>
      <c r="I346" s="564"/>
      <c r="J346" s="562"/>
      <c r="K346" s="246"/>
    </row>
    <row r="347" spans="1:11" ht="57" customHeight="1">
      <c r="A347" s="550">
        <v>13</v>
      </c>
      <c r="B347" s="550" t="s">
        <v>108</v>
      </c>
      <c r="C347" s="597" t="s">
        <v>733</v>
      </c>
      <c r="D347" s="597"/>
      <c r="E347" s="597"/>
      <c r="F347" s="597"/>
      <c r="G347" s="597"/>
      <c r="H347" s="597"/>
      <c r="I347" s="597"/>
      <c r="J347" s="551"/>
    </row>
    <row r="348" spans="1:11" ht="30">
      <c r="A348" s="550"/>
      <c r="B348" s="550"/>
      <c r="C348" s="534" t="s">
        <v>990</v>
      </c>
      <c r="D348" s="570"/>
      <c r="E348" s="570"/>
      <c r="F348" s="570"/>
      <c r="G348" s="570"/>
      <c r="H348" s="570"/>
      <c r="I348" s="570"/>
      <c r="J348" s="551"/>
    </row>
    <row r="349" spans="1:11" ht="21.75" customHeight="1">
      <c r="A349" s="550"/>
      <c r="B349" s="550"/>
      <c r="C349" s="244" t="s">
        <v>863</v>
      </c>
      <c r="D349" s="534">
        <v>2</v>
      </c>
      <c r="E349" s="534" t="s">
        <v>722</v>
      </c>
      <c r="F349" s="570">
        <v>8</v>
      </c>
      <c r="G349" s="571" t="s">
        <v>86</v>
      </c>
      <c r="H349" s="571" t="s">
        <v>86</v>
      </c>
      <c r="I349" s="571" t="s">
        <v>86</v>
      </c>
      <c r="J349" s="559">
        <f>F349*D349</f>
        <v>16</v>
      </c>
    </row>
    <row r="350" spans="1:11" ht="29.25" customHeight="1">
      <c r="A350" s="550"/>
      <c r="B350" s="550"/>
      <c r="C350" s="244" t="s">
        <v>1037</v>
      </c>
      <c r="D350" s="244"/>
      <c r="E350" s="244"/>
      <c r="F350" s="570"/>
      <c r="G350" s="570"/>
      <c r="H350" s="570"/>
      <c r="I350" s="570"/>
      <c r="J350" s="559">
        <f>17*J349</f>
        <v>272</v>
      </c>
    </row>
    <row r="351" spans="1:11" ht="21.75" customHeight="1">
      <c r="A351" s="550"/>
      <c r="B351" s="550"/>
      <c r="C351" s="570"/>
      <c r="D351" s="570"/>
      <c r="E351" s="570"/>
      <c r="F351" s="570"/>
      <c r="G351" s="570"/>
      <c r="H351" s="570"/>
      <c r="I351" s="570"/>
      <c r="J351" s="551"/>
    </row>
    <row r="352" spans="1:11" ht="30">
      <c r="A352" s="550"/>
      <c r="B352" s="550"/>
      <c r="C352" s="443" t="s">
        <v>994</v>
      </c>
      <c r="D352" s="244"/>
      <c r="E352" s="244"/>
      <c r="F352" s="572"/>
      <c r="G352" s="572"/>
      <c r="H352" s="572"/>
      <c r="I352" s="572"/>
      <c r="J352" s="559"/>
    </row>
    <row r="353" spans="1:10">
      <c r="A353" s="550"/>
      <c r="B353" s="550"/>
      <c r="C353" s="244" t="s">
        <v>1058</v>
      </c>
      <c r="D353" s="244">
        <v>2</v>
      </c>
      <c r="E353" s="244" t="s">
        <v>722</v>
      </c>
      <c r="F353" s="572">
        <v>6</v>
      </c>
      <c r="G353" s="571" t="s">
        <v>86</v>
      </c>
      <c r="H353" s="571" t="s">
        <v>86</v>
      </c>
      <c r="I353" s="571" t="s">
        <v>86</v>
      </c>
      <c r="J353" s="559">
        <f>F353*D353</f>
        <v>12</v>
      </c>
    </row>
    <row r="354" spans="1:10">
      <c r="A354" s="550"/>
      <c r="B354" s="550"/>
      <c r="C354" s="443"/>
      <c r="D354" s="244"/>
      <c r="E354" s="244"/>
      <c r="F354" s="572"/>
      <c r="G354" s="572"/>
      <c r="H354" s="572"/>
      <c r="I354" s="572"/>
      <c r="J354" s="559"/>
    </row>
    <row r="355" spans="1:10" ht="30">
      <c r="A355" s="550"/>
      <c r="B355" s="550"/>
      <c r="C355" s="499" t="s">
        <v>1059</v>
      </c>
      <c r="D355" s="244"/>
      <c r="E355" s="244"/>
      <c r="F355" s="572"/>
      <c r="G355" s="572"/>
      <c r="H355" s="572"/>
      <c r="I355" s="572"/>
      <c r="J355" s="559"/>
    </row>
    <row r="356" spans="1:10">
      <c r="A356" s="550"/>
      <c r="B356" s="550"/>
      <c r="C356" s="244" t="s">
        <v>1058</v>
      </c>
      <c r="D356" s="244">
        <v>2</v>
      </c>
      <c r="E356" s="244" t="s">
        <v>722</v>
      </c>
      <c r="F356" s="572">
        <v>6</v>
      </c>
      <c r="G356" s="571" t="s">
        <v>86</v>
      </c>
      <c r="H356" s="571" t="s">
        <v>86</v>
      </c>
      <c r="I356" s="571" t="s">
        <v>86</v>
      </c>
      <c r="J356" s="559">
        <f>F356*D356</f>
        <v>12</v>
      </c>
    </row>
    <row r="357" spans="1:10">
      <c r="A357" s="550"/>
      <c r="B357" s="550"/>
      <c r="C357" s="249"/>
      <c r="D357" s="244"/>
      <c r="E357" s="244"/>
      <c r="F357" s="572"/>
      <c r="G357" s="572"/>
      <c r="H357" s="572"/>
      <c r="I357" s="572"/>
      <c r="J357" s="559"/>
    </row>
    <row r="358" spans="1:10" ht="30">
      <c r="A358" s="550"/>
      <c r="B358" s="550"/>
      <c r="C358" s="499" t="s">
        <v>1060</v>
      </c>
      <c r="D358" s="244"/>
      <c r="E358" s="244"/>
      <c r="F358" s="572"/>
      <c r="G358" s="572"/>
      <c r="H358" s="572"/>
      <c r="I358" s="572"/>
      <c r="J358" s="559"/>
    </row>
    <row r="359" spans="1:10">
      <c r="A359" s="550"/>
      <c r="B359" s="550"/>
      <c r="C359" s="244" t="s">
        <v>1058</v>
      </c>
      <c r="D359" s="244">
        <v>2</v>
      </c>
      <c r="E359" s="244" t="s">
        <v>722</v>
      </c>
      <c r="F359" s="572">
        <v>6</v>
      </c>
      <c r="G359" s="571" t="s">
        <v>86</v>
      </c>
      <c r="H359" s="571" t="s">
        <v>86</v>
      </c>
      <c r="I359" s="571" t="s">
        <v>86</v>
      </c>
      <c r="J359" s="559">
        <f>F359*D359</f>
        <v>12</v>
      </c>
    </row>
    <row r="360" spans="1:10">
      <c r="A360" s="550"/>
      <c r="B360" s="550"/>
      <c r="C360" s="249"/>
      <c r="D360" s="244"/>
      <c r="E360" s="244"/>
      <c r="F360" s="572"/>
      <c r="G360" s="572"/>
      <c r="H360" s="572"/>
      <c r="I360" s="572"/>
      <c r="J360" s="559"/>
    </row>
    <row r="361" spans="1:10" ht="30">
      <c r="A361" s="550"/>
      <c r="B361" s="550"/>
      <c r="C361" s="499" t="s">
        <v>1061</v>
      </c>
      <c r="D361" s="244"/>
      <c r="E361" s="244"/>
      <c r="F361" s="572"/>
      <c r="G361" s="572"/>
      <c r="H361" s="572"/>
      <c r="I361" s="572"/>
      <c r="J361" s="559"/>
    </row>
    <row r="362" spans="1:10">
      <c r="A362" s="550"/>
      <c r="B362" s="550"/>
      <c r="C362" s="244" t="s">
        <v>1058</v>
      </c>
      <c r="D362" s="244">
        <v>2</v>
      </c>
      <c r="E362" s="244" t="s">
        <v>722</v>
      </c>
      <c r="F362" s="572">
        <v>6</v>
      </c>
      <c r="G362" s="571" t="s">
        <v>86</v>
      </c>
      <c r="H362" s="571" t="s">
        <v>86</v>
      </c>
      <c r="I362" s="571" t="s">
        <v>86</v>
      </c>
      <c r="J362" s="559">
        <f>F362*D362</f>
        <v>12</v>
      </c>
    </row>
    <row r="363" spans="1:10">
      <c r="A363" s="550"/>
      <c r="B363" s="550"/>
      <c r="C363" s="249"/>
      <c r="D363" s="244"/>
      <c r="E363" s="244"/>
      <c r="F363" s="572"/>
      <c r="G363" s="572"/>
      <c r="H363" s="572"/>
      <c r="I363" s="572"/>
      <c r="J363" s="559"/>
    </row>
    <row r="364" spans="1:10" ht="30">
      <c r="A364" s="550"/>
      <c r="B364" s="550"/>
      <c r="C364" s="499" t="s">
        <v>1062</v>
      </c>
      <c r="D364" s="244"/>
      <c r="E364" s="244"/>
      <c r="F364" s="572"/>
      <c r="G364" s="572"/>
      <c r="H364" s="572"/>
      <c r="I364" s="572"/>
      <c r="J364" s="559"/>
    </row>
    <row r="365" spans="1:10">
      <c r="A365" s="550"/>
      <c r="B365" s="550"/>
      <c r="C365" s="244" t="s">
        <v>1058</v>
      </c>
      <c r="D365" s="244">
        <v>2</v>
      </c>
      <c r="E365" s="244" t="s">
        <v>722</v>
      </c>
      <c r="F365" s="572">
        <v>6</v>
      </c>
      <c r="G365" s="571" t="s">
        <v>86</v>
      </c>
      <c r="H365" s="571" t="s">
        <v>86</v>
      </c>
      <c r="I365" s="571" t="s">
        <v>86</v>
      </c>
      <c r="J365" s="559">
        <f>F365*D365</f>
        <v>12</v>
      </c>
    </row>
    <row r="366" spans="1:10">
      <c r="A366" s="550"/>
      <c r="B366" s="550"/>
      <c r="C366" s="244"/>
      <c r="D366" s="244"/>
      <c r="E366" s="244"/>
      <c r="F366" s="572"/>
      <c r="G366" s="572"/>
      <c r="H366" s="572"/>
      <c r="I366" s="572"/>
      <c r="J366" s="559"/>
    </row>
    <row r="367" spans="1:10" ht="30">
      <c r="A367" s="550"/>
      <c r="B367" s="550"/>
      <c r="C367" s="443" t="s">
        <v>1085</v>
      </c>
      <c r="D367" s="244"/>
      <c r="E367" s="244"/>
      <c r="F367" s="572"/>
      <c r="G367" s="572"/>
      <c r="H367" s="572"/>
      <c r="I367" s="572"/>
      <c r="J367" s="559"/>
    </row>
    <row r="368" spans="1:10">
      <c r="A368" s="550"/>
      <c r="B368" s="550"/>
      <c r="C368" s="244" t="s">
        <v>1086</v>
      </c>
      <c r="D368" s="245">
        <v>2</v>
      </c>
      <c r="E368" s="245" t="s">
        <v>722</v>
      </c>
      <c r="F368" s="572">
        <v>5</v>
      </c>
      <c r="G368" s="571" t="s">
        <v>86</v>
      </c>
      <c r="H368" s="571" t="s">
        <v>86</v>
      </c>
      <c r="I368" s="571" t="s">
        <v>86</v>
      </c>
      <c r="J368" s="559">
        <f>F368*D368</f>
        <v>10</v>
      </c>
    </row>
    <row r="369" spans="1:11">
      <c r="A369" s="550"/>
      <c r="B369" s="550"/>
      <c r="C369" s="244"/>
      <c r="D369" s="244"/>
      <c r="E369" s="244"/>
      <c r="F369" s="572"/>
      <c r="G369" s="572"/>
      <c r="H369" s="572"/>
      <c r="I369" s="572"/>
      <c r="J369" s="559"/>
    </row>
    <row r="370" spans="1:11" ht="30">
      <c r="A370" s="550"/>
      <c r="B370" s="550"/>
      <c r="C370" s="443" t="s">
        <v>1088</v>
      </c>
      <c r="D370" s="244"/>
      <c r="E370" s="244"/>
      <c r="F370" s="572"/>
      <c r="G370" s="572"/>
      <c r="H370" s="572"/>
      <c r="I370" s="572"/>
      <c r="J370" s="559"/>
    </row>
    <row r="371" spans="1:11">
      <c r="A371" s="550"/>
      <c r="B371" s="550"/>
      <c r="C371" s="244" t="s">
        <v>1086</v>
      </c>
      <c r="D371" s="245">
        <v>2</v>
      </c>
      <c r="E371" s="245" t="s">
        <v>722</v>
      </c>
      <c r="F371" s="572">
        <v>5</v>
      </c>
      <c r="G371" s="571" t="s">
        <v>86</v>
      </c>
      <c r="H371" s="571" t="s">
        <v>86</v>
      </c>
      <c r="I371" s="571" t="s">
        <v>86</v>
      </c>
      <c r="J371" s="559">
        <f>F371*D371</f>
        <v>10</v>
      </c>
    </row>
    <row r="372" spans="1:11">
      <c r="A372" s="550"/>
      <c r="B372" s="550"/>
      <c r="C372" s="244"/>
      <c r="D372" s="244"/>
      <c r="E372" s="244"/>
      <c r="F372" s="572"/>
      <c r="G372" s="572"/>
      <c r="H372" s="572"/>
      <c r="I372" s="572"/>
      <c r="J372" s="559"/>
    </row>
    <row r="373" spans="1:11" ht="30" customHeight="1">
      <c r="A373" s="550"/>
      <c r="B373" s="550"/>
      <c r="C373" s="570"/>
      <c r="D373" s="570"/>
      <c r="E373" s="570"/>
      <c r="F373" s="570"/>
      <c r="G373" s="570"/>
      <c r="H373" s="573" t="s">
        <v>1087</v>
      </c>
      <c r="I373" s="573"/>
      <c r="J373" s="562">
        <f>SUM(J350:J372)</f>
        <v>352</v>
      </c>
    </row>
    <row r="374" spans="1:11">
      <c r="A374" s="550"/>
      <c r="B374" s="550"/>
      <c r="C374" s="570"/>
      <c r="D374" s="570"/>
      <c r="E374" s="570"/>
      <c r="F374" s="570"/>
      <c r="G374" s="570"/>
      <c r="H374" s="570"/>
      <c r="I374" s="570"/>
      <c r="J374" s="551"/>
    </row>
    <row r="375" spans="1:11" ht="60" customHeight="1">
      <c r="A375" s="550">
        <v>14</v>
      </c>
      <c r="B375" s="550" t="s">
        <v>132</v>
      </c>
      <c r="C375" s="598" t="s">
        <v>734</v>
      </c>
      <c r="D375" s="598"/>
      <c r="E375" s="598"/>
      <c r="F375" s="598"/>
      <c r="G375" s="598"/>
      <c r="H375" s="598"/>
      <c r="I375" s="598"/>
      <c r="J375" s="551"/>
    </row>
    <row r="376" spans="1:11" ht="30">
      <c r="A376" s="550"/>
      <c r="B376" s="550"/>
      <c r="C376" s="534" t="s">
        <v>990</v>
      </c>
      <c r="D376" s="534"/>
      <c r="E376" s="534"/>
      <c r="F376" s="534"/>
      <c r="G376" s="534"/>
      <c r="H376" s="534"/>
      <c r="I376" s="534"/>
      <c r="J376" s="551"/>
    </row>
    <row r="377" spans="1:11">
      <c r="A377" s="550"/>
      <c r="B377" s="550"/>
      <c r="C377" s="244" t="s">
        <v>896</v>
      </c>
      <c r="D377" s="244">
        <v>1</v>
      </c>
      <c r="E377" s="244" t="s">
        <v>722</v>
      </c>
      <c r="F377" s="245">
        <v>2</v>
      </c>
      <c r="G377" s="246">
        <v>12</v>
      </c>
      <c r="H377" s="444">
        <v>1</v>
      </c>
      <c r="I377" s="246">
        <v>1</v>
      </c>
      <c r="J377" s="558">
        <f>ROUND(I377*H377*G377*F377*D377,3)</f>
        <v>24</v>
      </c>
    </row>
    <row r="378" spans="1:11" ht="30">
      <c r="A378" s="550"/>
      <c r="B378" s="550"/>
      <c r="C378" s="244" t="s">
        <v>865</v>
      </c>
      <c r="D378" s="244">
        <v>1</v>
      </c>
      <c r="E378" s="244" t="s">
        <v>722</v>
      </c>
      <c r="F378" s="245">
        <v>2</v>
      </c>
      <c r="G378" s="246">
        <v>-1</v>
      </c>
      <c r="H378" s="246" t="s">
        <v>1036</v>
      </c>
      <c r="I378" s="526" t="s">
        <v>86</v>
      </c>
      <c r="J378" s="558">
        <f>ROUND(1.27*G378*F378,3)</f>
        <v>-2.54</v>
      </c>
    </row>
    <row r="379" spans="1:11">
      <c r="A379" s="550"/>
      <c r="B379" s="550"/>
      <c r="C379" s="244" t="s">
        <v>867</v>
      </c>
      <c r="D379" s="244">
        <v>1</v>
      </c>
      <c r="E379" s="244" t="s">
        <v>722</v>
      </c>
      <c r="F379" s="245">
        <v>1</v>
      </c>
      <c r="G379" s="246">
        <v>15</v>
      </c>
      <c r="H379" s="246">
        <v>5.3</v>
      </c>
      <c r="I379" s="246">
        <v>0.6</v>
      </c>
      <c r="J379" s="558">
        <f>ROUND(I379*H379*G379,3)</f>
        <v>47.7</v>
      </c>
    </row>
    <row r="380" spans="1:11">
      <c r="A380" s="550"/>
      <c r="B380" s="550"/>
      <c r="C380" s="244"/>
      <c r="D380" s="244"/>
      <c r="E380" s="244"/>
      <c r="F380" s="245"/>
      <c r="G380" s="246"/>
      <c r="H380" s="246"/>
      <c r="I380" s="246"/>
      <c r="J380" s="559"/>
    </row>
    <row r="381" spans="1:11">
      <c r="A381" s="550"/>
      <c r="B381" s="550"/>
      <c r="C381" s="534"/>
      <c r="D381" s="534"/>
      <c r="E381" s="534"/>
      <c r="F381" s="534"/>
      <c r="G381" s="534"/>
      <c r="H381" s="534"/>
      <c r="I381" s="534" t="s">
        <v>230</v>
      </c>
      <c r="J381" s="558">
        <f>SUM(J377:J380)</f>
        <v>69.16</v>
      </c>
      <c r="K381" s="574"/>
    </row>
    <row r="382" spans="1:11" ht="30">
      <c r="A382" s="550"/>
      <c r="B382" s="550"/>
      <c r="C382" s="244" t="s">
        <v>1093</v>
      </c>
      <c r="D382" s="244"/>
      <c r="E382" s="244"/>
      <c r="F382" s="534"/>
      <c r="G382" s="534"/>
      <c r="H382" s="534"/>
      <c r="I382" s="534"/>
      <c r="J382" s="558">
        <f>ROUND(17*J381,3)</f>
        <v>1175.72</v>
      </c>
      <c r="K382" s="575"/>
    </row>
    <row r="383" spans="1:11">
      <c r="A383" s="550"/>
      <c r="B383" s="550"/>
      <c r="C383" s="534"/>
      <c r="D383" s="534"/>
      <c r="E383" s="534"/>
      <c r="F383" s="534"/>
      <c r="G383" s="534"/>
      <c r="H383" s="534"/>
      <c r="I383" s="534"/>
      <c r="J383" s="551"/>
    </row>
    <row r="384" spans="1:11" ht="30">
      <c r="A384" s="550"/>
      <c r="B384" s="550"/>
      <c r="C384" s="443" t="s">
        <v>989</v>
      </c>
      <c r="D384" s="244"/>
      <c r="E384" s="244"/>
      <c r="F384" s="247"/>
      <c r="G384" s="559"/>
      <c r="H384" s="559"/>
      <c r="I384" s="559"/>
      <c r="J384" s="559"/>
    </row>
    <row r="385" spans="1:10">
      <c r="A385" s="550"/>
      <c r="B385" s="550"/>
      <c r="C385" s="244" t="s">
        <v>857</v>
      </c>
      <c r="D385" s="244">
        <v>1</v>
      </c>
      <c r="E385" s="244" t="s">
        <v>722</v>
      </c>
      <c r="F385" s="247">
        <v>2</v>
      </c>
      <c r="G385" s="559">
        <v>10</v>
      </c>
      <c r="H385" s="559">
        <v>1</v>
      </c>
      <c r="I385" s="559">
        <v>1</v>
      </c>
      <c r="J385" s="559">
        <f>I385*H385*G385*F385</f>
        <v>20</v>
      </c>
    </row>
    <row r="386" spans="1:10">
      <c r="A386" s="550"/>
      <c r="B386" s="550"/>
      <c r="C386" s="244"/>
      <c r="D386" s="244"/>
      <c r="E386" s="244"/>
      <c r="F386" s="247"/>
      <c r="G386" s="559"/>
      <c r="H386" s="559"/>
      <c r="I386" s="559"/>
      <c r="J386" s="559"/>
    </row>
    <row r="387" spans="1:10" ht="30">
      <c r="A387" s="550"/>
      <c r="B387" s="550"/>
      <c r="C387" s="499" t="s">
        <v>1059</v>
      </c>
      <c r="D387" s="244"/>
      <c r="E387" s="244"/>
      <c r="F387" s="247"/>
      <c r="G387" s="559"/>
      <c r="H387" s="559"/>
      <c r="I387" s="559"/>
      <c r="J387" s="559"/>
    </row>
    <row r="388" spans="1:10">
      <c r="A388" s="550"/>
      <c r="B388" s="550"/>
      <c r="C388" s="244" t="s">
        <v>1058</v>
      </c>
      <c r="D388" s="244">
        <v>1</v>
      </c>
      <c r="E388" s="244" t="s">
        <v>722</v>
      </c>
      <c r="F388" s="247">
        <v>2</v>
      </c>
      <c r="G388" s="559">
        <v>10</v>
      </c>
      <c r="H388" s="559">
        <v>1</v>
      </c>
      <c r="I388" s="559">
        <v>1</v>
      </c>
      <c r="J388" s="559">
        <f>I388*H388*G388*F388</f>
        <v>20</v>
      </c>
    </row>
    <row r="389" spans="1:10">
      <c r="A389" s="550"/>
      <c r="B389" s="550"/>
      <c r="C389" s="249"/>
      <c r="D389" s="244"/>
      <c r="E389" s="244"/>
      <c r="F389" s="247"/>
      <c r="G389" s="559"/>
      <c r="H389" s="559"/>
      <c r="I389" s="559"/>
      <c r="J389" s="559"/>
    </row>
    <row r="390" spans="1:10" ht="30">
      <c r="A390" s="550"/>
      <c r="B390" s="550"/>
      <c r="C390" s="499" t="s">
        <v>1060</v>
      </c>
      <c r="D390" s="244"/>
      <c r="E390" s="244"/>
      <c r="F390" s="247"/>
      <c r="G390" s="559"/>
      <c r="H390" s="559"/>
      <c r="I390" s="559"/>
      <c r="J390" s="559"/>
    </row>
    <row r="391" spans="1:10">
      <c r="A391" s="550"/>
      <c r="B391" s="550"/>
      <c r="C391" s="244" t="s">
        <v>1058</v>
      </c>
      <c r="D391" s="244">
        <v>1</v>
      </c>
      <c r="E391" s="244" t="s">
        <v>722</v>
      </c>
      <c r="F391" s="247">
        <v>2</v>
      </c>
      <c r="G391" s="559">
        <v>10</v>
      </c>
      <c r="H391" s="559">
        <v>1</v>
      </c>
      <c r="I391" s="559">
        <v>1</v>
      </c>
      <c r="J391" s="559">
        <f>I391*H391*G391*F391</f>
        <v>20</v>
      </c>
    </row>
    <row r="392" spans="1:10">
      <c r="A392" s="550"/>
      <c r="B392" s="550"/>
      <c r="C392" s="249"/>
      <c r="D392" s="244"/>
      <c r="E392" s="244"/>
      <c r="F392" s="247"/>
      <c r="G392" s="559"/>
      <c r="H392" s="559"/>
      <c r="I392" s="559"/>
      <c r="J392" s="559"/>
    </row>
    <row r="393" spans="1:10" ht="30">
      <c r="A393" s="550"/>
      <c r="B393" s="550"/>
      <c r="C393" s="499" t="s">
        <v>1061</v>
      </c>
      <c r="D393" s="244"/>
      <c r="E393" s="244"/>
      <c r="F393" s="247"/>
      <c r="G393" s="559"/>
      <c r="H393" s="559"/>
      <c r="I393" s="559"/>
      <c r="J393" s="559"/>
    </row>
    <row r="394" spans="1:10">
      <c r="A394" s="550"/>
      <c r="B394" s="550"/>
      <c r="C394" s="244" t="s">
        <v>1058</v>
      </c>
      <c r="D394" s="244">
        <v>1</v>
      </c>
      <c r="E394" s="244" t="s">
        <v>722</v>
      </c>
      <c r="F394" s="247">
        <v>2</v>
      </c>
      <c r="G394" s="559">
        <v>10</v>
      </c>
      <c r="H394" s="559">
        <v>1</v>
      </c>
      <c r="I394" s="559">
        <v>1</v>
      </c>
      <c r="J394" s="559">
        <f>I394*H394*G394*F394</f>
        <v>20</v>
      </c>
    </row>
    <row r="395" spans="1:10">
      <c r="A395" s="550"/>
      <c r="B395" s="550"/>
      <c r="C395" s="249"/>
      <c r="D395" s="244"/>
      <c r="E395" s="244"/>
      <c r="F395" s="247"/>
      <c r="G395" s="559"/>
      <c r="H395" s="559"/>
      <c r="I395" s="559"/>
      <c r="J395" s="559"/>
    </row>
    <row r="396" spans="1:10" ht="30">
      <c r="A396" s="550"/>
      <c r="B396" s="550"/>
      <c r="C396" s="499" t="s">
        <v>1062</v>
      </c>
      <c r="D396" s="244"/>
      <c r="E396" s="244"/>
      <c r="F396" s="247"/>
      <c r="G396" s="559"/>
      <c r="H396" s="559"/>
      <c r="I396" s="559"/>
      <c r="J396" s="559"/>
    </row>
    <row r="397" spans="1:10">
      <c r="A397" s="550"/>
      <c r="B397" s="550"/>
      <c r="C397" s="244" t="s">
        <v>1058</v>
      </c>
      <c r="D397" s="244">
        <v>1</v>
      </c>
      <c r="E397" s="244" t="s">
        <v>722</v>
      </c>
      <c r="F397" s="247">
        <v>2</v>
      </c>
      <c r="G397" s="559">
        <v>10</v>
      </c>
      <c r="H397" s="559">
        <v>1</v>
      </c>
      <c r="I397" s="559">
        <v>1</v>
      </c>
      <c r="J397" s="559">
        <f>I397*H397*G397*F397</f>
        <v>20</v>
      </c>
    </row>
    <row r="398" spans="1:10">
      <c r="A398" s="550"/>
      <c r="B398" s="550"/>
      <c r="C398" s="244"/>
      <c r="D398" s="244"/>
      <c r="E398" s="244"/>
      <c r="F398" s="247"/>
      <c r="G398" s="559"/>
      <c r="H398" s="559"/>
      <c r="I398" s="559"/>
      <c r="J398" s="559"/>
    </row>
    <row r="399" spans="1:10" ht="31.5" customHeight="1">
      <c r="A399" s="550"/>
      <c r="B399" s="550"/>
      <c r="C399" s="244" t="s">
        <v>1092</v>
      </c>
      <c r="D399" s="244"/>
      <c r="E399" s="244"/>
      <c r="F399" s="247"/>
      <c r="G399" s="559"/>
      <c r="H399" s="559"/>
      <c r="I399" s="559"/>
      <c r="J399" s="559"/>
    </row>
    <row r="400" spans="1:10">
      <c r="A400" s="550"/>
      <c r="B400" s="550"/>
      <c r="C400" s="244" t="s">
        <v>896</v>
      </c>
      <c r="D400" s="244">
        <v>1</v>
      </c>
      <c r="E400" s="244" t="s">
        <v>722</v>
      </c>
      <c r="F400" s="245">
        <v>2</v>
      </c>
      <c r="G400" s="246">
        <v>8</v>
      </c>
      <c r="H400" s="444">
        <v>1</v>
      </c>
      <c r="I400" s="246">
        <v>1</v>
      </c>
      <c r="J400" s="559">
        <f>I400*H400*G400*F400*D400</f>
        <v>16</v>
      </c>
    </row>
    <row r="401" spans="1:10" ht="30">
      <c r="A401" s="550"/>
      <c r="B401" s="550"/>
      <c r="C401" s="244" t="s">
        <v>865</v>
      </c>
      <c r="D401" s="244">
        <v>1</v>
      </c>
      <c r="E401" s="244" t="s">
        <v>722</v>
      </c>
      <c r="F401" s="245">
        <v>2</v>
      </c>
      <c r="G401" s="246">
        <v>-0.77</v>
      </c>
      <c r="H401" s="246" t="s">
        <v>1090</v>
      </c>
      <c r="I401" s="526" t="s">
        <v>86</v>
      </c>
      <c r="J401" s="558">
        <f>ROUND(0.466*G401*F401,3)</f>
        <v>-0.71799999999999997</v>
      </c>
    </row>
    <row r="402" spans="1:10">
      <c r="A402" s="550"/>
      <c r="B402" s="550"/>
      <c r="C402" s="244" t="s">
        <v>867</v>
      </c>
      <c r="D402" s="244">
        <v>1</v>
      </c>
      <c r="E402" s="244" t="s">
        <v>722</v>
      </c>
      <c r="F402" s="245">
        <v>1</v>
      </c>
      <c r="G402" s="246">
        <v>8</v>
      </c>
      <c r="H402" s="246">
        <v>3</v>
      </c>
      <c r="I402" s="246">
        <v>0.6</v>
      </c>
      <c r="J402" s="559">
        <f>I402*H402*G402</f>
        <v>14.399999999999999</v>
      </c>
    </row>
    <row r="403" spans="1:10">
      <c r="A403" s="550"/>
      <c r="B403" s="550"/>
      <c r="C403" s="244"/>
      <c r="D403" s="244"/>
      <c r="E403" s="244"/>
      <c r="F403" s="247"/>
      <c r="G403" s="559"/>
      <c r="H403" s="559"/>
      <c r="I403" s="559"/>
      <c r="J403" s="559"/>
    </row>
    <row r="404" spans="1:10">
      <c r="A404" s="550"/>
      <c r="B404" s="550"/>
      <c r="C404" s="244"/>
      <c r="D404" s="244"/>
      <c r="E404" s="244"/>
      <c r="F404" s="247"/>
      <c r="G404" s="559"/>
      <c r="H404" s="559"/>
      <c r="I404" s="559"/>
      <c r="J404" s="559"/>
    </row>
    <row r="405" spans="1:10" ht="30">
      <c r="A405" s="550"/>
      <c r="B405" s="550"/>
      <c r="C405" s="443" t="s">
        <v>1091</v>
      </c>
      <c r="D405" s="244"/>
      <c r="E405" s="244"/>
      <c r="F405" s="247"/>
      <c r="G405" s="559"/>
      <c r="H405" s="559"/>
      <c r="I405" s="559"/>
      <c r="J405" s="559"/>
    </row>
    <row r="406" spans="1:10">
      <c r="A406" s="550"/>
      <c r="B406" s="550"/>
      <c r="C406" s="244" t="s">
        <v>896</v>
      </c>
      <c r="D406" s="244">
        <v>1</v>
      </c>
      <c r="E406" s="244" t="s">
        <v>722</v>
      </c>
      <c r="F406" s="245">
        <v>2</v>
      </c>
      <c r="G406" s="246">
        <v>8</v>
      </c>
      <c r="H406" s="444">
        <v>1</v>
      </c>
      <c r="I406" s="246">
        <v>1</v>
      </c>
      <c r="J406" s="559">
        <f>I406*H406*G406*F406*D406</f>
        <v>16</v>
      </c>
    </row>
    <row r="407" spans="1:10" ht="30">
      <c r="A407" s="550"/>
      <c r="B407" s="550"/>
      <c r="C407" s="244" t="s">
        <v>865</v>
      </c>
      <c r="D407" s="244">
        <v>1</v>
      </c>
      <c r="E407" s="244" t="s">
        <v>722</v>
      </c>
      <c r="F407" s="245">
        <v>2</v>
      </c>
      <c r="G407" s="246">
        <v>-1.23</v>
      </c>
      <c r="H407" s="246" t="s">
        <v>1089</v>
      </c>
      <c r="I407" s="526" t="s">
        <v>86</v>
      </c>
      <c r="J407" s="558">
        <f>ROUND(1.189*G407*F407,3)</f>
        <v>-2.9249999999999998</v>
      </c>
    </row>
    <row r="408" spans="1:10">
      <c r="A408" s="550"/>
      <c r="B408" s="550"/>
      <c r="C408" s="244" t="s">
        <v>867</v>
      </c>
      <c r="D408" s="244">
        <v>1</v>
      </c>
      <c r="E408" s="244" t="s">
        <v>722</v>
      </c>
      <c r="F408" s="245">
        <v>1</v>
      </c>
      <c r="G408" s="246">
        <v>8</v>
      </c>
      <c r="H408" s="246">
        <v>3</v>
      </c>
      <c r="I408" s="246">
        <v>0.6</v>
      </c>
      <c r="J408" s="559">
        <f>I408*H408*G408</f>
        <v>14.399999999999999</v>
      </c>
    </row>
    <row r="409" spans="1:10">
      <c r="A409" s="550"/>
      <c r="B409" s="550"/>
      <c r="C409" s="244"/>
      <c r="D409" s="248"/>
      <c r="E409" s="248"/>
      <c r="F409" s="210"/>
      <c r="G409" s="564"/>
      <c r="H409" s="564"/>
      <c r="I409" s="564"/>
      <c r="J409" s="564"/>
    </row>
    <row r="410" spans="1:10">
      <c r="A410" s="550"/>
      <c r="B410" s="550"/>
      <c r="C410" s="244"/>
      <c r="D410" s="248"/>
      <c r="E410" s="248"/>
      <c r="F410" s="210"/>
      <c r="G410" s="564"/>
      <c r="H410" s="564"/>
      <c r="I410" s="564"/>
      <c r="J410" s="564"/>
    </row>
    <row r="411" spans="1:10">
      <c r="A411" s="550"/>
      <c r="B411" s="550"/>
      <c r="C411" s="244"/>
      <c r="D411" s="248"/>
      <c r="E411" s="248"/>
      <c r="F411" s="210"/>
      <c r="G411" s="564"/>
      <c r="H411" s="564"/>
      <c r="I411" s="564"/>
      <c r="J411" s="564"/>
    </row>
    <row r="412" spans="1:10">
      <c r="A412" s="550"/>
      <c r="B412" s="550"/>
      <c r="C412" s="248"/>
      <c r="D412" s="248"/>
      <c r="E412" s="248"/>
      <c r="F412" s="210"/>
      <c r="G412" s="565" t="s">
        <v>1094</v>
      </c>
      <c r="H412" s="564"/>
      <c r="I412" s="564"/>
      <c r="J412" s="564">
        <f>SUM(J382:J411)</f>
        <v>1332.8770000000002</v>
      </c>
    </row>
    <row r="413" spans="1:10">
      <c r="A413" s="550"/>
      <c r="B413" s="550"/>
      <c r="C413" s="249"/>
      <c r="D413" s="249"/>
      <c r="E413" s="249"/>
      <c r="F413" s="210"/>
      <c r="G413" s="564"/>
      <c r="H413" s="564"/>
      <c r="I413" s="564" t="s">
        <v>134</v>
      </c>
      <c r="J413" s="562">
        <f>ROUND(J412,0)</f>
        <v>1333</v>
      </c>
    </row>
    <row r="414" spans="1:10">
      <c r="A414" s="550"/>
      <c r="B414" s="550"/>
      <c r="C414" s="536"/>
      <c r="D414" s="536"/>
      <c r="E414" s="536"/>
      <c r="F414" s="536"/>
      <c r="G414" s="536"/>
      <c r="H414" s="536"/>
      <c r="I414" s="536"/>
      <c r="J414" s="551"/>
    </row>
    <row r="415" spans="1:10" ht="72">
      <c r="A415" s="550">
        <v>15</v>
      </c>
      <c r="B415" s="550"/>
      <c r="C415" s="222" t="s">
        <v>1136</v>
      </c>
    </row>
    <row r="416" spans="1:10">
      <c r="A416" s="550"/>
      <c r="B416" s="550"/>
      <c r="C416" s="222" t="s">
        <v>1063</v>
      </c>
      <c r="D416" s="442">
        <v>1</v>
      </c>
      <c r="E416" s="442" t="s">
        <v>722</v>
      </c>
      <c r="F416" s="251">
        <v>17</v>
      </c>
      <c r="G416" s="252">
        <v>10</v>
      </c>
      <c r="H416" s="536"/>
      <c r="I416" s="536"/>
      <c r="J416" s="551">
        <f>G416*F416*D416</f>
        <v>170</v>
      </c>
    </row>
    <row r="417" spans="1:10" ht="24">
      <c r="A417" s="550"/>
      <c r="B417" s="550"/>
      <c r="C417" s="222" t="s">
        <v>1083</v>
      </c>
      <c r="D417" s="442">
        <v>1</v>
      </c>
      <c r="E417" s="442" t="s">
        <v>722</v>
      </c>
      <c r="F417" s="251">
        <v>1</v>
      </c>
      <c r="G417" s="525">
        <v>5</v>
      </c>
      <c r="H417" s="536"/>
      <c r="I417" s="536"/>
      <c r="J417" s="551">
        <f>G417*F417*D417</f>
        <v>5</v>
      </c>
    </row>
    <row r="418" spans="1:10" ht="19.5" customHeight="1">
      <c r="A418" s="550"/>
      <c r="B418" s="550"/>
      <c r="C418" s="222"/>
      <c r="D418" s="222"/>
      <c r="E418" s="222"/>
      <c r="F418" s="536"/>
      <c r="G418" s="252"/>
      <c r="H418" s="253" t="s">
        <v>138</v>
      </c>
      <c r="I418" s="253"/>
      <c r="J418" s="551">
        <f>SUM(J416:J417)</f>
        <v>175</v>
      </c>
    </row>
    <row r="419" spans="1:10" ht="19.5" customHeight="1">
      <c r="A419" s="550"/>
      <c r="B419" s="550"/>
      <c r="C419" s="222"/>
      <c r="D419" s="222"/>
      <c r="E419" s="222"/>
      <c r="F419" s="536"/>
      <c r="G419" s="252"/>
      <c r="H419" s="253"/>
      <c r="I419" s="253"/>
      <c r="J419" s="551"/>
    </row>
    <row r="420" spans="1:10" ht="19.5" customHeight="1">
      <c r="A420" s="550"/>
      <c r="B420" s="550"/>
      <c r="C420" s="222"/>
      <c r="D420" s="222"/>
      <c r="E420" s="222"/>
      <c r="F420" s="536"/>
      <c r="G420" s="252"/>
      <c r="H420" s="253"/>
      <c r="I420" s="253"/>
      <c r="J420" s="551"/>
    </row>
    <row r="421" spans="1:10" ht="83.25" customHeight="1">
      <c r="A421" s="550">
        <v>16</v>
      </c>
      <c r="B421" s="550"/>
      <c r="C421" s="222" t="s">
        <v>1137</v>
      </c>
      <c r="D421" s="442"/>
      <c r="E421" s="442"/>
      <c r="F421" s="251"/>
      <c r="G421" s="252"/>
      <c r="H421" s="536"/>
      <c r="I421" s="536"/>
      <c r="J421" s="551"/>
    </row>
    <row r="422" spans="1:10" ht="24">
      <c r="A422" s="550"/>
      <c r="B422" s="550"/>
      <c r="C422" s="222" t="s">
        <v>1084</v>
      </c>
      <c r="D422" s="442">
        <v>1</v>
      </c>
      <c r="E422" s="442" t="s">
        <v>722</v>
      </c>
      <c r="F422" s="251">
        <v>1</v>
      </c>
      <c r="G422" s="252">
        <v>5</v>
      </c>
      <c r="H422" s="536"/>
      <c r="I422" s="536"/>
      <c r="J422" s="551">
        <f>G422*F422*D422</f>
        <v>5</v>
      </c>
    </row>
    <row r="423" spans="1:10">
      <c r="A423" s="550"/>
      <c r="B423" s="550"/>
      <c r="C423" s="222"/>
      <c r="D423" s="442"/>
      <c r="E423" s="442"/>
      <c r="F423" s="251"/>
      <c r="G423" s="252"/>
      <c r="H423" s="536"/>
      <c r="I423" s="536"/>
      <c r="J423" s="551"/>
    </row>
    <row r="424" spans="1:10">
      <c r="A424" s="550"/>
      <c r="B424" s="550"/>
      <c r="C424" s="222"/>
      <c r="D424" s="222"/>
      <c r="E424" s="222"/>
      <c r="F424" s="536"/>
      <c r="G424" s="252"/>
      <c r="H424" s="253" t="s">
        <v>138</v>
      </c>
      <c r="I424" s="253"/>
      <c r="J424" s="551">
        <f>SUM(J422:J423)</f>
        <v>5</v>
      </c>
    </row>
    <row r="425" spans="1:10" ht="143.25" hidden="1" customHeight="1">
      <c r="A425" s="550">
        <v>12</v>
      </c>
      <c r="B425" s="550" t="s">
        <v>112</v>
      </c>
      <c r="C425" s="594" t="s">
        <v>113</v>
      </c>
      <c r="D425" s="594"/>
      <c r="E425" s="594"/>
      <c r="F425" s="594"/>
      <c r="G425" s="594"/>
      <c r="H425" s="599" t="s">
        <v>139</v>
      </c>
      <c r="I425" s="599"/>
      <c r="J425" s="553" t="e">
        <f>#REF!</f>
        <v>#REF!</v>
      </c>
    </row>
    <row r="426" spans="1:10" ht="114" hidden="1" customHeight="1">
      <c r="A426" s="550">
        <v>13</v>
      </c>
      <c r="B426" s="550" t="s">
        <v>112</v>
      </c>
      <c r="C426" s="594" t="s">
        <v>115</v>
      </c>
      <c r="D426" s="594"/>
      <c r="E426" s="594"/>
      <c r="F426" s="594"/>
      <c r="G426" s="594"/>
      <c r="H426" s="599" t="s">
        <v>139</v>
      </c>
      <c r="I426" s="599"/>
      <c r="J426" s="553" t="e">
        <f>#REF!</f>
        <v>#REF!</v>
      </c>
    </row>
    <row r="427" spans="1:10" ht="123.95" hidden="1" customHeight="1">
      <c r="A427" s="550">
        <v>14</v>
      </c>
      <c r="B427" s="550" t="s">
        <v>112</v>
      </c>
      <c r="C427" s="594" t="s">
        <v>116</v>
      </c>
      <c r="D427" s="594"/>
      <c r="E427" s="594"/>
      <c r="F427" s="594"/>
      <c r="G427" s="594"/>
      <c r="H427" s="599" t="s">
        <v>139</v>
      </c>
      <c r="I427" s="599"/>
      <c r="J427" s="553" t="e">
        <f>#REF!</f>
        <v>#REF!</v>
      </c>
    </row>
    <row r="428" spans="1:10" ht="101.1" hidden="1" customHeight="1">
      <c r="A428" s="550">
        <v>15</v>
      </c>
      <c r="B428" s="550" t="s">
        <v>117</v>
      </c>
      <c r="C428" s="594" t="s">
        <v>118</v>
      </c>
      <c r="D428" s="594"/>
      <c r="E428" s="594"/>
      <c r="F428" s="594"/>
      <c r="G428" s="594"/>
      <c r="H428" s="599" t="s">
        <v>139</v>
      </c>
      <c r="I428" s="599"/>
      <c r="J428" s="551" t="e">
        <f>#REF!</f>
        <v>#REF!</v>
      </c>
    </row>
    <row r="429" spans="1:10">
      <c r="A429" s="550"/>
      <c r="B429" s="550"/>
      <c r="C429" s="222"/>
      <c r="D429" s="222"/>
      <c r="E429" s="222"/>
      <c r="F429" s="535"/>
      <c r="G429" s="535"/>
      <c r="H429" s="559"/>
      <c r="I429" s="559"/>
      <c r="J429" s="551"/>
    </row>
    <row r="430" spans="1:10" ht="24.95" customHeight="1">
      <c r="A430" s="550">
        <v>17</v>
      </c>
      <c r="B430" s="550" t="s">
        <v>121</v>
      </c>
      <c r="C430" s="595" t="s">
        <v>140</v>
      </c>
      <c r="D430" s="595"/>
      <c r="E430" s="595"/>
      <c r="F430" s="595"/>
      <c r="G430" s="595"/>
      <c r="H430" s="596" t="s">
        <v>121</v>
      </c>
      <c r="I430" s="596"/>
      <c r="J430" s="596"/>
    </row>
    <row r="431" spans="1:10" ht="24.95" customHeight="1">
      <c r="A431" s="550">
        <v>18</v>
      </c>
      <c r="B431" s="550" t="s">
        <v>121</v>
      </c>
      <c r="C431" s="595" t="s">
        <v>141</v>
      </c>
      <c r="D431" s="595"/>
      <c r="E431" s="595"/>
      <c r="F431" s="595"/>
      <c r="G431" s="595"/>
      <c r="H431" s="596" t="s">
        <v>121</v>
      </c>
      <c r="I431" s="596"/>
      <c r="J431" s="596"/>
    </row>
    <row r="432" spans="1:10" ht="24.95" customHeight="1">
      <c r="A432" s="582">
        <v>19</v>
      </c>
      <c r="B432" s="550" t="s">
        <v>121</v>
      </c>
      <c r="C432" s="595" t="s">
        <v>142</v>
      </c>
      <c r="D432" s="595"/>
      <c r="E432" s="595"/>
      <c r="F432" s="595"/>
      <c r="G432" s="595"/>
      <c r="H432" s="596" t="s">
        <v>121</v>
      </c>
      <c r="I432" s="596"/>
      <c r="J432" s="596"/>
    </row>
    <row r="433" spans="1:10" ht="24.95" customHeight="1">
      <c r="A433" s="582">
        <v>20</v>
      </c>
      <c r="B433" s="550" t="s">
        <v>121</v>
      </c>
      <c r="C433" s="595" t="s">
        <v>143</v>
      </c>
      <c r="D433" s="595"/>
      <c r="E433" s="595"/>
      <c r="F433" s="595"/>
      <c r="G433" s="595"/>
      <c r="H433" s="596" t="s">
        <v>121</v>
      </c>
      <c r="I433" s="596"/>
      <c r="J433" s="596"/>
    </row>
    <row r="434" spans="1:10" ht="24.95" customHeight="1">
      <c r="A434" s="582">
        <v>21</v>
      </c>
      <c r="B434" s="550" t="s">
        <v>121</v>
      </c>
      <c r="C434" s="595" t="s">
        <v>846</v>
      </c>
      <c r="D434" s="595"/>
      <c r="E434" s="595"/>
      <c r="F434" s="595"/>
      <c r="G434" s="595"/>
      <c r="H434" s="596" t="s">
        <v>121</v>
      </c>
      <c r="I434" s="596"/>
      <c r="J434" s="596"/>
    </row>
    <row r="435" spans="1:10" ht="30" customHeight="1">
      <c r="A435" s="582">
        <v>22</v>
      </c>
      <c r="B435" s="550" t="s">
        <v>121</v>
      </c>
      <c r="C435" s="595" t="s">
        <v>847</v>
      </c>
      <c r="D435" s="595"/>
      <c r="E435" s="595"/>
      <c r="F435" s="595"/>
      <c r="G435" s="595"/>
      <c r="H435" s="596" t="s">
        <v>121</v>
      </c>
      <c r="I435" s="596"/>
      <c r="J435" s="596"/>
    </row>
    <row r="436" spans="1:10" ht="30" customHeight="1">
      <c r="A436" s="582">
        <v>23</v>
      </c>
      <c r="B436" s="550" t="s">
        <v>121</v>
      </c>
      <c r="C436" s="595" t="s">
        <v>848</v>
      </c>
      <c r="D436" s="595"/>
      <c r="E436" s="595"/>
      <c r="F436" s="595"/>
      <c r="G436" s="595"/>
      <c r="H436" s="596" t="s">
        <v>121</v>
      </c>
      <c r="I436" s="596"/>
      <c r="J436" s="596"/>
    </row>
    <row r="437" spans="1:10">
      <c r="A437" s="550"/>
      <c r="B437" s="550"/>
      <c r="C437" s="576"/>
      <c r="D437" s="576"/>
      <c r="E437" s="576"/>
      <c r="F437" s="576"/>
      <c r="G437" s="550"/>
      <c r="H437" s="550"/>
      <c r="I437" s="550"/>
      <c r="J437" s="577"/>
    </row>
    <row r="438" spans="1:10">
      <c r="A438" s="550"/>
      <c r="B438" s="550"/>
      <c r="C438" s="576"/>
      <c r="D438" s="576"/>
      <c r="E438" s="576"/>
      <c r="F438" s="576"/>
      <c r="G438" s="550"/>
      <c r="H438" s="550"/>
      <c r="I438" s="550"/>
      <c r="J438" s="577"/>
    </row>
    <row r="439" spans="1:10">
      <c r="A439" s="550"/>
      <c r="B439" s="550"/>
      <c r="C439" s="576"/>
      <c r="D439" s="576"/>
      <c r="E439" s="576"/>
      <c r="F439" s="576"/>
      <c r="G439" s="550"/>
      <c r="H439" s="550"/>
      <c r="I439" s="550"/>
      <c r="J439" s="577"/>
    </row>
    <row r="440" spans="1:10">
      <c r="A440" s="550"/>
      <c r="B440" s="550"/>
      <c r="C440" s="576"/>
      <c r="D440" s="576"/>
      <c r="E440" s="576"/>
      <c r="F440" s="576"/>
      <c r="G440" s="550"/>
      <c r="H440" s="550"/>
      <c r="I440" s="550"/>
      <c r="J440" s="577"/>
    </row>
    <row r="441" spans="1:10">
      <c r="A441" s="550"/>
      <c r="B441" s="550"/>
      <c r="C441" s="576"/>
      <c r="D441" s="576"/>
      <c r="E441" s="576"/>
      <c r="F441" s="576"/>
      <c r="G441" s="550"/>
      <c r="H441" s="550"/>
      <c r="I441" s="550"/>
      <c r="J441" s="577"/>
    </row>
    <row r="442" spans="1:10">
      <c r="A442" s="550"/>
      <c r="B442" s="550"/>
      <c r="C442" s="576"/>
      <c r="D442" s="576"/>
      <c r="E442" s="576"/>
      <c r="F442" s="576"/>
      <c r="G442" s="550"/>
      <c r="H442" s="550"/>
      <c r="I442" s="550"/>
      <c r="J442" s="577"/>
    </row>
    <row r="443" spans="1:10">
      <c r="A443" s="550"/>
      <c r="B443" s="550"/>
      <c r="C443" s="576"/>
      <c r="D443" s="576"/>
      <c r="E443" s="576"/>
      <c r="F443" s="576"/>
      <c r="G443" s="550"/>
      <c r="H443" s="550"/>
      <c r="I443" s="550"/>
      <c r="J443" s="577"/>
    </row>
    <row r="444" spans="1:10">
      <c r="A444" s="550"/>
      <c r="B444" s="550"/>
      <c r="C444" s="576"/>
      <c r="D444" s="576"/>
      <c r="E444" s="576"/>
      <c r="F444" s="576"/>
      <c r="G444" s="550"/>
      <c r="H444" s="550"/>
      <c r="I444" s="550"/>
      <c r="J444" s="577"/>
    </row>
    <row r="445" spans="1:10">
      <c r="A445" s="550"/>
      <c r="B445" s="550"/>
      <c r="C445" s="550"/>
      <c r="D445" s="550"/>
      <c r="E445" s="550"/>
      <c r="F445" s="550"/>
      <c r="G445" s="550"/>
      <c r="H445" s="550"/>
      <c r="I445" s="550"/>
      <c r="J445" s="577"/>
    </row>
    <row r="446" spans="1:10">
      <c r="A446" s="550"/>
      <c r="B446" s="550"/>
      <c r="C446" s="550"/>
      <c r="D446" s="550"/>
      <c r="E446" s="550"/>
      <c r="F446" s="550"/>
      <c r="G446" s="550"/>
      <c r="H446" s="550"/>
      <c r="I446" s="550"/>
      <c r="J446" s="577"/>
    </row>
    <row r="447" spans="1:10">
      <c r="A447" s="550"/>
      <c r="B447" s="550"/>
      <c r="C447" s="550"/>
      <c r="D447" s="550"/>
      <c r="E447" s="550"/>
      <c r="F447" s="550"/>
      <c r="G447" s="550"/>
      <c r="H447" s="550"/>
      <c r="I447" s="550"/>
      <c r="J447" s="577"/>
    </row>
    <row r="448" spans="1:10">
      <c r="A448" s="550"/>
      <c r="B448" s="550"/>
      <c r="C448" s="550"/>
      <c r="D448" s="550"/>
      <c r="E448" s="550"/>
      <c r="F448" s="550"/>
      <c r="G448" s="550"/>
      <c r="H448" s="550"/>
      <c r="I448" s="550"/>
      <c r="J448" s="577"/>
    </row>
    <row r="449" spans="1:10">
      <c r="A449" s="550"/>
      <c r="B449" s="550"/>
      <c r="C449" s="550"/>
      <c r="D449" s="550"/>
      <c r="E449" s="550"/>
      <c r="F449" s="550"/>
      <c r="G449" s="577"/>
      <c r="H449" s="577"/>
      <c r="I449" s="577"/>
      <c r="J449" s="577"/>
    </row>
    <row r="450" spans="1:10">
      <c r="A450" s="577"/>
      <c r="B450" s="577"/>
      <c r="C450" s="577"/>
      <c r="D450" s="577"/>
      <c r="E450" s="577"/>
      <c r="F450" s="577"/>
      <c r="G450" s="577"/>
      <c r="H450" s="577"/>
      <c r="I450" s="577"/>
      <c r="J450" s="577"/>
    </row>
    <row r="451" spans="1:10">
      <c r="A451" s="577"/>
      <c r="B451" s="577"/>
      <c r="C451" s="577"/>
      <c r="D451" s="577"/>
      <c r="E451" s="577"/>
      <c r="F451" s="577"/>
      <c r="G451" s="577"/>
      <c r="H451" s="577"/>
      <c r="I451" s="577"/>
      <c r="J451" s="577"/>
    </row>
    <row r="452" spans="1:10">
      <c r="A452" s="577"/>
      <c r="B452" s="577"/>
      <c r="C452" s="577"/>
      <c r="D452" s="577"/>
      <c r="E452" s="577"/>
      <c r="F452" s="577"/>
      <c r="G452" s="577"/>
      <c r="H452" s="577"/>
      <c r="I452" s="577"/>
      <c r="J452" s="577"/>
    </row>
    <row r="453" spans="1:10">
      <c r="A453" s="577"/>
      <c r="B453" s="577"/>
      <c r="C453" s="577"/>
      <c r="D453" s="577"/>
      <c r="E453" s="577"/>
      <c r="F453" s="577"/>
      <c r="G453" s="577"/>
      <c r="H453" s="577"/>
      <c r="I453" s="577"/>
      <c r="J453" s="577"/>
    </row>
    <row r="454" spans="1:10">
      <c r="A454" s="577"/>
      <c r="B454" s="577"/>
      <c r="C454" s="577"/>
      <c r="D454" s="577"/>
      <c r="E454" s="577"/>
      <c r="F454" s="577"/>
      <c r="G454" s="577"/>
      <c r="H454" s="577"/>
      <c r="I454" s="577"/>
      <c r="J454" s="577"/>
    </row>
    <row r="455" spans="1:10">
      <c r="A455" s="577"/>
      <c r="B455" s="577"/>
      <c r="C455" s="577"/>
      <c r="D455" s="577"/>
      <c r="E455" s="577"/>
      <c r="F455" s="577"/>
      <c r="G455" s="577"/>
      <c r="H455" s="577"/>
      <c r="I455" s="577"/>
      <c r="J455" s="577"/>
    </row>
    <row r="456" spans="1:10">
      <c r="A456" s="577"/>
      <c r="B456" s="577"/>
      <c r="C456" s="577"/>
      <c r="D456" s="577"/>
      <c r="E456" s="577"/>
      <c r="F456" s="577"/>
      <c r="G456" s="577"/>
      <c r="H456" s="577"/>
      <c r="I456" s="577"/>
      <c r="J456" s="577"/>
    </row>
    <row r="457" spans="1:10">
      <c r="A457" s="577"/>
      <c r="B457" s="577"/>
      <c r="C457" s="577"/>
      <c r="D457" s="577"/>
      <c r="E457" s="577"/>
      <c r="F457" s="577"/>
      <c r="G457" s="577"/>
      <c r="H457" s="577"/>
      <c r="I457" s="577"/>
      <c r="J457" s="577"/>
    </row>
    <row r="458" spans="1:10">
      <c r="A458" s="577"/>
      <c r="B458" s="577"/>
      <c r="C458" s="577"/>
      <c r="D458" s="577"/>
      <c r="E458" s="577"/>
      <c r="F458" s="577"/>
      <c r="G458" s="577"/>
      <c r="H458" s="577"/>
      <c r="I458" s="577"/>
      <c r="J458" s="577"/>
    </row>
    <row r="459" spans="1:10">
      <c r="A459" s="577"/>
      <c r="B459" s="577"/>
      <c r="C459" s="577"/>
      <c r="D459" s="577"/>
      <c r="E459" s="577"/>
      <c r="F459" s="577"/>
      <c r="G459" s="577"/>
      <c r="H459" s="577"/>
      <c r="I459" s="577"/>
      <c r="J459" s="577"/>
    </row>
    <row r="460" spans="1:10">
      <c r="A460" s="577"/>
      <c r="B460" s="577"/>
      <c r="C460" s="577"/>
      <c r="D460" s="577"/>
      <c r="E460" s="577"/>
      <c r="F460" s="577"/>
      <c r="G460" s="577"/>
      <c r="H460" s="577"/>
      <c r="I460" s="577"/>
      <c r="J460" s="577"/>
    </row>
    <row r="461" spans="1:10">
      <c r="A461" s="577"/>
      <c r="B461" s="577"/>
      <c r="C461" s="577"/>
      <c r="D461" s="577"/>
      <c r="E461" s="577"/>
      <c r="F461" s="577"/>
      <c r="G461" s="577"/>
      <c r="H461" s="577"/>
      <c r="I461" s="577"/>
      <c r="J461" s="577"/>
    </row>
    <row r="462" spans="1:10">
      <c r="A462" s="577"/>
      <c r="B462" s="577"/>
      <c r="C462" s="577"/>
      <c r="D462" s="577"/>
      <c r="E462" s="577"/>
      <c r="F462" s="577"/>
      <c r="G462" s="577"/>
      <c r="H462" s="577"/>
      <c r="I462" s="577"/>
      <c r="J462" s="577"/>
    </row>
    <row r="463" spans="1:10">
      <c r="A463" s="577"/>
      <c r="B463" s="577"/>
      <c r="C463" s="577"/>
      <c r="D463" s="577"/>
      <c r="E463" s="577"/>
      <c r="F463" s="577"/>
      <c r="G463" s="577"/>
      <c r="H463" s="577"/>
      <c r="I463" s="577"/>
      <c r="J463" s="577"/>
    </row>
    <row r="464" spans="1:10">
      <c r="A464" s="577"/>
      <c r="B464" s="577"/>
      <c r="C464" s="577"/>
      <c r="D464" s="577"/>
      <c r="E464" s="577"/>
      <c r="F464" s="577"/>
      <c r="G464" s="577"/>
      <c r="H464" s="577"/>
      <c r="I464" s="577"/>
      <c r="J464" s="577"/>
    </row>
    <row r="465" spans="1:10">
      <c r="A465" s="577"/>
      <c r="B465" s="577"/>
      <c r="C465" s="577"/>
      <c r="D465" s="577"/>
      <c r="E465" s="577"/>
      <c r="F465" s="577"/>
      <c r="G465" s="577"/>
      <c r="H465" s="577"/>
      <c r="I465" s="577"/>
      <c r="J465" s="577"/>
    </row>
    <row r="466" spans="1:10">
      <c r="A466" s="577"/>
      <c r="B466" s="577"/>
      <c r="C466" s="577"/>
      <c r="D466" s="577"/>
      <c r="E466" s="577"/>
      <c r="F466" s="577"/>
      <c r="G466" s="577"/>
      <c r="H466" s="577"/>
      <c r="I466" s="577"/>
      <c r="J466" s="577"/>
    </row>
    <row r="467" spans="1:10">
      <c r="A467" s="577"/>
      <c r="B467" s="577"/>
      <c r="C467" s="577"/>
      <c r="D467" s="577"/>
      <c r="E467" s="577"/>
      <c r="F467" s="577"/>
      <c r="G467" s="577"/>
      <c r="H467" s="577"/>
      <c r="I467" s="577"/>
      <c r="J467" s="577"/>
    </row>
    <row r="468" spans="1:10">
      <c r="A468" s="577"/>
      <c r="B468" s="577"/>
      <c r="C468" s="577"/>
      <c r="D468" s="577"/>
      <c r="E468" s="577"/>
      <c r="F468" s="577"/>
      <c r="G468" s="577"/>
      <c r="H468" s="577"/>
      <c r="I468" s="577"/>
      <c r="J468" s="577"/>
    </row>
    <row r="469" spans="1:10">
      <c r="A469" s="577"/>
      <c r="B469" s="577"/>
      <c r="C469" s="577"/>
      <c r="D469" s="577"/>
      <c r="E469" s="577"/>
      <c r="F469" s="577"/>
      <c r="G469" s="577"/>
      <c r="H469" s="577"/>
      <c r="I469" s="577"/>
      <c r="J469" s="577"/>
    </row>
    <row r="470" spans="1:10">
      <c r="A470" s="577"/>
      <c r="B470" s="577"/>
      <c r="C470" s="577"/>
      <c r="D470" s="577"/>
      <c r="E470" s="577"/>
      <c r="F470" s="577"/>
      <c r="G470" s="577"/>
      <c r="H470" s="577"/>
      <c r="I470" s="577"/>
      <c r="J470" s="577"/>
    </row>
    <row r="471" spans="1:10">
      <c r="A471" s="577"/>
      <c r="B471" s="577"/>
      <c r="C471" s="577"/>
      <c r="D471" s="577"/>
      <c r="E471" s="577"/>
      <c r="F471" s="577"/>
      <c r="G471" s="577"/>
      <c r="H471" s="577"/>
      <c r="I471" s="577"/>
      <c r="J471" s="577"/>
    </row>
    <row r="472" spans="1:10">
      <c r="A472" s="577"/>
      <c r="B472" s="577"/>
      <c r="C472" s="577"/>
      <c r="D472" s="577"/>
      <c r="E472" s="577"/>
      <c r="F472" s="577"/>
      <c r="G472" s="577"/>
      <c r="H472" s="577"/>
      <c r="I472" s="577"/>
      <c r="J472" s="577"/>
    </row>
    <row r="473" spans="1:10">
      <c r="A473" s="577"/>
      <c r="B473" s="577"/>
      <c r="C473" s="577"/>
      <c r="D473" s="577"/>
      <c r="E473" s="577"/>
      <c r="F473" s="577"/>
      <c r="G473" s="577"/>
      <c r="H473" s="577"/>
      <c r="I473" s="577"/>
      <c r="J473" s="577"/>
    </row>
    <row r="474" spans="1:10">
      <c r="A474" s="577"/>
      <c r="B474" s="577"/>
      <c r="C474" s="577"/>
      <c r="D474" s="577"/>
      <c r="E474" s="577"/>
      <c r="F474" s="577"/>
      <c r="G474" s="577"/>
      <c r="H474" s="577"/>
      <c r="I474" s="577"/>
      <c r="J474" s="577"/>
    </row>
    <row r="475" spans="1:10">
      <c r="A475" s="577"/>
      <c r="B475" s="577"/>
      <c r="C475" s="577"/>
      <c r="D475" s="577"/>
      <c r="E475" s="577"/>
      <c r="F475" s="577"/>
      <c r="G475" s="577"/>
      <c r="H475" s="577"/>
      <c r="I475" s="577"/>
      <c r="J475" s="577"/>
    </row>
    <row r="476" spans="1:10">
      <c r="A476" s="577"/>
      <c r="B476" s="577"/>
      <c r="C476" s="577"/>
      <c r="D476" s="577"/>
      <c r="E476" s="577"/>
      <c r="F476" s="577"/>
      <c r="G476" s="577"/>
      <c r="H476" s="577"/>
      <c r="I476" s="577"/>
      <c r="J476" s="577"/>
    </row>
    <row r="477" spans="1:10">
      <c r="A477" s="577"/>
      <c r="B477" s="577"/>
      <c r="C477" s="577"/>
      <c r="D477" s="577"/>
      <c r="E477" s="577"/>
      <c r="F477" s="577"/>
      <c r="G477" s="577"/>
      <c r="H477" s="577"/>
      <c r="I477" s="577"/>
      <c r="J477" s="577"/>
    </row>
    <row r="478" spans="1:10">
      <c r="A478" s="577"/>
      <c r="B478" s="577"/>
      <c r="C478" s="577"/>
      <c r="D478" s="577"/>
      <c r="E478" s="577"/>
      <c r="F478" s="577"/>
      <c r="G478" s="577"/>
      <c r="H478" s="577"/>
      <c r="I478" s="577"/>
      <c r="J478" s="577"/>
    </row>
    <row r="479" spans="1:10">
      <c r="A479" s="577"/>
      <c r="B479" s="577"/>
      <c r="C479" s="577"/>
      <c r="D479" s="577"/>
      <c r="E479" s="577"/>
      <c r="F479" s="577"/>
      <c r="G479" s="577"/>
      <c r="H479" s="577"/>
      <c r="I479" s="577"/>
      <c r="J479" s="577"/>
    </row>
    <row r="480" spans="1:10">
      <c r="A480" s="577"/>
      <c r="B480" s="577"/>
      <c r="C480" s="577"/>
      <c r="D480" s="577"/>
      <c r="E480" s="577"/>
      <c r="F480" s="577"/>
      <c r="G480" s="577"/>
      <c r="H480" s="577"/>
      <c r="I480" s="577"/>
      <c r="J480" s="577"/>
    </row>
    <row r="481" spans="1:10">
      <c r="A481" s="577"/>
      <c r="B481" s="577"/>
      <c r="C481" s="577"/>
      <c r="D481" s="577"/>
      <c r="E481" s="577"/>
      <c r="F481" s="577"/>
      <c r="G481" s="577"/>
      <c r="H481" s="577"/>
      <c r="I481" s="577"/>
      <c r="J481" s="577"/>
    </row>
    <row r="482" spans="1:10">
      <c r="A482" s="577"/>
      <c r="B482" s="577"/>
      <c r="C482" s="577"/>
      <c r="D482" s="577"/>
      <c r="E482" s="577"/>
      <c r="F482" s="577"/>
      <c r="G482" s="577"/>
      <c r="H482" s="577"/>
      <c r="I482" s="577"/>
      <c r="J482" s="577"/>
    </row>
    <row r="483" spans="1:10">
      <c r="A483" s="577"/>
      <c r="B483" s="577"/>
      <c r="C483" s="577"/>
      <c r="D483" s="577"/>
      <c r="E483" s="577"/>
      <c r="F483" s="577"/>
      <c r="G483" s="577"/>
      <c r="H483" s="577"/>
      <c r="I483" s="577"/>
      <c r="J483" s="577"/>
    </row>
    <row r="484" spans="1:10">
      <c r="A484" s="577"/>
      <c r="B484" s="577"/>
      <c r="C484" s="577"/>
      <c r="D484" s="577"/>
      <c r="E484" s="577"/>
      <c r="F484" s="577"/>
      <c r="G484" s="577"/>
      <c r="H484" s="577"/>
      <c r="I484" s="577"/>
      <c r="J484" s="577"/>
    </row>
    <row r="485" spans="1:10">
      <c r="A485" s="577"/>
      <c r="B485" s="577"/>
      <c r="C485" s="577"/>
      <c r="D485" s="577"/>
      <c r="E485" s="577"/>
      <c r="F485" s="577"/>
      <c r="G485" s="577"/>
      <c r="H485" s="577"/>
      <c r="I485" s="577"/>
      <c r="J485" s="577"/>
    </row>
    <row r="486" spans="1:10">
      <c r="A486" s="577"/>
      <c r="B486" s="577"/>
      <c r="C486" s="577"/>
      <c r="D486" s="577"/>
      <c r="E486" s="577"/>
      <c r="F486" s="577"/>
      <c r="G486" s="577"/>
      <c r="H486" s="577"/>
      <c r="I486" s="577"/>
      <c r="J486" s="577"/>
    </row>
    <row r="487" spans="1:10">
      <c r="A487" s="577"/>
      <c r="B487" s="577"/>
      <c r="C487" s="577"/>
      <c r="D487" s="577"/>
      <c r="E487" s="577"/>
      <c r="F487" s="577"/>
      <c r="G487" s="577"/>
      <c r="H487" s="577"/>
      <c r="I487" s="577"/>
      <c r="J487" s="577"/>
    </row>
    <row r="488" spans="1:10">
      <c r="A488" s="577"/>
      <c r="B488" s="577"/>
      <c r="C488" s="577"/>
      <c r="D488" s="577"/>
      <c r="E488" s="577"/>
      <c r="F488" s="577"/>
      <c r="G488" s="577"/>
      <c r="H488" s="577"/>
      <c r="I488" s="577"/>
      <c r="J488" s="577"/>
    </row>
    <row r="489" spans="1:10">
      <c r="A489" s="577"/>
      <c r="B489" s="577"/>
      <c r="C489" s="577"/>
      <c r="D489" s="577"/>
      <c r="E489" s="577"/>
      <c r="F489" s="577"/>
      <c r="G489" s="577"/>
      <c r="H489" s="577"/>
      <c r="I489" s="577"/>
      <c r="J489" s="577"/>
    </row>
    <row r="490" spans="1:10">
      <c r="A490" s="577"/>
      <c r="B490" s="577"/>
      <c r="C490" s="577"/>
      <c r="D490" s="577"/>
      <c r="E490" s="577"/>
      <c r="F490" s="577"/>
      <c r="G490" s="577"/>
      <c r="H490" s="577"/>
      <c r="I490" s="577"/>
      <c r="J490" s="577"/>
    </row>
    <row r="491" spans="1:10">
      <c r="A491" s="577"/>
      <c r="B491" s="577"/>
      <c r="C491" s="577"/>
      <c r="D491" s="577"/>
      <c r="E491" s="577"/>
      <c r="F491" s="577"/>
      <c r="G491" s="577"/>
      <c r="H491" s="577"/>
      <c r="I491" s="577"/>
      <c r="J491" s="577"/>
    </row>
    <row r="492" spans="1:10">
      <c r="A492" s="577"/>
      <c r="B492" s="577"/>
      <c r="C492" s="577"/>
      <c r="D492" s="577"/>
      <c r="E492" s="577"/>
      <c r="F492" s="577"/>
      <c r="G492" s="577"/>
      <c r="H492" s="577"/>
      <c r="I492" s="577"/>
      <c r="J492" s="577"/>
    </row>
    <row r="493" spans="1:10">
      <c r="A493" s="577"/>
      <c r="B493" s="577"/>
      <c r="C493" s="577"/>
      <c r="D493" s="577"/>
      <c r="E493" s="577"/>
      <c r="F493" s="577"/>
      <c r="G493" s="577"/>
      <c r="H493" s="577"/>
      <c r="I493" s="577"/>
      <c r="J493" s="577"/>
    </row>
    <row r="494" spans="1:10">
      <c r="A494" s="577"/>
      <c r="B494" s="577"/>
      <c r="C494" s="577"/>
      <c r="D494" s="577"/>
      <c r="E494" s="577"/>
      <c r="F494" s="577"/>
      <c r="G494" s="577"/>
      <c r="H494" s="577"/>
      <c r="I494" s="577"/>
      <c r="J494" s="577"/>
    </row>
    <row r="495" spans="1:10">
      <c r="A495" s="577"/>
      <c r="B495" s="577"/>
      <c r="C495" s="577"/>
      <c r="D495" s="577"/>
      <c r="E495" s="577"/>
      <c r="F495" s="577"/>
      <c r="G495" s="577"/>
      <c r="H495" s="577"/>
      <c r="I495" s="577"/>
      <c r="J495" s="577"/>
    </row>
    <row r="496" spans="1:10">
      <c r="A496" s="577"/>
      <c r="B496" s="577"/>
      <c r="C496" s="577"/>
      <c r="D496" s="577"/>
      <c r="E496" s="577"/>
      <c r="F496" s="577"/>
      <c r="G496" s="577"/>
      <c r="H496" s="577"/>
      <c r="I496" s="577"/>
      <c r="J496" s="577"/>
    </row>
    <row r="497" spans="1:10">
      <c r="A497" s="577"/>
      <c r="B497" s="577"/>
      <c r="C497" s="577"/>
      <c r="D497" s="577"/>
      <c r="E497" s="577"/>
      <c r="F497" s="577"/>
      <c r="G497" s="577"/>
      <c r="H497" s="577"/>
      <c r="I497" s="577"/>
      <c r="J497" s="577"/>
    </row>
    <row r="498" spans="1:10">
      <c r="A498" s="577"/>
      <c r="B498" s="577"/>
      <c r="C498" s="577"/>
      <c r="D498" s="577"/>
      <c r="E498" s="577"/>
      <c r="F498" s="577"/>
      <c r="G498" s="577"/>
      <c r="H498" s="577"/>
      <c r="I498" s="577"/>
      <c r="J498" s="577"/>
    </row>
    <row r="499" spans="1:10">
      <c r="A499" s="577"/>
      <c r="B499" s="577"/>
      <c r="C499" s="577"/>
      <c r="D499" s="577"/>
      <c r="E499" s="577"/>
      <c r="F499" s="577"/>
      <c r="G499" s="577"/>
      <c r="H499" s="577"/>
      <c r="I499" s="577"/>
      <c r="J499" s="577"/>
    </row>
    <row r="500" spans="1:10">
      <c r="A500" s="577"/>
      <c r="B500" s="577"/>
      <c r="C500" s="577"/>
      <c r="D500" s="577"/>
      <c r="E500" s="577"/>
      <c r="F500" s="577"/>
      <c r="G500" s="577"/>
      <c r="H500" s="577"/>
      <c r="I500" s="577"/>
      <c r="J500" s="577"/>
    </row>
    <row r="501" spans="1:10">
      <c r="A501" s="577"/>
      <c r="B501" s="577"/>
      <c r="C501" s="577"/>
      <c r="D501" s="577"/>
      <c r="E501" s="577"/>
      <c r="F501" s="577"/>
      <c r="G501" s="577"/>
      <c r="H501" s="577"/>
      <c r="I501" s="577"/>
      <c r="J501" s="577"/>
    </row>
    <row r="502" spans="1:10">
      <c r="A502" s="577"/>
      <c r="B502" s="577"/>
      <c r="C502" s="577"/>
      <c r="D502" s="577"/>
      <c r="E502" s="577"/>
      <c r="F502" s="577"/>
      <c r="G502" s="577"/>
      <c r="H502" s="577"/>
      <c r="I502" s="577"/>
      <c r="J502" s="577"/>
    </row>
    <row r="503" spans="1:10">
      <c r="A503" s="577"/>
      <c r="B503" s="577"/>
      <c r="C503" s="577"/>
      <c r="D503" s="577"/>
      <c r="E503" s="577"/>
      <c r="F503" s="577"/>
      <c r="G503" s="577"/>
      <c r="H503" s="577"/>
      <c r="I503" s="577"/>
      <c r="J503" s="577"/>
    </row>
    <row r="504" spans="1:10">
      <c r="A504" s="577"/>
      <c r="B504" s="577"/>
      <c r="C504" s="577"/>
      <c r="D504" s="577"/>
      <c r="E504" s="577"/>
      <c r="F504" s="577"/>
      <c r="G504" s="577"/>
      <c r="H504" s="577"/>
      <c r="I504" s="577"/>
      <c r="J504" s="577"/>
    </row>
    <row r="505" spans="1:10">
      <c r="A505" s="577"/>
      <c r="B505" s="577"/>
      <c r="C505" s="577"/>
      <c r="D505" s="577"/>
      <c r="E505" s="577"/>
      <c r="F505" s="577"/>
      <c r="G505" s="577"/>
      <c r="H505" s="577"/>
      <c r="I505" s="577"/>
      <c r="J505" s="577"/>
    </row>
    <row r="506" spans="1:10">
      <c r="A506" s="577"/>
      <c r="B506" s="577"/>
      <c r="C506" s="577"/>
      <c r="D506" s="577"/>
      <c r="E506" s="577"/>
      <c r="F506" s="577"/>
      <c r="G506" s="577"/>
      <c r="H506" s="577"/>
      <c r="I506" s="577"/>
      <c r="J506" s="577"/>
    </row>
    <row r="507" spans="1:10">
      <c r="A507" s="577"/>
      <c r="B507" s="577"/>
      <c r="C507" s="577"/>
      <c r="D507" s="577"/>
      <c r="E507" s="577"/>
      <c r="F507" s="577"/>
      <c r="G507" s="577"/>
      <c r="H507" s="577"/>
      <c r="I507" s="577"/>
      <c r="J507" s="577"/>
    </row>
    <row r="508" spans="1:10">
      <c r="A508" s="577"/>
      <c r="B508" s="577"/>
      <c r="C508" s="577"/>
      <c r="D508" s="577"/>
      <c r="E508" s="577"/>
      <c r="F508" s="577"/>
      <c r="G508" s="577"/>
      <c r="H508" s="577"/>
      <c r="I508" s="577"/>
      <c r="J508" s="577"/>
    </row>
    <row r="509" spans="1:10">
      <c r="A509" s="577"/>
      <c r="B509" s="577"/>
      <c r="C509" s="577"/>
      <c r="D509" s="577"/>
      <c r="E509" s="577"/>
      <c r="F509" s="577"/>
      <c r="G509" s="577"/>
      <c r="H509" s="577"/>
      <c r="I509" s="577"/>
      <c r="J509" s="577"/>
    </row>
    <row r="510" spans="1:10">
      <c r="A510" s="577"/>
      <c r="B510" s="577"/>
      <c r="C510" s="577"/>
      <c r="D510" s="577"/>
      <c r="E510" s="577"/>
      <c r="F510" s="577"/>
      <c r="G510" s="577"/>
      <c r="H510" s="577"/>
      <c r="I510" s="577"/>
      <c r="J510" s="577"/>
    </row>
    <row r="511" spans="1:10">
      <c r="A511" s="577"/>
      <c r="B511" s="577"/>
      <c r="C511" s="577"/>
      <c r="D511" s="577"/>
      <c r="E511" s="577"/>
      <c r="F511" s="577"/>
      <c r="G511" s="577"/>
      <c r="H511" s="577"/>
      <c r="I511" s="577"/>
      <c r="J511" s="577"/>
    </row>
    <row r="512" spans="1:10">
      <c r="A512" s="577"/>
      <c r="B512" s="577"/>
      <c r="C512" s="577"/>
      <c r="D512" s="577"/>
      <c r="E512" s="577"/>
      <c r="F512" s="577"/>
      <c r="G512" s="577"/>
      <c r="H512" s="577"/>
      <c r="I512" s="577"/>
      <c r="J512" s="577"/>
    </row>
    <row r="513" spans="1:10">
      <c r="A513" s="577"/>
      <c r="B513" s="577"/>
      <c r="C513" s="577"/>
      <c r="D513" s="577"/>
      <c r="E513" s="577"/>
      <c r="F513" s="577"/>
      <c r="G513" s="577"/>
      <c r="H513" s="577"/>
      <c r="I513" s="577"/>
      <c r="J513" s="577"/>
    </row>
    <row r="514" spans="1:10">
      <c r="A514" s="577"/>
      <c r="B514" s="577"/>
      <c r="C514" s="577"/>
      <c r="D514" s="577"/>
      <c r="E514" s="577"/>
      <c r="F514" s="577"/>
      <c r="G514" s="577"/>
      <c r="H514" s="577"/>
      <c r="I514" s="577"/>
      <c r="J514" s="577"/>
    </row>
    <row r="515" spans="1:10">
      <c r="A515" s="577"/>
      <c r="B515" s="577"/>
      <c r="C515" s="577"/>
      <c r="D515" s="577"/>
      <c r="E515" s="577"/>
      <c r="F515" s="577"/>
      <c r="G515" s="577"/>
      <c r="H515" s="577"/>
      <c r="I515" s="577"/>
      <c r="J515" s="577"/>
    </row>
    <row r="516" spans="1:10">
      <c r="A516" s="577"/>
      <c r="B516" s="577"/>
      <c r="C516" s="577"/>
      <c r="D516" s="577"/>
      <c r="E516" s="577"/>
      <c r="F516" s="577"/>
      <c r="G516" s="577"/>
      <c r="H516" s="577"/>
      <c r="I516" s="577"/>
      <c r="J516" s="577"/>
    </row>
    <row r="517" spans="1:10">
      <c r="A517" s="577"/>
      <c r="B517" s="577"/>
      <c r="C517" s="577"/>
      <c r="D517" s="577"/>
      <c r="E517" s="577"/>
      <c r="F517" s="577"/>
      <c r="G517" s="577"/>
      <c r="H517" s="577"/>
      <c r="I517" s="577"/>
      <c r="J517" s="577"/>
    </row>
    <row r="518" spans="1:10">
      <c r="A518" s="577"/>
      <c r="B518" s="577"/>
      <c r="C518" s="577"/>
      <c r="D518" s="577"/>
      <c r="E518" s="577"/>
      <c r="F518" s="577"/>
      <c r="G518" s="577"/>
      <c r="H518" s="577"/>
      <c r="I518" s="577"/>
      <c r="J518" s="577"/>
    </row>
    <row r="519" spans="1:10">
      <c r="A519" s="577"/>
      <c r="B519" s="577"/>
      <c r="C519" s="577"/>
      <c r="D519" s="577"/>
      <c r="E519" s="577"/>
      <c r="F519" s="577"/>
      <c r="G519" s="577"/>
      <c r="H519" s="577"/>
      <c r="I519" s="577"/>
      <c r="J519" s="577"/>
    </row>
    <row r="520" spans="1:10">
      <c r="A520" s="577"/>
      <c r="B520" s="577"/>
      <c r="C520" s="577"/>
      <c r="D520" s="577"/>
      <c r="E520" s="577"/>
      <c r="F520" s="577"/>
      <c r="G520" s="577"/>
      <c r="H520" s="577"/>
      <c r="I520" s="577"/>
      <c r="J520" s="577"/>
    </row>
    <row r="521" spans="1:10">
      <c r="A521" s="577"/>
      <c r="B521" s="577"/>
      <c r="C521" s="577"/>
      <c r="D521" s="577"/>
      <c r="E521" s="577"/>
      <c r="F521" s="577"/>
      <c r="G521" s="577"/>
      <c r="H521" s="577"/>
      <c r="I521" s="577"/>
      <c r="J521" s="577"/>
    </row>
    <row r="522" spans="1:10">
      <c r="A522" s="577"/>
      <c r="B522" s="577"/>
      <c r="C522" s="577"/>
      <c r="D522" s="577"/>
      <c r="E522" s="577"/>
      <c r="F522" s="577"/>
      <c r="G522" s="577"/>
      <c r="H522" s="577"/>
      <c r="I522" s="577"/>
      <c r="J522" s="577"/>
    </row>
    <row r="523" spans="1:10">
      <c r="A523" s="577"/>
      <c r="B523" s="577"/>
      <c r="C523" s="577"/>
      <c r="D523" s="577"/>
      <c r="E523" s="577"/>
      <c r="F523" s="577"/>
      <c r="G523" s="577"/>
      <c r="H523" s="577"/>
      <c r="I523" s="577"/>
      <c r="J523" s="577"/>
    </row>
    <row r="524" spans="1:10">
      <c r="A524" s="577"/>
      <c r="B524" s="577"/>
      <c r="C524" s="577"/>
      <c r="D524" s="577"/>
      <c r="E524" s="577"/>
      <c r="F524" s="577"/>
      <c r="G524" s="577"/>
      <c r="H524" s="577"/>
      <c r="I524" s="577"/>
      <c r="J524" s="577"/>
    </row>
    <row r="525" spans="1:10">
      <c r="A525" s="577"/>
      <c r="B525" s="577"/>
      <c r="C525" s="577"/>
      <c r="D525" s="577"/>
      <c r="E525" s="577"/>
      <c r="F525" s="577"/>
      <c r="G525" s="577"/>
      <c r="H525" s="577"/>
      <c r="I525" s="577"/>
      <c r="J525" s="577"/>
    </row>
    <row r="526" spans="1:10">
      <c r="A526" s="577"/>
      <c r="B526" s="577"/>
      <c r="C526" s="577"/>
      <c r="D526" s="577"/>
      <c r="E526" s="577"/>
      <c r="F526" s="577"/>
      <c r="G526" s="577"/>
      <c r="H526" s="577"/>
      <c r="I526" s="577"/>
      <c r="J526" s="577"/>
    </row>
    <row r="527" spans="1:10">
      <c r="A527" s="577"/>
      <c r="B527" s="577"/>
      <c r="C527" s="577"/>
      <c r="D527" s="577"/>
      <c r="E527" s="577"/>
      <c r="F527" s="577"/>
      <c r="G527" s="577"/>
      <c r="H527" s="577"/>
      <c r="I527" s="577"/>
      <c r="J527" s="577"/>
    </row>
    <row r="528" spans="1:10">
      <c r="A528" s="577"/>
      <c r="B528" s="577"/>
      <c r="C528" s="577"/>
      <c r="D528" s="577"/>
      <c r="E528" s="577"/>
      <c r="F528" s="577"/>
      <c r="G528" s="577"/>
      <c r="H528" s="577"/>
      <c r="I528" s="577"/>
      <c r="J528" s="577"/>
    </row>
    <row r="529" spans="1:10">
      <c r="A529" s="577"/>
      <c r="B529" s="577"/>
      <c r="C529" s="577"/>
      <c r="D529" s="577"/>
      <c r="E529" s="577"/>
      <c r="F529" s="577"/>
      <c r="G529" s="577"/>
      <c r="H529" s="577"/>
      <c r="I529" s="577"/>
      <c r="J529" s="577"/>
    </row>
    <row r="530" spans="1:10">
      <c r="A530" s="577"/>
      <c r="B530" s="577"/>
      <c r="C530" s="577"/>
      <c r="D530" s="577"/>
      <c r="E530" s="577"/>
      <c r="F530" s="577"/>
      <c r="G530" s="577"/>
      <c r="H530" s="577"/>
      <c r="I530" s="577"/>
      <c r="J530" s="577"/>
    </row>
    <row r="531" spans="1:10">
      <c r="A531" s="577"/>
      <c r="B531" s="577"/>
      <c r="C531" s="577"/>
      <c r="D531" s="577"/>
      <c r="E531" s="577"/>
      <c r="F531" s="577"/>
      <c r="G531" s="577"/>
      <c r="H531" s="577"/>
      <c r="I531" s="577"/>
      <c r="J531" s="577"/>
    </row>
    <row r="532" spans="1:10">
      <c r="A532" s="577"/>
      <c r="B532" s="577"/>
      <c r="C532" s="577"/>
      <c r="D532" s="577"/>
      <c r="E532" s="577"/>
      <c r="F532" s="577"/>
      <c r="G532" s="577"/>
      <c r="H532" s="577"/>
      <c r="I532" s="577"/>
      <c r="J532" s="577"/>
    </row>
    <row r="533" spans="1:10">
      <c r="A533" s="577"/>
      <c r="B533" s="577"/>
      <c r="C533" s="577"/>
      <c r="D533" s="577"/>
      <c r="E533" s="577"/>
      <c r="F533" s="577"/>
      <c r="G533" s="577"/>
      <c r="H533" s="577"/>
      <c r="I533" s="577"/>
      <c r="J533" s="577"/>
    </row>
    <row r="534" spans="1:10">
      <c r="A534" s="577"/>
      <c r="B534" s="577"/>
      <c r="C534" s="577"/>
      <c r="D534" s="577"/>
      <c r="E534" s="577"/>
      <c r="F534" s="577"/>
      <c r="G534" s="577"/>
      <c r="H534" s="577"/>
      <c r="I534" s="577"/>
      <c r="J534" s="577"/>
    </row>
    <row r="535" spans="1:10">
      <c r="A535" s="577"/>
      <c r="B535" s="577"/>
      <c r="C535" s="577"/>
      <c r="D535" s="577"/>
      <c r="E535" s="577"/>
      <c r="F535" s="577"/>
      <c r="G535" s="577"/>
      <c r="H535" s="577"/>
      <c r="I535" s="577"/>
      <c r="J535" s="577"/>
    </row>
    <row r="536" spans="1:10">
      <c r="A536" s="577"/>
      <c r="B536" s="577"/>
      <c r="C536" s="577"/>
      <c r="D536" s="577"/>
      <c r="E536" s="577"/>
      <c r="F536" s="577"/>
      <c r="G536" s="577"/>
      <c r="H536" s="577"/>
      <c r="I536" s="577"/>
      <c r="J536" s="577"/>
    </row>
    <row r="537" spans="1:10">
      <c r="A537" s="577"/>
      <c r="B537" s="577"/>
      <c r="C537" s="577"/>
      <c r="D537" s="577"/>
      <c r="E537" s="577"/>
      <c r="F537" s="577"/>
      <c r="G537" s="577"/>
      <c r="H537" s="577"/>
      <c r="I537" s="577"/>
      <c r="J537" s="577"/>
    </row>
    <row r="538" spans="1:10">
      <c r="A538" s="577"/>
      <c r="B538" s="577"/>
      <c r="C538" s="577"/>
      <c r="D538" s="577"/>
      <c r="E538" s="577"/>
      <c r="F538" s="577"/>
      <c r="G538" s="577"/>
      <c r="H538" s="577"/>
      <c r="I538" s="577"/>
      <c r="J538" s="577"/>
    </row>
    <row r="539" spans="1:10">
      <c r="A539" s="577"/>
      <c r="B539" s="577"/>
      <c r="C539" s="577"/>
      <c r="D539" s="577"/>
      <c r="E539" s="577"/>
      <c r="F539" s="577"/>
      <c r="G539" s="577"/>
      <c r="H539" s="577"/>
      <c r="I539" s="577"/>
      <c r="J539" s="577"/>
    </row>
    <row r="540" spans="1:10">
      <c r="A540" s="577"/>
      <c r="B540" s="577"/>
      <c r="C540" s="577"/>
      <c r="D540" s="577"/>
      <c r="E540" s="577"/>
      <c r="F540" s="577"/>
      <c r="G540" s="577"/>
      <c r="H540" s="577"/>
      <c r="I540" s="577"/>
      <c r="J540" s="577"/>
    </row>
    <row r="541" spans="1:10">
      <c r="A541" s="577"/>
      <c r="B541" s="577"/>
      <c r="C541" s="577"/>
      <c r="D541" s="577"/>
      <c r="E541" s="577"/>
      <c r="F541" s="577"/>
      <c r="G541" s="577"/>
      <c r="H541" s="577"/>
      <c r="I541" s="577"/>
      <c r="J541" s="577"/>
    </row>
    <row r="542" spans="1:10">
      <c r="A542" s="577"/>
      <c r="B542" s="577"/>
      <c r="C542" s="577"/>
      <c r="D542" s="577"/>
      <c r="E542" s="577"/>
      <c r="F542" s="577"/>
      <c r="G542" s="577"/>
      <c r="H542" s="577"/>
      <c r="I542" s="577"/>
      <c r="J542" s="577"/>
    </row>
    <row r="543" spans="1:10">
      <c r="A543" s="577"/>
      <c r="B543" s="577"/>
      <c r="C543" s="577"/>
      <c r="D543" s="577"/>
      <c r="E543" s="577"/>
      <c r="F543" s="577"/>
      <c r="G543" s="577"/>
      <c r="H543" s="577"/>
      <c r="I543" s="577"/>
      <c r="J543" s="577"/>
    </row>
    <row r="544" spans="1:10">
      <c r="A544" s="577"/>
      <c r="B544" s="577"/>
      <c r="C544" s="577"/>
      <c r="D544" s="577"/>
      <c r="E544" s="577"/>
      <c r="F544" s="577"/>
      <c r="G544" s="577"/>
      <c r="H544" s="577"/>
      <c r="I544" s="577"/>
      <c r="J544" s="577"/>
    </row>
    <row r="545" spans="1:10">
      <c r="A545" s="577"/>
      <c r="B545" s="577"/>
      <c r="C545" s="577"/>
      <c r="D545" s="577"/>
      <c r="E545" s="577"/>
      <c r="F545" s="577"/>
      <c r="G545" s="577"/>
      <c r="H545" s="577"/>
      <c r="I545" s="577"/>
      <c r="J545" s="577"/>
    </row>
    <row r="546" spans="1:10">
      <c r="A546" s="577"/>
      <c r="B546" s="577"/>
      <c r="C546" s="577"/>
      <c r="D546" s="577"/>
      <c r="E546" s="577"/>
      <c r="F546" s="577"/>
      <c r="G546" s="577"/>
      <c r="H546" s="577"/>
      <c r="I546" s="577"/>
      <c r="J546" s="577"/>
    </row>
    <row r="547" spans="1:10">
      <c r="A547" s="577"/>
      <c r="B547" s="577"/>
      <c r="C547" s="577"/>
      <c r="D547" s="577"/>
      <c r="E547" s="577"/>
      <c r="F547" s="577"/>
      <c r="G547" s="577"/>
      <c r="H547" s="577"/>
      <c r="I547" s="577"/>
      <c r="J547" s="577"/>
    </row>
    <row r="548" spans="1:10">
      <c r="A548" s="577"/>
      <c r="B548" s="577"/>
      <c r="C548" s="577"/>
      <c r="D548" s="577"/>
      <c r="E548" s="577"/>
      <c r="F548" s="577"/>
      <c r="G548" s="577"/>
      <c r="H548" s="577"/>
      <c r="I548" s="577"/>
      <c r="J548" s="577"/>
    </row>
    <row r="549" spans="1:10">
      <c r="A549" s="577"/>
      <c r="B549" s="577"/>
      <c r="C549" s="577"/>
      <c r="D549" s="577"/>
      <c r="E549" s="577"/>
      <c r="F549" s="577"/>
      <c r="G549" s="577"/>
      <c r="H549" s="577"/>
      <c r="I549" s="577"/>
      <c r="J549" s="577"/>
    </row>
    <row r="550" spans="1:10">
      <c r="A550" s="577"/>
      <c r="B550" s="577"/>
      <c r="C550" s="577"/>
      <c r="D550" s="577"/>
      <c r="E550" s="577"/>
      <c r="F550" s="577"/>
      <c r="G550" s="577"/>
      <c r="H550" s="577"/>
      <c r="I550" s="577"/>
      <c r="J550" s="577"/>
    </row>
    <row r="551" spans="1:10">
      <c r="A551" s="577"/>
      <c r="B551" s="577"/>
      <c r="C551" s="577"/>
      <c r="D551" s="577"/>
      <c r="E551" s="577"/>
      <c r="F551" s="577"/>
      <c r="G551" s="577"/>
      <c r="H551" s="577"/>
      <c r="I551" s="577"/>
      <c r="J551" s="577"/>
    </row>
    <row r="552" spans="1:10">
      <c r="A552" s="577"/>
      <c r="B552" s="577"/>
      <c r="C552" s="577"/>
      <c r="D552" s="577"/>
      <c r="E552" s="577"/>
      <c r="F552" s="577"/>
      <c r="G552" s="577"/>
      <c r="H552" s="577"/>
      <c r="I552" s="577"/>
      <c r="J552" s="577"/>
    </row>
    <row r="553" spans="1:10">
      <c r="A553" s="577"/>
      <c r="B553" s="577"/>
      <c r="C553" s="577"/>
      <c r="D553" s="577"/>
      <c r="E553" s="577"/>
      <c r="F553" s="577"/>
      <c r="G553" s="577"/>
      <c r="H553" s="577"/>
      <c r="I553" s="577"/>
      <c r="J553" s="577"/>
    </row>
    <row r="554" spans="1:10">
      <c r="A554" s="577"/>
      <c r="B554" s="577"/>
      <c r="C554" s="577"/>
      <c r="D554" s="577"/>
      <c r="E554" s="577"/>
      <c r="F554" s="577"/>
      <c r="G554" s="577"/>
      <c r="H554" s="577"/>
      <c r="I554" s="577"/>
      <c r="J554" s="577"/>
    </row>
    <row r="555" spans="1:10">
      <c r="A555" s="577"/>
      <c r="B555" s="577"/>
      <c r="C555" s="577"/>
      <c r="D555" s="577"/>
      <c r="E555" s="577"/>
      <c r="F555" s="577"/>
      <c r="G555" s="577"/>
      <c r="H555" s="577"/>
      <c r="I555" s="577"/>
      <c r="J555" s="577"/>
    </row>
    <row r="556" spans="1:10">
      <c r="A556" s="577"/>
      <c r="B556" s="577"/>
      <c r="C556" s="577"/>
      <c r="D556" s="577"/>
      <c r="E556" s="577"/>
      <c r="F556" s="577"/>
      <c r="G556" s="577"/>
      <c r="H556" s="577"/>
      <c r="I556" s="577"/>
      <c r="J556" s="577"/>
    </row>
    <row r="557" spans="1:10">
      <c r="A557" s="577"/>
      <c r="B557" s="577"/>
      <c r="C557" s="577"/>
      <c r="D557" s="577"/>
      <c r="E557" s="577"/>
      <c r="F557" s="577"/>
      <c r="G557" s="577"/>
      <c r="H557" s="577"/>
      <c r="I557" s="577"/>
      <c r="J557" s="577"/>
    </row>
    <row r="558" spans="1:10">
      <c r="A558" s="577"/>
      <c r="B558" s="577"/>
      <c r="C558" s="577"/>
      <c r="D558" s="577"/>
      <c r="E558" s="577"/>
      <c r="F558" s="577"/>
      <c r="G558" s="577"/>
      <c r="H558" s="577"/>
      <c r="I558" s="577"/>
      <c r="J558" s="577"/>
    </row>
    <row r="559" spans="1:10">
      <c r="A559" s="577"/>
      <c r="B559" s="577"/>
      <c r="C559" s="577"/>
      <c r="D559" s="577"/>
      <c r="E559" s="577"/>
      <c r="F559" s="577"/>
      <c r="G559" s="577"/>
      <c r="H559" s="577"/>
      <c r="I559" s="577"/>
      <c r="J559" s="577"/>
    </row>
    <row r="560" spans="1:10">
      <c r="A560" s="577"/>
      <c r="B560" s="577"/>
      <c r="C560" s="577"/>
      <c r="D560" s="577"/>
      <c r="E560" s="577"/>
      <c r="F560" s="577"/>
      <c r="G560" s="577"/>
      <c r="H560" s="577"/>
      <c r="I560" s="577"/>
      <c r="J560" s="577"/>
    </row>
    <row r="561" spans="1:10">
      <c r="A561" s="577"/>
      <c r="B561" s="577"/>
      <c r="C561" s="577"/>
      <c r="D561" s="577"/>
      <c r="E561" s="577"/>
      <c r="F561" s="577"/>
      <c r="G561" s="577"/>
      <c r="H561" s="577"/>
      <c r="I561" s="577"/>
      <c r="J561" s="577"/>
    </row>
    <row r="562" spans="1:10">
      <c r="A562" s="577"/>
      <c r="B562" s="577"/>
      <c r="C562" s="577"/>
      <c r="D562" s="577"/>
      <c r="E562" s="577"/>
      <c r="F562" s="577"/>
      <c r="G562" s="577"/>
      <c r="H562" s="577"/>
      <c r="I562" s="577"/>
      <c r="J562" s="577"/>
    </row>
    <row r="563" spans="1:10">
      <c r="A563" s="577"/>
      <c r="B563" s="577"/>
      <c r="C563" s="577"/>
      <c r="D563" s="577"/>
      <c r="E563" s="577"/>
      <c r="F563" s="577"/>
      <c r="G563" s="577"/>
      <c r="H563" s="577"/>
      <c r="I563" s="577"/>
      <c r="J563" s="577"/>
    </row>
    <row r="564" spans="1:10">
      <c r="A564" s="577"/>
      <c r="B564" s="577"/>
      <c r="C564" s="577"/>
      <c r="D564" s="577"/>
      <c r="E564" s="577"/>
      <c r="F564" s="577"/>
      <c r="G564" s="577"/>
      <c r="H564" s="577"/>
      <c r="I564" s="577"/>
      <c r="J564" s="577"/>
    </row>
    <row r="565" spans="1:10">
      <c r="A565" s="577"/>
      <c r="B565" s="577"/>
      <c r="C565" s="577"/>
      <c r="D565" s="577"/>
      <c r="E565" s="577"/>
      <c r="F565" s="577"/>
      <c r="G565" s="577"/>
      <c r="H565" s="577"/>
      <c r="I565" s="577"/>
      <c r="J565" s="577"/>
    </row>
    <row r="566" spans="1:10">
      <c r="A566" s="577"/>
      <c r="B566" s="577"/>
      <c r="C566" s="577"/>
      <c r="D566" s="577"/>
      <c r="E566" s="577"/>
      <c r="F566" s="577"/>
      <c r="G566" s="577"/>
      <c r="H566" s="577"/>
      <c r="I566" s="577"/>
      <c r="J566" s="577"/>
    </row>
    <row r="567" spans="1:10">
      <c r="A567" s="577"/>
      <c r="B567" s="577"/>
      <c r="C567" s="577"/>
      <c r="D567" s="577"/>
      <c r="E567" s="577"/>
      <c r="F567" s="577"/>
      <c r="G567" s="577"/>
      <c r="H567" s="577"/>
      <c r="I567" s="577"/>
      <c r="J567" s="577"/>
    </row>
    <row r="568" spans="1:10">
      <c r="A568" s="577"/>
      <c r="B568" s="577"/>
      <c r="C568" s="577"/>
      <c r="D568" s="577"/>
      <c r="E568" s="577"/>
      <c r="F568" s="577"/>
      <c r="G568" s="577"/>
      <c r="H568" s="577"/>
      <c r="I568" s="577"/>
      <c r="J568" s="577"/>
    </row>
    <row r="569" spans="1:10">
      <c r="A569" s="577"/>
      <c r="B569" s="577"/>
      <c r="C569" s="577"/>
      <c r="D569" s="577"/>
      <c r="E569" s="577"/>
      <c r="F569" s="577"/>
      <c r="G569" s="577"/>
      <c r="H569" s="577"/>
      <c r="I569" s="577"/>
      <c r="J569" s="577"/>
    </row>
    <row r="570" spans="1:10">
      <c r="A570" s="577"/>
      <c r="B570" s="577"/>
      <c r="C570" s="577"/>
      <c r="D570" s="577"/>
      <c r="E570" s="577"/>
      <c r="F570" s="577"/>
      <c r="G570" s="577"/>
      <c r="H570" s="577"/>
      <c r="I570" s="577"/>
      <c r="J570" s="577"/>
    </row>
    <row r="571" spans="1:10">
      <c r="A571" s="577"/>
      <c r="B571" s="577"/>
      <c r="C571" s="577"/>
      <c r="D571" s="577"/>
      <c r="E571" s="577"/>
      <c r="F571" s="577"/>
      <c r="G571" s="577"/>
      <c r="H571" s="577"/>
      <c r="I571" s="577"/>
      <c r="J571" s="577"/>
    </row>
    <row r="572" spans="1:10">
      <c r="A572" s="577"/>
      <c r="B572" s="577"/>
      <c r="C572" s="577"/>
      <c r="D572" s="577"/>
      <c r="E572" s="577"/>
      <c r="F572" s="577"/>
      <c r="G572" s="577"/>
      <c r="H572" s="577"/>
      <c r="I572" s="577"/>
      <c r="J572" s="577"/>
    </row>
    <row r="573" spans="1:10">
      <c r="A573" s="577"/>
      <c r="B573" s="577"/>
      <c r="C573" s="577"/>
      <c r="D573" s="577"/>
      <c r="E573" s="577"/>
      <c r="F573" s="577"/>
      <c r="G573" s="577"/>
      <c r="H573" s="577"/>
      <c r="I573" s="577"/>
      <c r="J573" s="577"/>
    </row>
    <row r="574" spans="1:10">
      <c r="A574" s="577"/>
      <c r="B574" s="577"/>
      <c r="C574" s="577"/>
      <c r="D574" s="577"/>
      <c r="E574" s="577"/>
      <c r="F574" s="577"/>
      <c r="G574" s="577"/>
      <c r="H574" s="577"/>
      <c r="I574" s="577"/>
      <c r="J574" s="577"/>
    </row>
    <row r="575" spans="1:10">
      <c r="A575" s="577"/>
      <c r="B575" s="577"/>
      <c r="C575" s="577"/>
      <c r="D575" s="577"/>
      <c r="E575" s="577"/>
      <c r="F575" s="577"/>
      <c r="G575" s="577"/>
      <c r="H575" s="577"/>
      <c r="I575" s="577"/>
      <c r="J575" s="577"/>
    </row>
    <row r="576" spans="1:10">
      <c r="A576" s="577"/>
      <c r="B576" s="577"/>
      <c r="C576" s="577"/>
      <c r="D576" s="577"/>
      <c r="E576" s="577"/>
      <c r="F576" s="577"/>
      <c r="G576" s="577"/>
      <c r="H576" s="577"/>
      <c r="I576" s="577"/>
      <c r="J576" s="577"/>
    </row>
    <row r="577" spans="1:10">
      <c r="A577" s="577"/>
      <c r="B577" s="577"/>
      <c r="C577" s="577"/>
      <c r="D577" s="577"/>
      <c r="E577" s="577"/>
      <c r="F577" s="577"/>
      <c r="G577" s="577"/>
      <c r="H577" s="577"/>
      <c r="I577" s="577"/>
      <c r="J577" s="577"/>
    </row>
    <row r="578" spans="1:10">
      <c r="A578" s="577"/>
      <c r="B578" s="577"/>
      <c r="C578" s="577"/>
      <c r="D578" s="577"/>
      <c r="E578" s="577"/>
      <c r="F578" s="577"/>
      <c r="G578" s="577"/>
      <c r="H578" s="577"/>
      <c r="I578" s="577"/>
      <c r="J578" s="577"/>
    </row>
    <row r="579" spans="1:10">
      <c r="A579" s="577"/>
      <c r="B579" s="577"/>
      <c r="C579" s="577"/>
      <c r="D579" s="577"/>
      <c r="E579" s="577"/>
      <c r="F579" s="577"/>
      <c r="G579" s="577"/>
      <c r="H579" s="577"/>
      <c r="I579" s="577"/>
      <c r="J579" s="577"/>
    </row>
    <row r="580" spans="1:10">
      <c r="A580" s="577"/>
      <c r="B580" s="577"/>
      <c r="C580" s="577"/>
      <c r="D580" s="577"/>
      <c r="E580" s="577"/>
      <c r="F580" s="577"/>
      <c r="G580" s="577"/>
      <c r="H580" s="577"/>
      <c r="I580" s="577"/>
      <c r="J580" s="577"/>
    </row>
    <row r="581" spans="1:10">
      <c r="A581" s="577"/>
      <c r="B581" s="577"/>
      <c r="C581" s="577"/>
      <c r="D581" s="577"/>
      <c r="E581" s="577"/>
      <c r="F581" s="577"/>
      <c r="G581" s="577"/>
      <c r="H581" s="577"/>
      <c r="I581" s="577"/>
      <c r="J581" s="577"/>
    </row>
    <row r="582" spans="1:10">
      <c r="A582" s="577"/>
      <c r="B582" s="577"/>
      <c r="C582" s="577"/>
      <c r="D582" s="577"/>
      <c r="E582" s="577"/>
      <c r="F582" s="577"/>
      <c r="G582" s="577"/>
      <c r="H582" s="577"/>
      <c r="I582" s="577"/>
      <c r="J582" s="577"/>
    </row>
    <row r="583" spans="1:10">
      <c r="A583" s="577"/>
      <c r="B583" s="577"/>
      <c r="C583" s="577"/>
      <c r="D583" s="577"/>
      <c r="E583" s="577"/>
      <c r="F583" s="577"/>
      <c r="G583" s="577"/>
      <c r="H583" s="577"/>
      <c r="I583" s="577"/>
      <c r="J583" s="577"/>
    </row>
    <row r="584" spans="1:10">
      <c r="A584" s="577"/>
      <c r="B584" s="577"/>
      <c r="C584" s="577"/>
      <c r="D584" s="577"/>
      <c r="E584" s="577"/>
      <c r="F584" s="577"/>
      <c r="G584" s="577"/>
      <c r="H584" s="577"/>
      <c r="I584" s="577"/>
      <c r="J584" s="577"/>
    </row>
    <row r="585" spans="1:10">
      <c r="A585" s="577"/>
      <c r="B585" s="577"/>
      <c r="C585" s="577"/>
      <c r="D585" s="577"/>
      <c r="E585" s="577"/>
      <c r="F585" s="577"/>
      <c r="G585" s="577"/>
      <c r="H585" s="577"/>
      <c r="I585" s="577"/>
      <c r="J585" s="577"/>
    </row>
    <row r="586" spans="1:10">
      <c r="A586" s="577"/>
      <c r="B586" s="577"/>
      <c r="C586" s="577"/>
      <c r="D586" s="577"/>
      <c r="E586" s="577"/>
      <c r="F586" s="577"/>
      <c r="G586" s="577"/>
      <c r="H586" s="577"/>
      <c r="I586" s="577"/>
      <c r="J586" s="577"/>
    </row>
    <row r="587" spans="1:10">
      <c r="A587" s="577"/>
      <c r="B587" s="577"/>
      <c r="C587" s="577"/>
      <c r="D587" s="577"/>
      <c r="E587" s="577"/>
      <c r="F587" s="577"/>
      <c r="G587" s="577"/>
      <c r="H587" s="577"/>
      <c r="I587" s="577"/>
      <c r="J587" s="577"/>
    </row>
    <row r="588" spans="1:10">
      <c r="A588" s="577"/>
      <c r="B588" s="577"/>
      <c r="C588" s="577"/>
      <c r="D588" s="577"/>
      <c r="E588" s="577"/>
      <c r="F588" s="577"/>
      <c r="G588" s="577"/>
      <c r="H588" s="577"/>
      <c r="I588" s="577"/>
      <c r="J588" s="577"/>
    </row>
    <row r="589" spans="1:10">
      <c r="A589" s="577"/>
      <c r="B589" s="577"/>
      <c r="C589" s="577"/>
      <c r="D589" s="577"/>
      <c r="E589" s="577"/>
      <c r="F589" s="577"/>
      <c r="G589" s="577"/>
      <c r="H589" s="577"/>
      <c r="I589" s="577"/>
      <c r="J589" s="577"/>
    </row>
    <row r="590" spans="1:10">
      <c r="A590" s="577"/>
      <c r="B590" s="577"/>
      <c r="C590" s="577"/>
      <c r="D590" s="577"/>
      <c r="E590" s="577"/>
      <c r="F590" s="577"/>
      <c r="G590" s="577"/>
      <c r="H590" s="577"/>
      <c r="I590" s="577"/>
      <c r="J590" s="577"/>
    </row>
    <row r="591" spans="1:10">
      <c r="A591" s="577"/>
      <c r="B591" s="577"/>
      <c r="C591" s="577"/>
      <c r="D591" s="577"/>
      <c r="E591" s="577"/>
      <c r="F591" s="577"/>
      <c r="G591" s="577"/>
      <c r="H591" s="577"/>
      <c r="I591" s="577"/>
      <c r="J591" s="577"/>
    </row>
    <row r="592" spans="1:10">
      <c r="A592" s="577"/>
      <c r="B592" s="577"/>
      <c r="C592" s="577"/>
      <c r="D592" s="577"/>
      <c r="E592" s="577"/>
      <c r="F592" s="577"/>
      <c r="G592" s="577"/>
      <c r="H592" s="577"/>
      <c r="I592" s="577"/>
      <c r="J592" s="577"/>
    </row>
    <row r="593" spans="1:10">
      <c r="A593" s="577"/>
      <c r="B593" s="577"/>
      <c r="C593" s="577"/>
      <c r="D593" s="577"/>
      <c r="E593" s="577"/>
      <c r="F593" s="577"/>
      <c r="G593" s="577"/>
      <c r="H593" s="577"/>
      <c r="I593" s="577"/>
      <c r="J593" s="577"/>
    </row>
    <row r="594" spans="1:10">
      <c r="A594" s="577"/>
      <c r="B594" s="577"/>
      <c r="C594" s="577"/>
      <c r="D594" s="577"/>
      <c r="E594" s="577"/>
      <c r="F594" s="577"/>
      <c r="G594" s="577"/>
      <c r="H594" s="577"/>
      <c r="I594" s="577"/>
      <c r="J594" s="577"/>
    </row>
    <row r="595" spans="1:10">
      <c r="A595" s="577"/>
      <c r="B595" s="577"/>
      <c r="C595" s="577"/>
      <c r="D595" s="577"/>
      <c r="E595" s="577"/>
      <c r="F595" s="577"/>
      <c r="G595" s="577"/>
      <c r="H595" s="577"/>
      <c r="I595" s="577"/>
      <c r="J595" s="577"/>
    </row>
    <row r="596" spans="1:10">
      <c r="A596" s="577"/>
      <c r="B596" s="577"/>
      <c r="C596" s="577"/>
      <c r="D596" s="577"/>
      <c r="E596" s="577"/>
      <c r="F596" s="577"/>
      <c r="G596" s="577"/>
      <c r="H596" s="577"/>
      <c r="I596" s="577"/>
      <c r="J596" s="577"/>
    </row>
    <row r="597" spans="1:10">
      <c r="A597" s="577"/>
      <c r="B597" s="577"/>
      <c r="C597" s="577"/>
      <c r="D597" s="577"/>
      <c r="E597" s="577"/>
      <c r="F597" s="577"/>
      <c r="G597" s="577"/>
      <c r="H597" s="577"/>
      <c r="I597" s="577"/>
      <c r="J597" s="577"/>
    </row>
    <row r="598" spans="1:10">
      <c r="A598" s="577"/>
      <c r="B598" s="577"/>
      <c r="C598" s="577"/>
      <c r="D598" s="577"/>
      <c r="E598" s="577"/>
      <c r="F598" s="577"/>
      <c r="G598" s="577"/>
      <c r="H598" s="577"/>
      <c r="I598" s="577"/>
      <c r="J598" s="577"/>
    </row>
    <row r="599" spans="1:10">
      <c r="A599" s="577"/>
      <c r="B599" s="577"/>
      <c r="C599" s="577"/>
      <c r="D599" s="577"/>
      <c r="E599" s="577"/>
      <c r="F599" s="577"/>
      <c r="G599" s="577"/>
      <c r="H599" s="577"/>
      <c r="I599" s="577"/>
      <c r="J599" s="577"/>
    </row>
    <row r="600" spans="1:10">
      <c r="A600" s="577"/>
      <c r="B600" s="577"/>
      <c r="C600" s="577"/>
      <c r="D600" s="577"/>
      <c r="E600" s="577"/>
      <c r="F600" s="577"/>
      <c r="G600" s="577"/>
      <c r="H600" s="577"/>
      <c r="I600" s="577"/>
      <c r="J600" s="577"/>
    </row>
    <row r="601" spans="1:10">
      <c r="A601" s="577"/>
      <c r="B601" s="577"/>
      <c r="C601" s="577"/>
      <c r="D601" s="577"/>
      <c r="E601" s="577"/>
      <c r="F601" s="577"/>
      <c r="G601" s="577"/>
      <c r="H601" s="577"/>
      <c r="I601" s="577"/>
      <c r="J601" s="577"/>
    </row>
    <row r="602" spans="1:10">
      <c r="A602" s="577"/>
      <c r="B602" s="577"/>
      <c r="C602" s="577"/>
      <c r="D602" s="577"/>
      <c r="E602" s="577"/>
      <c r="F602" s="577"/>
      <c r="G602" s="577"/>
      <c r="H602" s="577"/>
      <c r="I602" s="577"/>
      <c r="J602" s="577"/>
    </row>
    <row r="603" spans="1:10">
      <c r="A603" s="577"/>
      <c r="B603" s="577"/>
      <c r="C603" s="577"/>
      <c r="D603" s="577"/>
      <c r="E603" s="577"/>
      <c r="F603" s="577"/>
      <c r="G603" s="577"/>
      <c r="H603" s="577"/>
      <c r="I603" s="577"/>
      <c r="J603" s="577"/>
    </row>
    <row r="604" spans="1:10">
      <c r="A604" s="577"/>
      <c r="B604" s="577"/>
      <c r="C604" s="577"/>
      <c r="D604" s="577"/>
      <c r="E604" s="577"/>
      <c r="F604" s="577"/>
      <c r="G604" s="577"/>
      <c r="H604" s="577"/>
      <c r="I604" s="577"/>
      <c r="J604" s="577"/>
    </row>
    <row r="605" spans="1:10">
      <c r="A605" s="577"/>
      <c r="B605" s="577"/>
      <c r="C605" s="577"/>
      <c r="D605" s="577"/>
      <c r="E605" s="577"/>
      <c r="F605" s="577"/>
      <c r="G605" s="577"/>
      <c r="H605" s="577"/>
      <c r="I605" s="577"/>
      <c r="J605" s="577"/>
    </row>
    <row r="606" spans="1:10">
      <c r="A606" s="577"/>
      <c r="B606" s="577"/>
      <c r="C606" s="577"/>
      <c r="D606" s="577"/>
      <c r="E606" s="577"/>
      <c r="F606" s="577"/>
      <c r="G606" s="577"/>
      <c r="H606" s="577"/>
      <c r="I606" s="577"/>
      <c r="J606" s="577"/>
    </row>
    <row r="607" spans="1:10">
      <c r="A607" s="577"/>
      <c r="B607" s="577"/>
      <c r="C607" s="577"/>
      <c r="D607" s="577"/>
      <c r="E607" s="577"/>
      <c r="F607" s="577"/>
      <c r="G607" s="577"/>
      <c r="H607" s="577"/>
      <c r="I607" s="577"/>
      <c r="J607" s="577"/>
    </row>
    <row r="608" spans="1:10">
      <c r="A608" s="577"/>
      <c r="B608" s="577"/>
      <c r="C608" s="577"/>
      <c r="D608" s="577"/>
      <c r="E608" s="577"/>
      <c r="F608" s="577"/>
      <c r="G608" s="577"/>
      <c r="H608" s="577"/>
      <c r="I608" s="577"/>
      <c r="J608" s="577"/>
    </row>
    <row r="609" spans="1:10">
      <c r="A609" s="577"/>
      <c r="B609" s="577"/>
      <c r="C609" s="577"/>
      <c r="D609" s="577"/>
      <c r="E609" s="577"/>
      <c r="F609" s="577"/>
      <c r="G609" s="577"/>
      <c r="H609" s="577"/>
      <c r="I609" s="577"/>
      <c r="J609" s="577"/>
    </row>
    <row r="610" spans="1:10">
      <c r="A610" s="577"/>
      <c r="B610" s="577"/>
      <c r="C610" s="577"/>
      <c r="D610" s="577"/>
      <c r="E610" s="577"/>
      <c r="F610" s="577"/>
      <c r="G610" s="577"/>
      <c r="H610" s="577"/>
      <c r="I610" s="577"/>
      <c r="J610" s="577"/>
    </row>
    <row r="611" spans="1:10">
      <c r="A611" s="577"/>
      <c r="B611" s="577"/>
      <c r="C611" s="577"/>
      <c r="D611" s="577"/>
      <c r="E611" s="577"/>
      <c r="F611" s="577"/>
      <c r="G611" s="577"/>
      <c r="H611" s="577"/>
      <c r="I611" s="577"/>
      <c r="J611" s="577"/>
    </row>
    <row r="612" spans="1:10">
      <c r="A612" s="577"/>
      <c r="B612" s="577"/>
      <c r="C612" s="577"/>
      <c r="D612" s="577"/>
      <c r="E612" s="577"/>
      <c r="F612" s="577"/>
      <c r="G612" s="577"/>
      <c r="H612" s="577"/>
      <c r="I612" s="577"/>
      <c r="J612" s="577"/>
    </row>
    <row r="613" spans="1:10">
      <c r="A613" s="577"/>
      <c r="B613" s="577"/>
      <c r="C613" s="577"/>
      <c r="D613" s="577"/>
      <c r="E613" s="577"/>
      <c r="F613" s="577"/>
      <c r="G613" s="577"/>
      <c r="H613" s="577"/>
      <c r="I613" s="577"/>
      <c r="J613" s="577"/>
    </row>
    <row r="614" spans="1:10">
      <c r="A614" s="577"/>
      <c r="B614" s="577"/>
      <c r="C614" s="577"/>
      <c r="D614" s="577"/>
      <c r="E614" s="577"/>
      <c r="F614" s="577"/>
      <c r="G614" s="577"/>
      <c r="H614" s="577"/>
      <c r="I614" s="577"/>
      <c r="J614" s="577"/>
    </row>
    <row r="615" spans="1:10">
      <c r="A615" s="577"/>
      <c r="B615" s="577"/>
      <c r="C615" s="577"/>
      <c r="D615" s="577"/>
      <c r="E615" s="577"/>
      <c r="F615" s="577"/>
      <c r="G615" s="577"/>
      <c r="H615" s="577"/>
      <c r="I615" s="577"/>
      <c r="J615" s="577"/>
    </row>
    <row r="616" spans="1:10">
      <c r="A616" s="577"/>
      <c r="B616" s="577"/>
      <c r="C616" s="577"/>
      <c r="D616" s="577"/>
      <c r="E616" s="577"/>
      <c r="F616" s="577"/>
      <c r="G616" s="577"/>
      <c r="H616" s="577"/>
      <c r="I616" s="577"/>
      <c r="J616" s="577"/>
    </row>
    <row r="617" spans="1:10">
      <c r="A617" s="577"/>
      <c r="B617" s="577"/>
      <c r="C617" s="577"/>
      <c r="D617" s="577"/>
      <c r="E617" s="577"/>
      <c r="F617" s="577"/>
      <c r="G617" s="577"/>
      <c r="H617" s="577"/>
      <c r="I617" s="577"/>
      <c r="J617" s="577"/>
    </row>
    <row r="618" spans="1:10">
      <c r="A618" s="577"/>
      <c r="B618" s="577"/>
      <c r="C618" s="577"/>
      <c r="D618" s="577"/>
      <c r="E618" s="577"/>
      <c r="F618" s="577"/>
      <c r="G618" s="577"/>
      <c r="H618" s="577"/>
      <c r="I618" s="577"/>
      <c r="J618" s="577"/>
    </row>
    <row r="619" spans="1:10">
      <c r="A619" s="577"/>
      <c r="B619" s="577"/>
      <c r="C619" s="577"/>
      <c r="D619" s="577"/>
      <c r="E619" s="577"/>
      <c r="F619" s="577"/>
      <c r="G619" s="577"/>
      <c r="H619" s="577"/>
      <c r="I619" s="577"/>
      <c r="J619" s="577"/>
    </row>
    <row r="620" spans="1:10">
      <c r="A620" s="577"/>
      <c r="B620" s="577"/>
      <c r="C620" s="577"/>
      <c r="D620" s="577"/>
      <c r="E620" s="577"/>
      <c r="F620" s="577"/>
      <c r="G620" s="577"/>
      <c r="H620" s="577"/>
      <c r="I620" s="577"/>
      <c r="J620" s="577"/>
    </row>
    <row r="621" spans="1:10">
      <c r="A621" s="577"/>
      <c r="B621" s="577"/>
      <c r="C621" s="577"/>
      <c r="D621" s="577"/>
      <c r="E621" s="577"/>
      <c r="F621" s="577"/>
      <c r="G621" s="577"/>
      <c r="H621" s="577"/>
      <c r="I621" s="577"/>
      <c r="J621" s="577"/>
    </row>
    <row r="622" spans="1:10">
      <c r="A622" s="577"/>
      <c r="B622" s="577"/>
      <c r="C622" s="577"/>
      <c r="D622" s="577"/>
      <c r="E622" s="577"/>
      <c r="F622" s="577"/>
      <c r="G622" s="577"/>
      <c r="H622" s="577"/>
      <c r="I622" s="577"/>
      <c r="J622" s="577"/>
    </row>
    <row r="623" spans="1:10">
      <c r="A623" s="577"/>
      <c r="B623" s="577"/>
      <c r="C623" s="577"/>
      <c r="D623" s="577"/>
      <c r="E623" s="577"/>
      <c r="F623" s="577"/>
      <c r="G623" s="577"/>
      <c r="H623" s="577"/>
      <c r="I623" s="577"/>
      <c r="J623" s="577"/>
    </row>
    <row r="624" spans="1:10">
      <c r="A624" s="577"/>
      <c r="B624" s="577"/>
      <c r="C624" s="577"/>
      <c r="D624" s="577"/>
      <c r="E624" s="577"/>
      <c r="F624" s="577"/>
      <c r="G624" s="577"/>
      <c r="H624" s="577"/>
      <c r="I624" s="577"/>
      <c r="J624" s="577"/>
    </row>
    <row r="625" spans="1:10">
      <c r="A625" s="577"/>
      <c r="B625" s="577"/>
      <c r="C625" s="577"/>
      <c r="D625" s="577"/>
      <c r="E625" s="577"/>
      <c r="F625" s="577"/>
      <c r="G625" s="577"/>
      <c r="H625" s="577"/>
      <c r="I625" s="577"/>
      <c r="J625" s="577"/>
    </row>
    <row r="626" spans="1:10">
      <c r="A626" s="577"/>
      <c r="B626" s="577"/>
      <c r="C626" s="577"/>
      <c r="D626" s="577"/>
      <c r="E626" s="577"/>
      <c r="F626" s="577"/>
      <c r="G626" s="577"/>
      <c r="H626" s="577"/>
      <c r="I626" s="577"/>
      <c r="J626" s="577"/>
    </row>
    <row r="627" spans="1:10">
      <c r="A627" s="577"/>
      <c r="B627" s="577"/>
      <c r="C627" s="577"/>
      <c r="D627" s="577"/>
      <c r="E627" s="577"/>
      <c r="F627" s="577"/>
      <c r="G627" s="577"/>
      <c r="H627" s="577"/>
      <c r="I627" s="577"/>
      <c r="J627" s="577"/>
    </row>
    <row r="628" spans="1:10">
      <c r="A628" s="577"/>
      <c r="B628" s="577"/>
      <c r="C628" s="577"/>
      <c r="D628" s="577"/>
      <c r="E628" s="577"/>
      <c r="F628" s="577"/>
      <c r="G628" s="577"/>
      <c r="H628" s="577"/>
      <c r="I628" s="577"/>
      <c r="J628" s="577"/>
    </row>
    <row r="629" spans="1:10">
      <c r="A629" s="577"/>
      <c r="B629" s="577"/>
      <c r="C629" s="577"/>
      <c r="D629" s="577"/>
      <c r="E629" s="577"/>
      <c r="F629" s="577"/>
      <c r="G629" s="577"/>
      <c r="H629" s="577"/>
      <c r="I629" s="577"/>
      <c r="J629" s="577"/>
    </row>
    <row r="630" spans="1:10">
      <c r="A630" s="577"/>
      <c r="B630" s="577"/>
      <c r="C630" s="577"/>
      <c r="D630" s="577"/>
      <c r="E630" s="577"/>
      <c r="F630" s="577"/>
      <c r="G630" s="577"/>
      <c r="H630" s="577"/>
      <c r="I630" s="577"/>
      <c r="J630" s="577"/>
    </row>
    <row r="631" spans="1:10">
      <c r="A631" s="577"/>
      <c r="B631" s="577"/>
      <c r="C631" s="577"/>
      <c r="D631" s="577"/>
      <c r="E631" s="577"/>
      <c r="F631" s="577"/>
      <c r="G631" s="577"/>
      <c r="H631" s="577"/>
      <c r="I631" s="577"/>
      <c r="J631" s="577"/>
    </row>
    <row r="632" spans="1:10">
      <c r="A632" s="577"/>
      <c r="B632" s="577"/>
      <c r="C632" s="577"/>
      <c r="D632" s="577"/>
      <c r="E632" s="577"/>
      <c r="F632" s="577"/>
      <c r="G632" s="577"/>
      <c r="H632" s="577"/>
      <c r="I632" s="577"/>
      <c r="J632" s="577"/>
    </row>
    <row r="633" spans="1:10">
      <c r="A633" s="577"/>
      <c r="B633" s="577"/>
      <c r="C633" s="577"/>
      <c r="D633" s="577"/>
      <c r="E633" s="577"/>
      <c r="F633" s="577"/>
      <c r="G633" s="577"/>
      <c r="H633" s="577"/>
      <c r="I633" s="577"/>
      <c r="J633" s="577"/>
    </row>
    <row r="634" spans="1:10">
      <c r="A634" s="577"/>
      <c r="B634" s="577"/>
      <c r="C634" s="577"/>
      <c r="D634" s="577"/>
      <c r="E634" s="577"/>
      <c r="F634" s="577"/>
      <c r="G634" s="577"/>
      <c r="H634" s="577"/>
      <c r="I634" s="577"/>
      <c r="J634" s="577"/>
    </row>
    <row r="635" spans="1:10">
      <c r="A635" s="577"/>
      <c r="B635" s="577"/>
      <c r="C635" s="577"/>
      <c r="D635" s="577"/>
      <c r="E635" s="577"/>
      <c r="F635" s="577"/>
      <c r="G635" s="577"/>
      <c r="H635" s="577"/>
      <c r="I635" s="577"/>
      <c r="J635" s="577"/>
    </row>
    <row r="636" spans="1:10">
      <c r="A636" s="577"/>
      <c r="B636" s="577"/>
      <c r="C636" s="577"/>
      <c r="D636" s="577"/>
      <c r="E636" s="577"/>
      <c r="F636" s="577"/>
      <c r="G636" s="577"/>
      <c r="H636" s="577"/>
      <c r="I636" s="577"/>
      <c r="J636" s="577"/>
    </row>
    <row r="637" spans="1:10">
      <c r="A637" s="577"/>
      <c r="B637" s="577"/>
      <c r="C637" s="577"/>
      <c r="D637" s="577"/>
      <c r="E637" s="577"/>
      <c r="F637" s="577"/>
      <c r="G637" s="577"/>
      <c r="H637" s="577"/>
      <c r="I637" s="577"/>
      <c r="J637" s="577"/>
    </row>
    <row r="638" spans="1:10">
      <c r="A638" s="577"/>
      <c r="B638" s="577"/>
      <c r="C638" s="577"/>
      <c r="D638" s="577"/>
      <c r="E638" s="577"/>
      <c r="F638" s="577"/>
      <c r="G638" s="577"/>
      <c r="H638" s="577"/>
      <c r="I638" s="577"/>
      <c r="J638" s="577"/>
    </row>
    <row r="639" spans="1:10">
      <c r="A639" s="577"/>
      <c r="B639" s="577"/>
      <c r="C639" s="577"/>
      <c r="D639" s="577"/>
      <c r="E639" s="577"/>
      <c r="F639" s="577"/>
      <c r="G639" s="577"/>
      <c r="H639" s="577"/>
      <c r="I639" s="577"/>
      <c r="J639" s="577"/>
    </row>
    <row r="640" spans="1:10">
      <c r="A640" s="577"/>
      <c r="B640" s="577"/>
      <c r="C640" s="577"/>
      <c r="D640" s="577"/>
      <c r="E640" s="577"/>
      <c r="F640" s="577"/>
      <c r="G640" s="577"/>
      <c r="H640" s="577"/>
      <c r="I640" s="577"/>
      <c r="J640" s="577"/>
    </row>
    <row r="641" spans="1:10">
      <c r="A641" s="577"/>
      <c r="B641" s="577"/>
      <c r="C641" s="577"/>
      <c r="D641" s="577"/>
      <c r="E641" s="577"/>
      <c r="F641" s="577"/>
      <c r="G641" s="577"/>
      <c r="H641" s="577"/>
      <c r="I641" s="577"/>
      <c r="J641" s="577"/>
    </row>
    <row r="642" spans="1:10">
      <c r="A642" s="577"/>
      <c r="B642" s="577"/>
      <c r="C642" s="577"/>
      <c r="D642" s="577"/>
      <c r="E642" s="577"/>
      <c r="F642" s="577"/>
      <c r="G642" s="577"/>
      <c r="H642" s="577"/>
      <c r="I642" s="577"/>
      <c r="J642" s="577"/>
    </row>
    <row r="643" spans="1:10">
      <c r="A643" s="577"/>
      <c r="B643" s="577"/>
      <c r="C643" s="577"/>
      <c r="D643" s="577"/>
      <c r="E643" s="577"/>
      <c r="F643" s="577"/>
      <c r="G643" s="577"/>
      <c r="H643" s="577"/>
      <c r="I643" s="577"/>
      <c r="J643" s="577"/>
    </row>
    <row r="644" spans="1:10">
      <c r="A644" s="577"/>
      <c r="B644" s="577"/>
      <c r="C644" s="577"/>
      <c r="D644" s="577"/>
      <c r="E644" s="577"/>
      <c r="F644" s="577"/>
      <c r="G644" s="577"/>
      <c r="H644" s="577"/>
      <c r="I644" s="577"/>
      <c r="J644" s="577"/>
    </row>
    <row r="645" spans="1:10">
      <c r="A645" s="577"/>
      <c r="B645" s="577"/>
      <c r="C645" s="577"/>
      <c r="D645" s="577"/>
      <c r="E645" s="577"/>
      <c r="F645" s="577"/>
      <c r="G645" s="577"/>
      <c r="H645" s="577"/>
      <c r="I645" s="577"/>
      <c r="J645" s="577"/>
    </row>
    <row r="646" spans="1:10">
      <c r="A646" s="577"/>
      <c r="B646" s="577"/>
      <c r="C646" s="577"/>
      <c r="D646" s="577"/>
      <c r="E646" s="577"/>
      <c r="F646" s="577"/>
      <c r="G646" s="577"/>
      <c r="H646" s="577"/>
      <c r="I646" s="577"/>
      <c r="J646" s="577"/>
    </row>
    <row r="647" spans="1:10">
      <c r="A647" s="577"/>
      <c r="B647" s="577"/>
      <c r="C647" s="577"/>
      <c r="D647" s="577"/>
      <c r="E647" s="577"/>
      <c r="F647" s="577"/>
      <c r="G647" s="577"/>
      <c r="H647" s="577"/>
      <c r="I647" s="577"/>
      <c r="J647" s="577"/>
    </row>
    <row r="648" spans="1:10">
      <c r="A648" s="577"/>
      <c r="B648" s="577"/>
      <c r="C648" s="577"/>
      <c r="D648" s="577"/>
      <c r="E648" s="577"/>
      <c r="F648" s="577"/>
      <c r="G648" s="577"/>
      <c r="H648" s="577"/>
      <c r="I648" s="577"/>
      <c r="J648" s="577"/>
    </row>
    <row r="649" spans="1:10">
      <c r="A649" s="577"/>
      <c r="B649" s="577"/>
      <c r="C649" s="577"/>
      <c r="D649" s="577"/>
      <c r="E649" s="577"/>
      <c r="F649" s="577"/>
      <c r="G649" s="577"/>
      <c r="H649" s="577"/>
      <c r="I649" s="577"/>
      <c r="J649" s="577"/>
    </row>
    <row r="650" spans="1:10">
      <c r="A650" s="577"/>
      <c r="B650" s="577"/>
      <c r="C650" s="577"/>
      <c r="D650" s="577"/>
      <c r="E650" s="577"/>
      <c r="F650" s="577"/>
      <c r="G650" s="577"/>
      <c r="H650" s="577"/>
      <c r="I650" s="577"/>
      <c r="J650" s="577"/>
    </row>
    <row r="651" spans="1:10">
      <c r="A651" s="577"/>
      <c r="B651" s="577"/>
      <c r="C651" s="577"/>
      <c r="D651" s="577"/>
      <c r="E651" s="577"/>
      <c r="F651" s="577"/>
      <c r="G651" s="577"/>
      <c r="H651" s="577"/>
      <c r="I651" s="577"/>
      <c r="J651" s="577"/>
    </row>
    <row r="652" spans="1:10">
      <c r="A652" s="577"/>
      <c r="B652" s="577"/>
      <c r="C652" s="577"/>
      <c r="D652" s="577"/>
      <c r="E652" s="577"/>
      <c r="F652" s="577"/>
      <c r="G652" s="577"/>
      <c r="H652" s="577"/>
      <c r="I652" s="577"/>
      <c r="J652" s="577"/>
    </row>
    <row r="653" spans="1:10">
      <c r="A653" s="577"/>
      <c r="B653" s="577"/>
      <c r="C653" s="577"/>
      <c r="D653" s="577"/>
      <c r="E653" s="577"/>
      <c r="F653" s="577"/>
      <c r="G653" s="577"/>
      <c r="H653" s="577"/>
      <c r="I653" s="577"/>
      <c r="J653" s="577"/>
    </row>
    <row r="654" spans="1:10">
      <c r="A654" s="577"/>
      <c r="B654" s="577"/>
      <c r="C654" s="577"/>
      <c r="D654" s="577"/>
      <c r="E654" s="577"/>
      <c r="F654" s="577"/>
      <c r="G654" s="577"/>
      <c r="H654" s="577"/>
      <c r="I654" s="577"/>
      <c r="J654" s="577"/>
    </row>
    <row r="655" spans="1:10">
      <c r="A655" s="577"/>
      <c r="B655" s="577"/>
      <c r="C655" s="577"/>
      <c r="D655" s="577"/>
      <c r="E655" s="577"/>
      <c r="F655" s="577"/>
      <c r="G655" s="577"/>
      <c r="H655" s="577"/>
      <c r="I655" s="577"/>
      <c r="J655" s="577"/>
    </row>
    <row r="656" spans="1:10">
      <c r="A656" s="577"/>
      <c r="B656" s="577"/>
      <c r="C656" s="577"/>
      <c r="D656" s="577"/>
      <c r="E656" s="577"/>
      <c r="F656" s="577"/>
      <c r="G656" s="577"/>
      <c r="H656" s="577"/>
      <c r="I656" s="577"/>
      <c r="J656" s="577"/>
    </row>
    <row r="657" spans="1:10">
      <c r="A657" s="577"/>
      <c r="B657" s="577"/>
      <c r="C657" s="577"/>
      <c r="D657" s="577"/>
      <c r="E657" s="577"/>
      <c r="F657" s="577"/>
      <c r="G657" s="577"/>
      <c r="H657" s="577"/>
      <c r="I657" s="577"/>
      <c r="J657" s="577"/>
    </row>
    <row r="658" spans="1:10">
      <c r="A658" s="577"/>
      <c r="B658" s="577"/>
      <c r="C658" s="577"/>
      <c r="D658" s="577"/>
      <c r="E658" s="577"/>
      <c r="F658" s="577"/>
      <c r="G658" s="577"/>
      <c r="H658" s="577"/>
      <c r="I658" s="577"/>
      <c r="J658" s="577"/>
    </row>
    <row r="659" spans="1:10">
      <c r="A659" s="577"/>
      <c r="B659" s="577"/>
      <c r="C659" s="577"/>
      <c r="D659" s="577"/>
      <c r="E659" s="577"/>
      <c r="F659" s="577"/>
      <c r="G659" s="577"/>
      <c r="H659" s="577"/>
      <c r="I659" s="577"/>
      <c r="J659" s="577"/>
    </row>
    <row r="660" spans="1:10">
      <c r="A660" s="577"/>
      <c r="B660" s="577"/>
      <c r="C660" s="577"/>
      <c r="D660" s="577"/>
      <c r="E660" s="577"/>
      <c r="F660" s="577"/>
      <c r="G660" s="577"/>
      <c r="H660" s="577"/>
      <c r="I660" s="577"/>
      <c r="J660" s="577"/>
    </row>
    <row r="661" spans="1:10">
      <c r="A661" s="577"/>
      <c r="B661" s="577"/>
      <c r="C661" s="577"/>
      <c r="D661" s="577"/>
      <c r="E661" s="577"/>
      <c r="F661" s="577"/>
      <c r="G661" s="577"/>
      <c r="H661" s="577"/>
      <c r="I661" s="577"/>
      <c r="J661" s="577"/>
    </row>
    <row r="662" spans="1:10">
      <c r="A662" s="577"/>
      <c r="B662" s="577"/>
      <c r="C662" s="577"/>
      <c r="D662" s="577"/>
      <c r="E662" s="577"/>
      <c r="F662" s="577"/>
      <c r="G662" s="577"/>
      <c r="H662" s="577"/>
      <c r="I662" s="577"/>
      <c r="J662" s="577"/>
    </row>
    <row r="663" spans="1:10">
      <c r="A663" s="577"/>
      <c r="B663" s="577"/>
      <c r="C663" s="577"/>
      <c r="D663" s="577"/>
      <c r="E663" s="577"/>
      <c r="F663" s="577"/>
      <c r="G663" s="577"/>
      <c r="H663" s="577"/>
      <c r="I663" s="577"/>
      <c r="J663" s="577"/>
    </row>
    <row r="664" spans="1:10">
      <c r="A664" s="577"/>
      <c r="B664" s="577"/>
      <c r="C664" s="577"/>
      <c r="D664" s="577"/>
      <c r="E664" s="577"/>
      <c r="F664" s="577"/>
      <c r="G664" s="577"/>
      <c r="H664" s="577"/>
      <c r="I664" s="577"/>
      <c r="J664" s="577"/>
    </row>
    <row r="665" spans="1:10">
      <c r="A665" s="577"/>
      <c r="B665" s="577"/>
      <c r="C665" s="577"/>
      <c r="D665" s="577"/>
      <c r="E665" s="577"/>
      <c r="F665" s="577"/>
      <c r="G665" s="577"/>
      <c r="H665" s="577"/>
      <c r="I665" s="577"/>
      <c r="J665" s="577"/>
    </row>
    <row r="666" spans="1:10">
      <c r="A666" s="577"/>
      <c r="B666" s="577"/>
      <c r="C666" s="577"/>
      <c r="D666" s="577"/>
      <c r="E666" s="577"/>
      <c r="F666" s="577"/>
      <c r="G666" s="577"/>
      <c r="H666" s="577"/>
      <c r="I666" s="577"/>
      <c r="J666" s="577"/>
    </row>
    <row r="667" spans="1:10">
      <c r="A667" s="577"/>
      <c r="B667" s="577"/>
      <c r="C667" s="577"/>
      <c r="D667" s="577"/>
      <c r="E667" s="577"/>
      <c r="F667" s="577"/>
      <c r="G667" s="577"/>
      <c r="H667" s="577"/>
      <c r="I667" s="577"/>
      <c r="J667" s="577"/>
    </row>
    <row r="668" spans="1:10">
      <c r="A668" s="577"/>
      <c r="B668" s="577"/>
      <c r="C668" s="577"/>
      <c r="D668" s="577"/>
      <c r="E668" s="577"/>
      <c r="F668" s="577"/>
      <c r="G668" s="577"/>
      <c r="H668" s="577"/>
      <c r="I668" s="577"/>
      <c r="J668" s="577"/>
    </row>
    <row r="669" spans="1:10">
      <c r="A669" s="577"/>
      <c r="B669" s="577"/>
      <c r="C669" s="577"/>
      <c r="D669" s="577"/>
      <c r="E669" s="577"/>
      <c r="F669" s="577"/>
      <c r="G669" s="577"/>
      <c r="H669" s="577"/>
      <c r="I669" s="577"/>
      <c r="J669" s="577"/>
    </row>
    <row r="670" spans="1:10">
      <c r="A670" s="577"/>
      <c r="B670" s="577"/>
      <c r="C670" s="577"/>
      <c r="D670" s="577"/>
      <c r="E670" s="577"/>
      <c r="F670" s="577"/>
      <c r="G670" s="577"/>
      <c r="H670" s="577"/>
      <c r="I670" s="577"/>
      <c r="J670" s="577"/>
    </row>
    <row r="671" spans="1:10">
      <c r="A671" s="577"/>
      <c r="B671" s="577"/>
      <c r="C671" s="577"/>
      <c r="D671" s="577"/>
      <c r="E671" s="577"/>
      <c r="F671" s="577"/>
      <c r="G671" s="577"/>
      <c r="H671" s="577"/>
      <c r="I671" s="577"/>
      <c r="J671" s="577"/>
    </row>
    <row r="672" spans="1:10">
      <c r="A672" s="577"/>
      <c r="B672" s="577"/>
      <c r="C672" s="577"/>
      <c r="D672" s="577"/>
      <c r="E672" s="577"/>
      <c r="F672" s="577"/>
      <c r="G672" s="577"/>
      <c r="H672" s="577"/>
      <c r="I672" s="577"/>
      <c r="J672" s="577"/>
    </row>
    <row r="673" spans="1:10">
      <c r="A673" s="577"/>
      <c r="B673" s="577"/>
      <c r="C673" s="577"/>
      <c r="D673" s="577"/>
      <c r="E673" s="577"/>
      <c r="F673" s="577"/>
      <c r="G673" s="577"/>
      <c r="H673" s="577"/>
      <c r="I673" s="577"/>
      <c r="J673" s="577"/>
    </row>
    <row r="674" spans="1:10">
      <c r="A674" s="577"/>
      <c r="B674" s="577"/>
      <c r="C674" s="577"/>
      <c r="D674" s="577"/>
      <c r="E674" s="577"/>
      <c r="F674" s="577"/>
      <c r="G674" s="577"/>
      <c r="H674" s="577"/>
      <c r="I674" s="577"/>
      <c r="J674" s="577"/>
    </row>
    <row r="675" spans="1:10">
      <c r="A675" s="577"/>
      <c r="B675" s="577"/>
      <c r="C675" s="577"/>
      <c r="D675" s="577"/>
      <c r="E675" s="577"/>
      <c r="F675" s="577"/>
      <c r="G675" s="577"/>
      <c r="H675" s="577"/>
      <c r="I675" s="577"/>
      <c r="J675" s="577"/>
    </row>
    <row r="676" spans="1:10">
      <c r="A676" s="577"/>
      <c r="B676" s="577"/>
      <c r="C676" s="577"/>
      <c r="D676" s="577"/>
      <c r="E676" s="577"/>
      <c r="F676" s="577"/>
      <c r="G676" s="577"/>
      <c r="H676" s="577"/>
      <c r="I676" s="577"/>
      <c r="J676" s="577"/>
    </row>
    <row r="677" spans="1:10">
      <c r="A677" s="577"/>
      <c r="B677" s="577"/>
      <c r="C677" s="577"/>
      <c r="D677" s="577"/>
      <c r="E677" s="577"/>
      <c r="F677" s="577"/>
      <c r="G677" s="577"/>
      <c r="H677" s="577"/>
      <c r="I677" s="577"/>
      <c r="J677" s="577"/>
    </row>
    <row r="678" spans="1:10">
      <c r="A678" s="577"/>
      <c r="B678" s="577"/>
      <c r="C678" s="577"/>
      <c r="D678" s="577"/>
      <c r="E678" s="577"/>
      <c r="F678" s="577"/>
      <c r="G678" s="577"/>
      <c r="H678" s="577"/>
      <c r="I678" s="577"/>
      <c r="J678" s="577"/>
    </row>
    <row r="679" spans="1:10">
      <c r="A679" s="577"/>
      <c r="B679" s="577"/>
      <c r="C679" s="577"/>
      <c r="D679" s="577"/>
      <c r="E679" s="577"/>
      <c r="F679" s="577"/>
      <c r="G679" s="577"/>
      <c r="H679" s="577"/>
      <c r="I679" s="577"/>
      <c r="J679" s="577"/>
    </row>
    <row r="680" spans="1:10">
      <c r="A680" s="577"/>
      <c r="B680" s="577"/>
      <c r="C680" s="577"/>
      <c r="D680" s="577"/>
      <c r="E680" s="577"/>
      <c r="F680" s="577"/>
      <c r="G680" s="577"/>
      <c r="H680" s="577"/>
      <c r="I680" s="577"/>
      <c r="J680" s="577"/>
    </row>
    <row r="681" spans="1:10">
      <c r="A681" s="577"/>
      <c r="B681" s="577"/>
      <c r="C681" s="577"/>
      <c r="D681" s="577"/>
      <c r="E681" s="577"/>
      <c r="F681" s="577"/>
      <c r="G681" s="577"/>
      <c r="H681" s="577"/>
      <c r="I681" s="577"/>
      <c r="J681" s="577"/>
    </row>
    <row r="682" spans="1:10">
      <c r="A682" s="577"/>
      <c r="B682" s="577"/>
      <c r="C682" s="577"/>
      <c r="D682" s="577"/>
      <c r="E682" s="577"/>
      <c r="F682" s="577"/>
      <c r="G682" s="577"/>
      <c r="H682" s="577"/>
      <c r="I682" s="577"/>
      <c r="J682" s="577"/>
    </row>
    <row r="683" spans="1:10">
      <c r="A683" s="577"/>
      <c r="B683" s="577"/>
      <c r="C683" s="577"/>
      <c r="D683" s="577"/>
      <c r="E683" s="577"/>
      <c r="F683" s="577"/>
      <c r="G683" s="577"/>
      <c r="H683" s="577"/>
      <c r="I683" s="577"/>
      <c r="J683" s="577"/>
    </row>
    <row r="684" spans="1:10">
      <c r="A684" s="577"/>
      <c r="B684" s="577"/>
      <c r="C684" s="577"/>
      <c r="D684" s="577"/>
      <c r="E684" s="577"/>
      <c r="F684" s="577"/>
      <c r="G684" s="577"/>
      <c r="H684" s="577"/>
      <c r="I684" s="577"/>
      <c r="J684" s="577"/>
    </row>
    <row r="685" spans="1:10">
      <c r="A685" s="577"/>
      <c r="B685" s="577"/>
      <c r="C685" s="577"/>
      <c r="D685" s="577"/>
      <c r="E685" s="577"/>
      <c r="F685" s="577"/>
      <c r="G685" s="577"/>
      <c r="H685" s="577"/>
      <c r="I685" s="577"/>
      <c r="J685" s="577"/>
    </row>
    <row r="686" spans="1:10">
      <c r="A686" s="577"/>
      <c r="B686" s="577"/>
      <c r="C686" s="577"/>
      <c r="D686" s="577"/>
      <c r="E686" s="577"/>
      <c r="F686" s="577"/>
      <c r="G686" s="577"/>
      <c r="H686" s="577"/>
      <c r="I686" s="577"/>
      <c r="J686" s="577"/>
    </row>
    <row r="687" spans="1:10">
      <c r="A687" s="577"/>
      <c r="B687" s="577"/>
      <c r="C687" s="577"/>
      <c r="D687" s="577"/>
      <c r="E687" s="577"/>
      <c r="F687" s="577"/>
      <c r="G687" s="577"/>
      <c r="H687" s="577"/>
      <c r="I687" s="577"/>
      <c r="J687" s="577"/>
    </row>
    <row r="688" spans="1:10">
      <c r="A688" s="577"/>
      <c r="B688" s="577"/>
      <c r="C688" s="577"/>
      <c r="D688" s="577"/>
      <c r="E688" s="577"/>
      <c r="F688" s="577"/>
      <c r="G688" s="577"/>
      <c r="H688" s="577"/>
      <c r="I688" s="577"/>
      <c r="J688" s="577"/>
    </row>
    <row r="689" spans="1:10">
      <c r="A689" s="577"/>
      <c r="B689" s="577"/>
      <c r="C689" s="577"/>
      <c r="D689" s="577"/>
      <c r="E689" s="577"/>
      <c r="F689" s="577"/>
      <c r="G689" s="577"/>
      <c r="H689" s="577"/>
      <c r="I689" s="577"/>
      <c r="J689" s="577"/>
    </row>
    <row r="690" spans="1:10">
      <c r="A690" s="577"/>
      <c r="B690" s="577"/>
      <c r="C690" s="577"/>
      <c r="D690" s="577"/>
      <c r="E690" s="577"/>
      <c r="F690" s="577"/>
      <c r="G690" s="577"/>
      <c r="H690" s="577"/>
      <c r="I690" s="577"/>
      <c r="J690" s="577"/>
    </row>
    <row r="691" spans="1:10">
      <c r="A691" s="577"/>
      <c r="B691" s="577"/>
      <c r="C691" s="577"/>
      <c r="D691" s="577"/>
      <c r="E691" s="577"/>
      <c r="F691" s="577"/>
      <c r="G691" s="577"/>
      <c r="H691" s="577"/>
      <c r="I691" s="577"/>
      <c r="J691" s="577"/>
    </row>
  </sheetData>
  <mergeCells count="45">
    <mergeCell ref="C44:I44"/>
    <mergeCell ref="C64:I64"/>
    <mergeCell ref="C158:I158"/>
    <mergeCell ref="C36:I36"/>
    <mergeCell ref="C72:I72"/>
    <mergeCell ref="C115:I115"/>
    <mergeCell ref="A1:J1"/>
    <mergeCell ref="A2:J2"/>
    <mergeCell ref="C5:I5"/>
    <mergeCell ref="C14:I14"/>
    <mergeCell ref="C25:I25"/>
    <mergeCell ref="F6:I6"/>
    <mergeCell ref="D3:F3"/>
    <mergeCell ref="B3:B4"/>
    <mergeCell ref="F7:I7"/>
    <mergeCell ref="F8:I8"/>
    <mergeCell ref="F9:I9"/>
    <mergeCell ref="F10:I10"/>
    <mergeCell ref="H426:I426"/>
    <mergeCell ref="C432:G432"/>
    <mergeCell ref="H432:J432"/>
    <mergeCell ref="C427:G427"/>
    <mergeCell ref="H427:I427"/>
    <mergeCell ref="C428:G428"/>
    <mergeCell ref="H428:I428"/>
    <mergeCell ref="C430:G430"/>
    <mergeCell ref="H430:J430"/>
    <mergeCell ref="C431:G431"/>
    <mergeCell ref="H431:J431"/>
    <mergeCell ref="C327:I327"/>
    <mergeCell ref="C185:I185"/>
    <mergeCell ref="C269:I269"/>
    <mergeCell ref="C435:G435"/>
    <mergeCell ref="C436:G436"/>
    <mergeCell ref="H435:J435"/>
    <mergeCell ref="H436:J436"/>
    <mergeCell ref="C433:G433"/>
    <mergeCell ref="H433:J433"/>
    <mergeCell ref="C434:G434"/>
    <mergeCell ref="H434:J434"/>
    <mergeCell ref="C347:I347"/>
    <mergeCell ref="C375:I375"/>
    <mergeCell ref="C425:G425"/>
    <mergeCell ref="H425:I425"/>
    <mergeCell ref="C426:G426"/>
  </mergeCells>
  <printOptions gridLines="1"/>
  <pageMargins left="0.7" right="0.2" top="0.8" bottom="0.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dimension ref="A1:I99"/>
  <sheetViews>
    <sheetView workbookViewId="0">
      <pane ySplit="1" topLeftCell="A2" activePane="bottomLeft" state="frozen"/>
      <selection pane="bottomLeft" activeCell="D37" sqref="D37"/>
    </sheetView>
  </sheetViews>
  <sheetFormatPr defaultColWidth="9" defaultRowHeight="15"/>
  <cols>
    <col min="1" max="1" width="6.42578125" customWidth="1"/>
    <col min="2" max="2" width="34.7109375" customWidth="1"/>
    <col min="3" max="4" width="11.7109375" customWidth="1"/>
    <col min="5" max="5" width="11.28515625" customWidth="1"/>
    <col min="6" max="6" width="11.5703125" customWidth="1"/>
    <col min="7" max="7" width="14.7109375" customWidth="1"/>
    <col min="8" max="8" width="13" customWidth="1"/>
    <col min="9" max="9" width="13.28515625" customWidth="1"/>
  </cols>
  <sheetData>
    <row r="1" spans="1:9" ht="45">
      <c r="A1" s="224" t="s">
        <v>99</v>
      </c>
      <c r="B1" s="224" t="s">
        <v>144</v>
      </c>
      <c r="C1" s="224" t="s">
        <v>145</v>
      </c>
      <c r="D1" s="224" t="s">
        <v>146</v>
      </c>
      <c r="E1" s="224" t="s">
        <v>108</v>
      </c>
      <c r="F1" s="224" t="s">
        <v>147</v>
      </c>
      <c r="G1" s="224" t="s">
        <v>148</v>
      </c>
      <c r="H1" s="224" t="s">
        <v>149</v>
      </c>
      <c r="I1" s="224" t="s">
        <v>150</v>
      </c>
    </row>
    <row r="2" spans="1:9">
      <c r="A2" s="606" t="s">
        <v>151</v>
      </c>
      <c r="B2" s="606"/>
      <c r="C2" s="606"/>
      <c r="D2" s="606"/>
      <c r="E2" s="606"/>
      <c r="F2" s="606"/>
      <c r="G2" s="606"/>
      <c r="H2" s="606"/>
      <c r="I2" s="606"/>
    </row>
    <row r="3" spans="1:9" ht="27.75" customHeight="1">
      <c r="A3" s="607" t="str">
        <f>Absrtact!A2</f>
        <v>Name of the Work : Formation of New Channel with CC lining in Godavari Delta System</v>
      </c>
      <c r="B3" s="607"/>
      <c r="C3" s="607"/>
      <c r="D3" s="607"/>
      <c r="E3" s="607"/>
      <c r="F3" s="607"/>
      <c r="G3" s="607"/>
      <c r="H3" s="607"/>
      <c r="I3" s="607"/>
    </row>
    <row r="4" spans="1:9" ht="30">
      <c r="A4" s="224" t="s">
        <v>99</v>
      </c>
      <c r="B4" s="224" t="s">
        <v>144</v>
      </c>
      <c r="C4" s="224" t="s">
        <v>145</v>
      </c>
      <c r="D4" s="224" t="s">
        <v>146</v>
      </c>
      <c r="E4" s="224" t="s">
        <v>108</v>
      </c>
      <c r="F4" s="224" t="s">
        <v>147</v>
      </c>
      <c r="G4" s="224" t="s">
        <v>148</v>
      </c>
      <c r="H4" s="224" t="s">
        <v>152</v>
      </c>
      <c r="I4" s="224" t="s">
        <v>150</v>
      </c>
    </row>
    <row r="5" spans="1:9">
      <c r="A5" s="292" t="s">
        <v>153</v>
      </c>
      <c r="B5" s="292" t="s">
        <v>154</v>
      </c>
      <c r="C5" s="292" t="s">
        <v>155</v>
      </c>
      <c r="D5" s="292" t="s">
        <v>156</v>
      </c>
      <c r="E5" s="292" t="s">
        <v>157</v>
      </c>
      <c r="F5" s="292" t="s">
        <v>158</v>
      </c>
      <c r="G5" s="292" t="s">
        <v>159</v>
      </c>
      <c r="H5" s="292" t="s">
        <v>160</v>
      </c>
      <c r="I5" s="292" t="s">
        <v>161</v>
      </c>
    </row>
    <row r="6" spans="1:9" ht="30">
      <c r="A6" s="8">
        <v>1</v>
      </c>
      <c r="B6" s="239" t="s">
        <v>162</v>
      </c>
      <c r="C6" s="8">
        <v>32</v>
      </c>
      <c r="D6" s="8">
        <v>90</v>
      </c>
      <c r="E6" s="8" t="s">
        <v>163</v>
      </c>
      <c r="F6" s="233">
        <v>2.2000000000000002</v>
      </c>
      <c r="G6" s="233">
        <f>2*69*F6</f>
        <v>303.60000000000002</v>
      </c>
      <c r="H6" s="8">
        <f>ROUND(C6*C6/162,3)</f>
        <v>6.3209999999999997</v>
      </c>
      <c r="I6" s="8">
        <f>ROUND(H6*G6,3)</f>
        <v>1919.056</v>
      </c>
    </row>
    <row r="7" spans="1:9" ht="30">
      <c r="A7" s="8">
        <v>2</v>
      </c>
      <c r="B7" s="239" t="s">
        <v>164</v>
      </c>
      <c r="C7" s="8">
        <v>16</v>
      </c>
      <c r="D7" s="8">
        <v>150</v>
      </c>
      <c r="E7" s="8" t="s">
        <v>165</v>
      </c>
      <c r="F7" s="233">
        <v>6.06</v>
      </c>
      <c r="G7" s="233">
        <f>2*20*F7</f>
        <v>242.4</v>
      </c>
      <c r="H7" s="8">
        <f t="shared" ref="H7:H49" si="0">ROUND(C7*C7/162,3)</f>
        <v>1.58</v>
      </c>
      <c r="I7" s="8">
        <f t="shared" ref="I7:I49" si="1">ROUND(H7*G7,3)</f>
        <v>382.99200000000002</v>
      </c>
    </row>
    <row r="8" spans="1:9" ht="30">
      <c r="A8" s="8">
        <v>3</v>
      </c>
      <c r="B8" s="239" t="s">
        <v>166</v>
      </c>
      <c r="C8" s="8">
        <v>32</v>
      </c>
      <c r="D8" s="8">
        <v>90</v>
      </c>
      <c r="E8" s="8" t="s">
        <v>163</v>
      </c>
      <c r="F8" s="233">
        <v>2.2000000000000002</v>
      </c>
      <c r="G8" s="233">
        <f>2*69*F8</f>
        <v>303.60000000000002</v>
      </c>
      <c r="H8" s="8">
        <f t="shared" si="0"/>
        <v>6.3209999999999997</v>
      </c>
      <c r="I8" s="8">
        <f t="shared" si="1"/>
        <v>1919.056</v>
      </c>
    </row>
    <row r="9" spans="1:9" ht="30">
      <c r="A9" s="8">
        <v>4</v>
      </c>
      <c r="B9" s="239" t="s">
        <v>167</v>
      </c>
      <c r="C9" s="8">
        <v>16</v>
      </c>
      <c r="D9" s="8">
        <v>150</v>
      </c>
      <c r="E9" s="8" t="s">
        <v>165</v>
      </c>
      <c r="F9" s="233">
        <v>6.06</v>
      </c>
      <c r="G9" s="233">
        <f>2*20*F9</f>
        <v>242.4</v>
      </c>
      <c r="H9" s="8">
        <f t="shared" si="0"/>
        <v>1.58</v>
      </c>
      <c r="I9" s="8">
        <f t="shared" si="1"/>
        <v>382.99200000000002</v>
      </c>
    </row>
    <row r="10" spans="1:9" ht="30">
      <c r="A10" s="8">
        <v>5</v>
      </c>
      <c r="B10" s="239" t="s">
        <v>168</v>
      </c>
      <c r="C10" s="8">
        <v>32</v>
      </c>
      <c r="D10" s="8">
        <v>90</v>
      </c>
      <c r="E10" s="8" t="s">
        <v>163</v>
      </c>
      <c r="F10" s="233">
        <v>2.2000000000000002</v>
      </c>
      <c r="G10" s="233">
        <f>2*69*F10</f>
        <v>303.60000000000002</v>
      </c>
      <c r="H10" s="8">
        <f t="shared" si="0"/>
        <v>6.3209999999999997</v>
      </c>
      <c r="I10" s="8">
        <f t="shared" si="1"/>
        <v>1919.056</v>
      </c>
    </row>
    <row r="11" spans="1:9" ht="30">
      <c r="A11" s="8">
        <v>6</v>
      </c>
      <c r="B11" s="239" t="s">
        <v>169</v>
      </c>
      <c r="C11" s="8">
        <v>16</v>
      </c>
      <c r="D11" s="8">
        <v>150</v>
      </c>
      <c r="E11" s="8" t="s">
        <v>165</v>
      </c>
      <c r="F11" s="233">
        <v>48.62</v>
      </c>
      <c r="G11" s="233">
        <f>2*20*F11</f>
        <v>1944.8</v>
      </c>
      <c r="H11" s="8">
        <f t="shared" si="0"/>
        <v>1.58</v>
      </c>
      <c r="I11" s="8">
        <f t="shared" si="1"/>
        <v>3072.7840000000001</v>
      </c>
    </row>
    <row r="12" spans="1:9" ht="30">
      <c r="A12" s="8">
        <v>7</v>
      </c>
      <c r="B12" s="239" t="s">
        <v>170</v>
      </c>
      <c r="C12" s="8">
        <v>32</v>
      </c>
      <c r="D12" s="8">
        <v>90</v>
      </c>
      <c r="E12" s="8" t="s">
        <v>163</v>
      </c>
      <c r="F12" s="233">
        <v>2.2000000000000002</v>
      </c>
      <c r="G12" s="233">
        <f>2*69*F12</f>
        <v>303.60000000000002</v>
      </c>
      <c r="H12" s="8">
        <f t="shared" si="0"/>
        <v>6.3209999999999997</v>
      </c>
      <c r="I12" s="8">
        <f t="shared" si="1"/>
        <v>1919.056</v>
      </c>
    </row>
    <row r="13" spans="1:9" ht="30">
      <c r="A13" s="8">
        <v>8</v>
      </c>
      <c r="B13" s="239" t="s">
        <v>171</v>
      </c>
      <c r="C13" s="8">
        <v>16</v>
      </c>
      <c r="D13" s="8">
        <v>150</v>
      </c>
      <c r="E13" s="8" t="s">
        <v>165</v>
      </c>
      <c r="F13" s="233">
        <v>48.62</v>
      </c>
      <c r="G13" s="233">
        <f>2*20*F13</f>
        <v>1944.8</v>
      </c>
      <c r="H13" s="8">
        <f t="shared" si="0"/>
        <v>1.58</v>
      </c>
      <c r="I13" s="8">
        <f t="shared" si="1"/>
        <v>3072.7840000000001</v>
      </c>
    </row>
    <row r="14" spans="1:9" ht="20.100000000000001" customHeight="1">
      <c r="A14" s="8">
        <v>9</v>
      </c>
      <c r="B14" s="2" t="s">
        <v>172</v>
      </c>
      <c r="C14" s="6">
        <v>32</v>
      </c>
      <c r="D14" s="6">
        <v>90</v>
      </c>
      <c r="E14" s="6">
        <v>69</v>
      </c>
      <c r="F14" s="240">
        <f>(45560+1510+1510)/1000</f>
        <v>48.58</v>
      </c>
      <c r="G14" s="233">
        <f>69*F14</f>
        <v>3352.02</v>
      </c>
      <c r="H14" s="8">
        <f t="shared" si="0"/>
        <v>6.3209999999999997</v>
      </c>
      <c r="I14" s="8">
        <f t="shared" si="1"/>
        <v>21188.117999999999</v>
      </c>
    </row>
    <row r="15" spans="1:9" ht="20.100000000000001" customHeight="1">
      <c r="A15" s="8">
        <v>10</v>
      </c>
      <c r="B15" s="2" t="s">
        <v>173</v>
      </c>
      <c r="C15" s="6">
        <v>16</v>
      </c>
      <c r="D15" s="6">
        <v>150</v>
      </c>
      <c r="E15" s="6">
        <v>305</v>
      </c>
      <c r="F15" s="240">
        <f>9080/1000</f>
        <v>9.08</v>
      </c>
      <c r="G15" s="233">
        <f>F15*E15</f>
        <v>2769.4</v>
      </c>
      <c r="H15" s="8">
        <f t="shared" si="0"/>
        <v>1.58</v>
      </c>
      <c r="I15" s="8">
        <f t="shared" si="1"/>
        <v>4375.652</v>
      </c>
    </row>
    <row r="16" spans="1:9" ht="20.100000000000001" customHeight="1">
      <c r="A16" s="8">
        <v>11</v>
      </c>
      <c r="B16" s="2" t="s">
        <v>174</v>
      </c>
      <c r="C16" s="6">
        <v>32</v>
      </c>
      <c r="D16" s="6">
        <v>90</v>
      </c>
      <c r="E16" s="6">
        <v>69</v>
      </c>
      <c r="F16" s="240">
        <f>(45560+1510+1510)/1000</f>
        <v>48.58</v>
      </c>
      <c r="G16" s="233">
        <f>F16*E16</f>
        <v>3352.02</v>
      </c>
      <c r="H16" s="8">
        <f t="shared" si="0"/>
        <v>6.3209999999999997</v>
      </c>
      <c r="I16" s="8">
        <f t="shared" si="1"/>
        <v>21188.117999999999</v>
      </c>
    </row>
    <row r="17" spans="1:9" ht="20.100000000000001" customHeight="1">
      <c r="A17" s="8">
        <v>12</v>
      </c>
      <c r="B17" s="2" t="s">
        <v>175</v>
      </c>
      <c r="C17" s="6">
        <v>16</v>
      </c>
      <c r="D17" s="6">
        <v>150</v>
      </c>
      <c r="E17" s="6">
        <v>305</v>
      </c>
      <c r="F17" s="240">
        <f>9080/1000</f>
        <v>9.08</v>
      </c>
      <c r="G17" s="233">
        <f>F17*E17</f>
        <v>2769.4</v>
      </c>
      <c r="H17" s="8">
        <f t="shared" si="0"/>
        <v>1.58</v>
      </c>
      <c r="I17" s="8">
        <f t="shared" si="1"/>
        <v>4375.652</v>
      </c>
    </row>
    <row r="18" spans="1:9" ht="20.100000000000001" customHeight="1">
      <c r="A18" s="8">
        <v>13</v>
      </c>
      <c r="B18" s="2" t="s">
        <v>176</v>
      </c>
      <c r="C18" s="6">
        <v>20</v>
      </c>
      <c r="D18" s="293" t="s">
        <v>86</v>
      </c>
      <c r="E18" s="6" t="s">
        <v>177</v>
      </c>
      <c r="F18" s="240">
        <v>9.51</v>
      </c>
      <c r="G18" s="233">
        <f>3*60*F18</f>
        <v>1711.8</v>
      </c>
      <c r="H18" s="8">
        <f t="shared" si="0"/>
        <v>2.4689999999999999</v>
      </c>
      <c r="I18" s="8">
        <f t="shared" si="1"/>
        <v>4226.4340000000002</v>
      </c>
    </row>
    <row r="19" spans="1:9" ht="20.100000000000001" customHeight="1">
      <c r="A19" s="8">
        <v>14</v>
      </c>
      <c r="B19" s="2" t="s">
        <v>178</v>
      </c>
      <c r="C19" s="6">
        <v>12</v>
      </c>
      <c r="D19" s="6">
        <v>150</v>
      </c>
      <c r="E19" s="6" t="s">
        <v>179</v>
      </c>
      <c r="F19" s="240">
        <v>12.52</v>
      </c>
      <c r="G19" s="233">
        <f>3*64*F19</f>
        <v>2403.84</v>
      </c>
      <c r="H19" s="8">
        <f t="shared" si="0"/>
        <v>0.88900000000000001</v>
      </c>
      <c r="I19" s="8">
        <f t="shared" si="1"/>
        <v>2137.0140000000001</v>
      </c>
    </row>
    <row r="20" spans="1:9" ht="20.100000000000001" customHeight="1">
      <c r="A20" s="8">
        <v>15</v>
      </c>
      <c r="B20" s="2" t="s">
        <v>180</v>
      </c>
      <c r="C20" s="6">
        <v>25</v>
      </c>
      <c r="D20" s="6">
        <v>150</v>
      </c>
      <c r="E20" s="6" t="s">
        <v>181</v>
      </c>
      <c r="F20" s="240">
        <f>F18</f>
        <v>9.51</v>
      </c>
      <c r="G20" s="233">
        <f>2*2*35*F20</f>
        <v>1331.4</v>
      </c>
      <c r="H20" s="8">
        <f t="shared" si="0"/>
        <v>3.8580000000000001</v>
      </c>
      <c r="I20" s="8">
        <f t="shared" si="1"/>
        <v>5136.5410000000002</v>
      </c>
    </row>
    <row r="21" spans="1:9" ht="20.100000000000001" customHeight="1">
      <c r="A21" s="8">
        <v>16</v>
      </c>
      <c r="B21" s="2" t="s">
        <v>182</v>
      </c>
      <c r="C21" s="6">
        <v>16</v>
      </c>
      <c r="D21" s="6">
        <v>120</v>
      </c>
      <c r="E21" s="6" t="s">
        <v>183</v>
      </c>
      <c r="F21" s="240">
        <v>5.0599999999999996</v>
      </c>
      <c r="G21" s="233">
        <f>2*2*56*F21</f>
        <v>1133.44</v>
      </c>
      <c r="H21" s="8">
        <f t="shared" si="0"/>
        <v>1.58</v>
      </c>
      <c r="I21" s="8">
        <f t="shared" si="1"/>
        <v>1790.835</v>
      </c>
    </row>
    <row r="22" spans="1:9" ht="20.100000000000001" customHeight="1">
      <c r="A22" s="8">
        <v>17</v>
      </c>
      <c r="B22" s="2" t="s">
        <v>184</v>
      </c>
      <c r="C22" s="6">
        <v>25</v>
      </c>
      <c r="D22" s="6">
        <v>120</v>
      </c>
      <c r="E22" s="6" t="s">
        <v>185</v>
      </c>
      <c r="F22" s="240">
        <v>11.4</v>
      </c>
      <c r="G22" s="233">
        <f>4*44*F22</f>
        <v>2006.4</v>
      </c>
      <c r="H22" s="8">
        <f t="shared" si="0"/>
        <v>3.8580000000000001</v>
      </c>
      <c r="I22" s="8">
        <f t="shared" si="1"/>
        <v>7740.6909999999998</v>
      </c>
    </row>
    <row r="23" spans="1:9" ht="20.100000000000001" customHeight="1">
      <c r="A23" s="8">
        <v>18</v>
      </c>
      <c r="B23" s="2" t="s">
        <v>186</v>
      </c>
      <c r="C23" s="6">
        <v>12</v>
      </c>
      <c r="D23" s="6">
        <v>240</v>
      </c>
      <c r="E23" s="6" t="s">
        <v>187</v>
      </c>
      <c r="F23" s="240">
        <v>6.5</v>
      </c>
      <c r="G23" s="233">
        <f>4*43*F23</f>
        <v>1118</v>
      </c>
      <c r="H23" s="8">
        <f t="shared" si="0"/>
        <v>0.88900000000000001</v>
      </c>
      <c r="I23" s="8">
        <f t="shared" si="1"/>
        <v>993.90200000000004</v>
      </c>
    </row>
    <row r="24" spans="1:9" ht="20.100000000000001" customHeight="1">
      <c r="A24" s="8">
        <v>19</v>
      </c>
      <c r="B24" s="2" t="s">
        <v>184</v>
      </c>
      <c r="C24" s="6">
        <v>12</v>
      </c>
      <c r="D24" s="6">
        <v>240</v>
      </c>
      <c r="E24" s="6" t="s">
        <v>188</v>
      </c>
      <c r="F24" s="240">
        <v>11.4</v>
      </c>
      <c r="G24" s="233">
        <f>4*23*F24</f>
        <v>1048.8</v>
      </c>
      <c r="H24" s="8">
        <f t="shared" si="0"/>
        <v>0.88900000000000001</v>
      </c>
      <c r="I24" s="8">
        <f t="shared" si="1"/>
        <v>932.38300000000004</v>
      </c>
    </row>
    <row r="25" spans="1:9" ht="20.100000000000001" customHeight="1">
      <c r="A25" s="8">
        <v>20</v>
      </c>
      <c r="B25" s="2" t="s">
        <v>186</v>
      </c>
      <c r="C25" s="6">
        <v>12</v>
      </c>
      <c r="D25" s="6">
        <v>240</v>
      </c>
      <c r="E25" s="6" t="s">
        <v>187</v>
      </c>
      <c r="F25" s="240">
        <v>6.5</v>
      </c>
      <c r="G25" s="233">
        <f>4*43*F25</f>
        <v>1118</v>
      </c>
      <c r="H25" s="8">
        <f t="shared" si="0"/>
        <v>0.88900000000000001</v>
      </c>
      <c r="I25" s="8">
        <f t="shared" si="1"/>
        <v>993.90200000000004</v>
      </c>
    </row>
    <row r="26" spans="1:9" ht="20.100000000000001" customHeight="1">
      <c r="A26" s="8">
        <v>21</v>
      </c>
      <c r="B26" s="2" t="s">
        <v>189</v>
      </c>
      <c r="C26" s="6">
        <v>25</v>
      </c>
      <c r="D26" s="293" t="s">
        <v>86</v>
      </c>
      <c r="E26" s="6" t="s">
        <v>190</v>
      </c>
      <c r="F26" s="240">
        <v>10.3</v>
      </c>
      <c r="G26" s="233">
        <f>8*5*F26</f>
        <v>412</v>
      </c>
      <c r="H26" s="8">
        <f t="shared" si="0"/>
        <v>3.8580000000000001</v>
      </c>
      <c r="I26" s="8">
        <f t="shared" si="1"/>
        <v>1589.4960000000001</v>
      </c>
    </row>
    <row r="27" spans="1:9" ht="20.100000000000001" customHeight="1">
      <c r="A27" s="8">
        <v>22</v>
      </c>
      <c r="B27" s="2" t="s">
        <v>191</v>
      </c>
      <c r="C27" s="6">
        <v>10</v>
      </c>
      <c r="D27" s="6">
        <v>300</v>
      </c>
      <c r="E27" s="6" t="s">
        <v>192</v>
      </c>
      <c r="F27" s="240">
        <v>1.5</v>
      </c>
      <c r="G27" s="233">
        <f>8*35*F27</f>
        <v>420</v>
      </c>
      <c r="H27" s="8">
        <f t="shared" si="0"/>
        <v>0.61699999999999999</v>
      </c>
      <c r="I27" s="8">
        <f t="shared" si="1"/>
        <v>259.14</v>
      </c>
    </row>
    <row r="28" spans="1:9" ht="20.100000000000001" customHeight="1">
      <c r="A28" s="8">
        <v>23</v>
      </c>
      <c r="B28" s="2" t="s">
        <v>193</v>
      </c>
      <c r="C28" s="6">
        <v>10</v>
      </c>
      <c r="D28" s="6">
        <v>300</v>
      </c>
      <c r="E28" s="6" t="s">
        <v>194</v>
      </c>
      <c r="F28" s="240">
        <v>1</v>
      </c>
      <c r="G28" s="233">
        <f>8*40*4*F28</f>
        <v>1280</v>
      </c>
      <c r="H28" s="8">
        <f t="shared" si="0"/>
        <v>0.61699999999999999</v>
      </c>
      <c r="I28" s="8">
        <f t="shared" si="1"/>
        <v>789.76</v>
      </c>
    </row>
    <row r="29" spans="1:9" ht="20.100000000000001" customHeight="1">
      <c r="A29" s="8">
        <v>24</v>
      </c>
      <c r="B29" s="2" t="s">
        <v>195</v>
      </c>
      <c r="C29" s="6">
        <v>8</v>
      </c>
      <c r="D29" s="6">
        <v>300</v>
      </c>
      <c r="E29" s="6" t="s">
        <v>194</v>
      </c>
      <c r="F29" s="240">
        <v>1</v>
      </c>
      <c r="G29" s="233">
        <f>8*40*4*F29</f>
        <v>1280</v>
      </c>
      <c r="H29" s="8">
        <f t="shared" si="0"/>
        <v>0.39500000000000002</v>
      </c>
      <c r="I29" s="8">
        <f t="shared" si="1"/>
        <v>505.6</v>
      </c>
    </row>
    <row r="30" spans="1:9" ht="37.5" customHeight="1">
      <c r="A30" s="8">
        <v>25</v>
      </c>
      <c r="B30" s="239" t="s">
        <v>196</v>
      </c>
      <c r="C30" s="8">
        <v>12</v>
      </c>
      <c r="D30" s="8" t="s">
        <v>197</v>
      </c>
      <c r="E30" s="8" t="s">
        <v>198</v>
      </c>
      <c r="F30" s="233">
        <v>4.8099999999999996</v>
      </c>
      <c r="G30" s="233">
        <f>3*8*F30</f>
        <v>115.44</v>
      </c>
      <c r="H30" s="8">
        <f t="shared" si="0"/>
        <v>0.88900000000000001</v>
      </c>
      <c r="I30" s="8">
        <f t="shared" si="1"/>
        <v>102.626</v>
      </c>
    </row>
    <row r="31" spans="1:9" ht="41.25" customHeight="1">
      <c r="A31" s="8">
        <v>26</v>
      </c>
      <c r="B31" s="239" t="s">
        <v>199</v>
      </c>
      <c r="C31" s="8">
        <v>12</v>
      </c>
      <c r="D31" s="8" t="s">
        <v>197</v>
      </c>
      <c r="E31" s="8" t="s">
        <v>198</v>
      </c>
      <c r="F31" s="233">
        <v>4.8099999999999996</v>
      </c>
      <c r="G31" s="233">
        <f>3*8*F31</f>
        <v>115.44</v>
      </c>
      <c r="H31" s="8">
        <f t="shared" si="0"/>
        <v>0.88900000000000001</v>
      </c>
      <c r="I31" s="8">
        <f t="shared" si="1"/>
        <v>102.626</v>
      </c>
    </row>
    <row r="32" spans="1:9" ht="29.25" customHeight="1">
      <c r="A32" s="8">
        <v>27</v>
      </c>
      <c r="B32" s="239" t="s">
        <v>200</v>
      </c>
      <c r="C32" s="8">
        <v>10</v>
      </c>
      <c r="D32" s="8">
        <v>120</v>
      </c>
      <c r="E32" s="8" t="s">
        <v>201</v>
      </c>
      <c r="F32" s="233">
        <v>2.71</v>
      </c>
      <c r="G32" s="233">
        <f>3*37*F32</f>
        <v>300.81</v>
      </c>
      <c r="H32" s="8">
        <f t="shared" si="0"/>
        <v>0.61699999999999999</v>
      </c>
      <c r="I32" s="8">
        <f t="shared" si="1"/>
        <v>185.6</v>
      </c>
    </row>
    <row r="33" spans="1:9" ht="30.75" customHeight="1">
      <c r="A33" s="8">
        <v>28</v>
      </c>
      <c r="B33" s="241" t="s">
        <v>202</v>
      </c>
      <c r="C33" s="8">
        <v>12</v>
      </c>
      <c r="D33" s="292" t="s">
        <v>86</v>
      </c>
      <c r="E33" s="8" t="s">
        <v>203</v>
      </c>
      <c r="F33" s="233">
        <v>4.8099999999999996</v>
      </c>
      <c r="G33" s="233">
        <f>2*8*F33</f>
        <v>76.959999999999994</v>
      </c>
      <c r="H33" s="8">
        <f t="shared" si="0"/>
        <v>0.88900000000000001</v>
      </c>
      <c r="I33" s="8">
        <f t="shared" si="1"/>
        <v>68.417000000000002</v>
      </c>
    </row>
    <row r="34" spans="1:9" ht="36.75" customHeight="1">
      <c r="A34" s="8">
        <v>29</v>
      </c>
      <c r="B34" s="239" t="s">
        <v>204</v>
      </c>
      <c r="C34" s="8">
        <v>12</v>
      </c>
      <c r="D34" s="292" t="s">
        <v>86</v>
      </c>
      <c r="E34" s="8" t="s">
        <v>203</v>
      </c>
      <c r="F34" s="233">
        <v>4.8099999999999996</v>
      </c>
      <c r="G34" s="233">
        <f>2*8*F34</f>
        <v>76.959999999999994</v>
      </c>
      <c r="H34" s="8">
        <f t="shared" si="0"/>
        <v>0.88900000000000001</v>
      </c>
      <c r="I34" s="8">
        <f t="shared" si="1"/>
        <v>68.417000000000002</v>
      </c>
    </row>
    <row r="35" spans="1:9" ht="36" customHeight="1">
      <c r="A35" s="8">
        <v>30</v>
      </c>
      <c r="B35" s="239" t="s">
        <v>205</v>
      </c>
      <c r="C35" s="8">
        <v>10</v>
      </c>
      <c r="D35" s="8">
        <v>120</v>
      </c>
      <c r="E35" s="8" t="s">
        <v>206</v>
      </c>
      <c r="F35" s="233">
        <f>F32</f>
        <v>2.71</v>
      </c>
      <c r="G35" s="233">
        <f>2*37*F35</f>
        <v>200.54</v>
      </c>
      <c r="H35" s="8">
        <f t="shared" si="0"/>
        <v>0.61699999999999999</v>
      </c>
      <c r="I35" s="8">
        <f t="shared" si="1"/>
        <v>123.733</v>
      </c>
    </row>
    <row r="36" spans="1:9" ht="20.100000000000001" customHeight="1">
      <c r="A36" s="8">
        <v>31</v>
      </c>
      <c r="B36" s="239" t="s">
        <v>207</v>
      </c>
      <c r="C36" s="8">
        <v>10</v>
      </c>
      <c r="D36" s="8">
        <v>120</v>
      </c>
      <c r="E36" s="8" t="s">
        <v>208</v>
      </c>
      <c r="F36" s="233">
        <v>4.51</v>
      </c>
      <c r="G36" s="233">
        <f>2*2*7*F36</f>
        <v>126.28</v>
      </c>
      <c r="H36" s="8">
        <f t="shared" si="0"/>
        <v>0.61699999999999999</v>
      </c>
      <c r="I36" s="8">
        <f t="shared" si="1"/>
        <v>77.915000000000006</v>
      </c>
    </row>
    <row r="37" spans="1:9" ht="30">
      <c r="A37" s="8">
        <v>32</v>
      </c>
      <c r="B37" s="242" t="s">
        <v>209</v>
      </c>
      <c r="C37" s="8">
        <v>12</v>
      </c>
      <c r="D37" s="8">
        <v>300</v>
      </c>
      <c r="E37" s="8" t="s">
        <v>210</v>
      </c>
      <c r="F37" s="233">
        <v>1.6</v>
      </c>
      <c r="G37" s="233">
        <f>2*2*16*F37</f>
        <v>102.4</v>
      </c>
      <c r="H37" s="8">
        <f t="shared" si="0"/>
        <v>0.88900000000000001</v>
      </c>
      <c r="I37" s="8">
        <f t="shared" si="1"/>
        <v>91.034000000000006</v>
      </c>
    </row>
    <row r="38" spans="1:9" ht="30">
      <c r="A38" s="8">
        <v>33</v>
      </c>
      <c r="B38" s="241" t="s">
        <v>211</v>
      </c>
      <c r="C38" s="8">
        <v>12</v>
      </c>
      <c r="D38" s="8">
        <v>150</v>
      </c>
      <c r="E38" s="8" t="s">
        <v>212</v>
      </c>
      <c r="F38" s="233">
        <v>5.0999999999999996</v>
      </c>
      <c r="G38" s="233">
        <f>2*35*F38</f>
        <v>357</v>
      </c>
      <c r="H38" s="8">
        <f t="shared" si="0"/>
        <v>0.88900000000000001</v>
      </c>
      <c r="I38" s="8">
        <f t="shared" si="1"/>
        <v>317.37299999999999</v>
      </c>
    </row>
    <row r="39" spans="1:9" ht="30">
      <c r="A39" s="8">
        <v>34</v>
      </c>
      <c r="B39" s="241" t="s">
        <v>213</v>
      </c>
      <c r="C39" s="8">
        <v>12</v>
      </c>
      <c r="D39" s="8">
        <v>150</v>
      </c>
      <c r="E39" s="8" t="s">
        <v>214</v>
      </c>
      <c r="F39" s="233">
        <v>3.6</v>
      </c>
      <c r="G39" s="233">
        <f>2*25*F39</f>
        <v>180</v>
      </c>
      <c r="H39" s="8">
        <f t="shared" si="0"/>
        <v>0.88900000000000001</v>
      </c>
      <c r="I39" s="8">
        <f t="shared" si="1"/>
        <v>160.02000000000001</v>
      </c>
    </row>
    <row r="40" spans="1:9" ht="30">
      <c r="A40" s="8">
        <v>35</v>
      </c>
      <c r="B40" s="241" t="s">
        <v>215</v>
      </c>
      <c r="C40" s="8">
        <v>12</v>
      </c>
      <c r="D40" s="8">
        <v>150</v>
      </c>
      <c r="E40" s="8" t="s">
        <v>212</v>
      </c>
      <c r="F40" s="233">
        <v>5.0999999999999996</v>
      </c>
      <c r="G40" s="233">
        <f>2*35*F40</f>
        <v>357</v>
      </c>
      <c r="H40" s="8">
        <f t="shared" si="0"/>
        <v>0.88900000000000001</v>
      </c>
      <c r="I40" s="8">
        <f t="shared" si="1"/>
        <v>317.37299999999999</v>
      </c>
    </row>
    <row r="41" spans="1:9" ht="30">
      <c r="A41" s="8">
        <v>36</v>
      </c>
      <c r="B41" s="241" t="s">
        <v>216</v>
      </c>
      <c r="C41" s="8">
        <v>12</v>
      </c>
      <c r="D41" s="8">
        <v>150</v>
      </c>
      <c r="E41" s="8" t="s">
        <v>214</v>
      </c>
      <c r="F41" s="233">
        <v>3.6</v>
      </c>
      <c r="G41" s="233">
        <f>2*25*F41</f>
        <v>180</v>
      </c>
      <c r="H41" s="8">
        <f t="shared" si="0"/>
        <v>0.88900000000000001</v>
      </c>
      <c r="I41" s="8">
        <f t="shared" si="1"/>
        <v>160.02000000000001</v>
      </c>
    </row>
    <row r="42" spans="1:9">
      <c r="A42" s="8">
        <v>37</v>
      </c>
      <c r="B42" s="241" t="s">
        <v>217</v>
      </c>
      <c r="C42" s="8">
        <v>16</v>
      </c>
      <c r="D42" s="8">
        <v>120</v>
      </c>
      <c r="E42" s="8" t="s">
        <v>218</v>
      </c>
      <c r="F42" s="233">
        <v>5.46</v>
      </c>
      <c r="G42" s="233">
        <f>4*85*F42</f>
        <v>1856.4</v>
      </c>
      <c r="H42" s="8">
        <f t="shared" si="0"/>
        <v>1.58</v>
      </c>
      <c r="I42" s="8">
        <f t="shared" si="1"/>
        <v>2933.1120000000001</v>
      </c>
    </row>
    <row r="43" spans="1:9" ht="30">
      <c r="A43" s="8">
        <v>38</v>
      </c>
      <c r="B43" s="241" t="s">
        <v>219</v>
      </c>
      <c r="C43" s="8">
        <v>12</v>
      </c>
      <c r="D43" s="8">
        <v>300</v>
      </c>
      <c r="E43" s="8" t="s">
        <v>220</v>
      </c>
      <c r="F43" s="233">
        <v>10.6</v>
      </c>
      <c r="G43" s="233">
        <f>4*16*F43</f>
        <v>678.4</v>
      </c>
      <c r="H43" s="8">
        <f t="shared" si="0"/>
        <v>0.88900000000000001</v>
      </c>
      <c r="I43" s="8">
        <f t="shared" si="1"/>
        <v>603.09799999999996</v>
      </c>
    </row>
    <row r="44" spans="1:9" ht="20.100000000000001" customHeight="1">
      <c r="A44" s="8">
        <v>39</v>
      </c>
      <c r="B44" s="241" t="s">
        <v>221</v>
      </c>
      <c r="C44" s="8">
        <v>16</v>
      </c>
      <c r="D44" s="8">
        <v>220</v>
      </c>
      <c r="E44" s="8" t="s">
        <v>222</v>
      </c>
      <c r="F44" s="233">
        <v>5.46</v>
      </c>
      <c r="G44" s="233">
        <f>4*47*F44</f>
        <v>1026.48</v>
      </c>
      <c r="H44" s="8">
        <f t="shared" si="0"/>
        <v>1.58</v>
      </c>
      <c r="I44" s="8">
        <f t="shared" si="1"/>
        <v>1621.838</v>
      </c>
    </row>
    <row r="45" spans="1:9" ht="20.100000000000001" customHeight="1">
      <c r="A45" s="8">
        <v>40</v>
      </c>
      <c r="B45" s="241" t="s">
        <v>223</v>
      </c>
      <c r="C45" s="8">
        <v>12</v>
      </c>
      <c r="D45" s="8">
        <v>300</v>
      </c>
      <c r="E45" s="8" t="s">
        <v>220</v>
      </c>
      <c r="F45" s="233">
        <v>10.6</v>
      </c>
      <c r="G45" s="233">
        <f>4*16*F45</f>
        <v>678.4</v>
      </c>
      <c r="H45" s="8">
        <f t="shared" si="0"/>
        <v>0.88900000000000001</v>
      </c>
      <c r="I45" s="8">
        <f t="shared" si="1"/>
        <v>603.09799999999996</v>
      </c>
    </row>
    <row r="46" spans="1:9" ht="20.100000000000001" customHeight="1">
      <c r="A46" s="8">
        <v>41</v>
      </c>
      <c r="B46" s="241" t="s">
        <v>224</v>
      </c>
      <c r="C46" s="8">
        <v>20</v>
      </c>
      <c r="D46" s="8">
        <v>120</v>
      </c>
      <c r="E46" s="8" t="s">
        <v>218</v>
      </c>
      <c r="F46" s="233">
        <v>7</v>
      </c>
      <c r="G46" s="233">
        <f>4*85*F46</f>
        <v>2380</v>
      </c>
      <c r="H46" s="8">
        <f t="shared" si="0"/>
        <v>2.4689999999999999</v>
      </c>
      <c r="I46" s="8">
        <f t="shared" si="1"/>
        <v>5876.22</v>
      </c>
    </row>
    <row r="47" spans="1:9" ht="20.100000000000001" customHeight="1">
      <c r="A47" s="8">
        <v>42</v>
      </c>
      <c r="B47" s="241" t="s">
        <v>225</v>
      </c>
      <c r="C47" s="8">
        <v>12</v>
      </c>
      <c r="D47" s="8">
        <v>150</v>
      </c>
      <c r="E47" s="8" t="s">
        <v>226</v>
      </c>
      <c r="F47" s="233">
        <v>9.6</v>
      </c>
      <c r="G47" s="233">
        <f>4*35*F47</f>
        <v>1344</v>
      </c>
      <c r="H47" s="8">
        <f t="shared" si="0"/>
        <v>0.88900000000000001</v>
      </c>
      <c r="I47" s="8">
        <f t="shared" si="1"/>
        <v>1194.816</v>
      </c>
    </row>
    <row r="48" spans="1:9" ht="20.100000000000001" customHeight="1">
      <c r="A48" s="8">
        <v>43</v>
      </c>
      <c r="B48" s="241" t="s">
        <v>227</v>
      </c>
      <c r="C48" s="8">
        <v>12</v>
      </c>
      <c r="D48" s="8">
        <v>150</v>
      </c>
      <c r="E48" s="8" t="s">
        <v>228</v>
      </c>
      <c r="F48" s="233">
        <v>7</v>
      </c>
      <c r="G48" s="233">
        <f>4*68*F48</f>
        <v>1904</v>
      </c>
      <c r="H48" s="8">
        <f t="shared" si="0"/>
        <v>0.88900000000000001</v>
      </c>
      <c r="I48" s="8">
        <f t="shared" si="1"/>
        <v>1692.6559999999999</v>
      </c>
    </row>
    <row r="49" spans="1:9" ht="20.100000000000001" customHeight="1">
      <c r="A49" s="8">
        <v>44</v>
      </c>
      <c r="B49" s="241" t="s">
        <v>229</v>
      </c>
      <c r="C49" s="8">
        <v>12</v>
      </c>
      <c r="D49" s="8">
        <v>150</v>
      </c>
      <c r="E49" s="8" t="s">
        <v>226</v>
      </c>
      <c r="F49" s="233">
        <v>9.6</v>
      </c>
      <c r="G49" s="8">
        <f>4*35*F49</f>
        <v>1344</v>
      </c>
      <c r="H49" s="8">
        <f t="shared" si="0"/>
        <v>0.88900000000000001</v>
      </c>
      <c r="I49" s="8">
        <f t="shared" si="1"/>
        <v>1194.816</v>
      </c>
    </row>
    <row r="50" spans="1:9">
      <c r="A50" s="8"/>
      <c r="B50" s="241"/>
      <c r="C50" s="8"/>
      <c r="D50" s="8"/>
      <c r="E50" s="8"/>
      <c r="F50" s="233"/>
      <c r="G50" s="8"/>
      <c r="H50" s="8" t="s">
        <v>230</v>
      </c>
      <c r="I50" s="8">
        <f>SUM(I6:I49)</f>
        <v>110305.822</v>
      </c>
    </row>
    <row r="51" spans="1:9">
      <c r="A51" s="8"/>
      <c r="B51" s="2"/>
      <c r="C51" s="8"/>
      <c r="D51" s="8"/>
      <c r="E51" s="8"/>
      <c r="F51" s="8"/>
      <c r="G51" s="8"/>
      <c r="H51" s="8" t="s">
        <v>231</v>
      </c>
      <c r="I51" s="243">
        <v>111000</v>
      </c>
    </row>
    <row r="52" spans="1:9">
      <c r="A52" s="8"/>
      <c r="B52" s="2"/>
      <c r="C52" s="6"/>
      <c r="D52" s="6"/>
      <c r="E52" s="6"/>
      <c r="F52" s="6"/>
      <c r="G52" s="6"/>
      <c r="H52" s="6"/>
      <c r="I52" s="6"/>
    </row>
    <row r="53" spans="1:9">
      <c r="A53" s="8"/>
      <c r="B53" s="2"/>
      <c r="C53" s="6"/>
      <c r="D53" s="6"/>
      <c r="E53" s="6"/>
      <c r="F53" s="6"/>
      <c r="G53" s="6"/>
      <c r="H53" s="6"/>
      <c r="I53" s="6"/>
    </row>
    <row r="54" spans="1:9">
      <c r="A54" s="8"/>
      <c r="B54" s="2"/>
      <c r="C54" s="6"/>
      <c r="D54" s="6"/>
      <c r="E54" s="6"/>
      <c r="F54" s="6"/>
      <c r="G54" s="6"/>
      <c r="H54" s="6"/>
      <c r="I54" s="6"/>
    </row>
    <row r="55" spans="1:9">
      <c r="A55" s="8"/>
      <c r="B55" s="2"/>
      <c r="C55" s="6"/>
      <c r="D55" s="6"/>
      <c r="E55" s="6"/>
      <c r="F55" s="6"/>
      <c r="G55" s="6"/>
      <c r="H55" s="6"/>
      <c r="I55" s="6"/>
    </row>
    <row r="56" spans="1:9">
      <c r="A56" s="8"/>
      <c r="B56" s="2"/>
      <c r="C56" s="6"/>
      <c r="D56" s="6"/>
      <c r="E56" s="6"/>
      <c r="F56" s="6"/>
      <c r="G56" s="6"/>
      <c r="H56" s="6"/>
      <c r="I56" s="6"/>
    </row>
    <row r="57" spans="1:9">
      <c r="B57" s="2"/>
      <c r="C57" s="6"/>
      <c r="D57" s="6"/>
      <c r="E57" s="6"/>
      <c r="F57" s="6"/>
      <c r="G57" s="6"/>
      <c r="H57" s="6"/>
      <c r="I57" s="6"/>
    </row>
    <row r="58" spans="1:9">
      <c r="B58" s="2"/>
      <c r="C58" s="6"/>
      <c r="D58" s="6"/>
      <c r="E58" s="6"/>
      <c r="F58" s="6"/>
      <c r="G58" s="6"/>
      <c r="H58" s="6"/>
      <c r="I58" s="6"/>
    </row>
    <row r="59" spans="1:9">
      <c r="B59" s="2"/>
      <c r="C59" s="6"/>
      <c r="D59" s="6"/>
      <c r="E59" s="6"/>
      <c r="F59" s="6"/>
      <c r="G59" s="6"/>
      <c r="H59" s="6"/>
      <c r="I59" s="6"/>
    </row>
    <row r="60" spans="1:9">
      <c r="B60" s="2"/>
      <c r="C60" s="6"/>
      <c r="D60" s="6"/>
      <c r="E60" s="6"/>
      <c r="F60" s="6"/>
      <c r="G60" s="6"/>
      <c r="H60" s="6"/>
      <c r="I60" s="6"/>
    </row>
    <row r="61" spans="1:9">
      <c r="B61" s="2"/>
      <c r="C61" s="6"/>
      <c r="D61" s="6"/>
      <c r="E61" s="6"/>
      <c r="F61" s="6"/>
      <c r="G61" s="6"/>
      <c r="H61" s="6"/>
      <c r="I61" s="6"/>
    </row>
    <row r="62" spans="1:9">
      <c r="B62" s="2"/>
      <c r="C62" s="6"/>
      <c r="D62" s="6"/>
      <c r="E62" s="6"/>
      <c r="F62" s="6"/>
      <c r="G62" s="6"/>
      <c r="H62" s="6"/>
      <c r="I62" s="6"/>
    </row>
    <row r="63" spans="1:9">
      <c r="B63" s="2"/>
      <c r="C63" s="6"/>
      <c r="D63" s="6"/>
      <c r="E63" s="6"/>
      <c r="F63" s="6"/>
      <c r="G63" s="6"/>
      <c r="H63" s="6"/>
      <c r="I63" s="6"/>
    </row>
    <row r="64" spans="1:9">
      <c r="B64" s="2"/>
      <c r="C64" s="6"/>
      <c r="D64" s="6"/>
      <c r="E64" s="6"/>
      <c r="F64" s="6"/>
      <c r="G64" s="6"/>
      <c r="H64" s="6"/>
      <c r="I64" s="6"/>
    </row>
    <row r="65" spans="2:9">
      <c r="B65" s="2"/>
      <c r="C65" s="6"/>
      <c r="D65" s="6"/>
      <c r="E65" s="6"/>
      <c r="F65" s="6"/>
      <c r="G65" s="6"/>
      <c r="H65" s="6"/>
      <c r="I65" s="6"/>
    </row>
    <row r="66" spans="2:9">
      <c r="B66" s="2"/>
      <c r="C66" s="6"/>
      <c r="D66" s="6"/>
      <c r="E66" s="6"/>
      <c r="F66" s="6"/>
      <c r="G66" s="6"/>
      <c r="H66" s="6"/>
      <c r="I66" s="6"/>
    </row>
    <row r="67" spans="2:9">
      <c r="B67" s="2"/>
      <c r="C67" s="6"/>
      <c r="D67" s="6"/>
      <c r="E67" s="6"/>
      <c r="F67" s="6"/>
      <c r="G67" s="6"/>
      <c r="H67" s="6"/>
      <c r="I67" s="6"/>
    </row>
    <row r="68" spans="2:9">
      <c r="B68" s="2"/>
      <c r="C68" s="6"/>
      <c r="D68" s="6"/>
      <c r="E68" s="6"/>
      <c r="F68" s="6"/>
      <c r="G68" s="6"/>
      <c r="H68" s="6"/>
      <c r="I68" s="6"/>
    </row>
    <row r="69" spans="2:9">
      <c r="B69" s="2"/>
      <c r="C69" s="6"/>
      <c r="D69" s="6"/>
      <c r="E69" s="6"/>
      <c r="F69" s="6"/>
      <c r="G69" s="6"/>
      <c r="H69" s="6"/>
      <c r="I69" s="6"/>
    </row>
    <row r="70" spans="2:9">
      <c r="B70" s="2"/>
      <c r="C70" s="6"/>
      <c r="D70" s="6"/>
      <c r="E70" s="6"/>
      <c r="F70" s="6"/>
      <c r="G70" s="6"/>
      <c r="H70" s="6"/>
      <c r="I70" s="6"/>
    </row>
    <row r="71" spans="2:9">
      <c r="B71" s="2"/>
      <c r="C71" s="6"/>
      <c r="D71" s="6"/>
      <c r="E71" s="6"/>
      <c r="F71" s="6"/>
      <c r="G71" s="6"/>
      <c r="H71" s="6"/>
      <c r="I71" s="6"/>
    </row>
    <row r="72" spans="2:9">
      <c r="B72" s="2"/>
      <c r="C72" s="6"/>
      <c r="D72" s="6"/>
      <c r="E72" s="6"/>
      <c r="F72" s="6"/>
      <c r="G72" s="6"/>
      <c r="H72" s="6"/>
      <c r="I72" s="6"/>
    </row>
    <row r="73" spans="2:9">
      <c r="B73" s="2"/>
      <c r="C73" s="6"/>
      <c r="D73" s="6"/>
      <c r="E73" s="6"/>
      <c r="F73" s="6"/>
      <c r="G73" s="6"/>
      <c r="H73" s="6"/>
      <c r="I73" s="6"/>
    </row>
    <row r="74" spans="2:9">
      <c r="B74" s="2"/>
      <c r="C74" s="6"/>
      <c r="D74" s="6"/>
      <c r="E74" s="6"/>
      <c r="F74" s="6"/>
      <c r="G74" s="6"/>
      <c r="H74" s="6"/>
      <c r="I74" s="6"/>
    </row>
    <row r="75" spans="2:9">
      <c r="B75" s="2"/>
      <c r="C75" s="6"/>
      <c r="D75" s="6"/>
      <c r="E75" s="6"/>
      <c r="F75" s="6"/>
      <c r="G75" s="6"/>
      <c r="H75" s="6"/>
      <c r="I75" s="6"/>
    </row>
    <row r="76" spans="2:9">
      <c r="B76" s="2"/>
      <c r="C76" s="6"/>
      <c r="D76" s="6"/>
      <c r="E76" s="6"/>
      <c r="F76" s="6"/>
      <c r="G76" s="6"/>
      <c r="H76" s="6"/>
      <c r="I76" s="6"/>
    </row>
    <row r="77" spans="2:9">
      <c r="B77" s="2"/>
      <c r="C77" s="6"/>
      <c r="D77" s="6"/>
      <c r="E77" s="6"/>
      <c r="F77" s="6"/>
      <c r="G77" s="6"/>
      <c r="H77" s="6"/>
      <c r="I77" s="6"/>
    </row>
    <row r="78" spans="2:9">
      <c r="B78" s="2"/>
      <c r="C78" s="6"/>
      <c r="D78" s="6"/>
      <c r="E78" s="6"/>
      <c r="F78" s="6"/>
      <c r="G78" s="6"/>
      <c r="H78" s="6"/>
      <c r="I78" s="6"/>
    </row>
    <row r="79" spans="2:9">
      <c r="C79" s="6"/>
      <c r="D79" s="6"/>
      <c r="E79" s="6"/>
      <c r="F79" s="6"/>
      <c r="G79" s="6"/>
      <c r="H79" s="6"/>
      <c r="I79" s="6"/>
    </row>
    <row r="80" spans="2:9">
      <c r="C80" s="6"/>
      <c r="D80" s="6"/>
      <c r="E80" s="6"/>
      <c r="F80" s="6"/>
      <c r="G80" s="6"/>
      <c r="H80" s="6"/>
      <c r="I80" s="6"/>
    </row>
    <row r="81" spans="3:9">
      <c r="C81" s="6"/>
      <c r="D81" s="6"/>
      <c r="E81" s="6"/>
      <c r="F81" s="6"/>
      <c r="G81" s="6"/>
      <c r="H81" s="6"/>
      <c r="I81" s="6"/>
    </row>
    <row r="82" spans="3:9">
      <c r="C82" s="6"/>
      <c r="D82" s="6"/>
      <c r="E82" s="6"/>
      <c r="F82" s="6"/>
      <c r="G82" s="6"/>
      <c r="H82" s="6"/>
      <c r="I82" s="6"/>
    </row>
    <row r="83" spans="3:9">
      <c r="C83" s="6"/>
      <c r="D83" s="6"/>
      <c r="E83" s="6"/>
      <c r="F83" s="6"/>
      <c r="G83" s="6"/>
      <c r="H83" s="6"/>
      <c r="I83" s="6"/>
    </row>
    <row r="84" spans="3:9">
      <c r="C84" s="6"/>
      <c r="D84" s="6"/>
      <c r="E84" s="6"/>
      <c r="F84" s="6"/>
      <c r="G84" s="6"/>
      <c r="H84" s="6"/>
      <c r="I84" s="6"/>
    </row>
    <row r="85" spans="3:9">
      <c r="C85" s="6"/>
      <c r="D85" s="6"/>
      <c r="E85" s="6"/>
      <c r="F85" s="6"/>
      <c r="G85" s="6"/>
      <c r="H85" s="6"/>
      <c r="I85" s="6"/>
    </row>
    <row r="86" spans="3:9">
      <c r="C86" s="6"/>
      <c r="D86" s="6"/>
      <c r="E86" s="6"/>
      <c r="F86" s="6"/>
      <c r="G86" s="6"/>
      <c r="H86" s="6"/>
      <c r="I86" s="6"/>
    </row>
    <row r="87" spans="3:9">
      <c r="C87" s="6"/>
      <c r="D87" s="6"/>
      <c r="E87" s="6"/>
      <c r="F87" s="6"/>
      <c r="G87" s="6"/>
      <c r="H87" s="6"/>
      <c r="I87" s="6"/>
    </row>
    <row r="88" spans="3:9">
      <c r="C88" s="6"/>
      <c r="D88" s="6"/>
      <c r="E88" s="6"/>
      <c r="F88" s="6"/>
      <c r="G88" s="6"/>
      <c r="H88" s="6"/>
      <c r="I88" s="6"/>
    </row>
    <row r="89" spans="3:9">
      <c r="C89" s="6"/>
      <c r="D89" s="6"/>
      <c r="E89" s="6"/>
      <c r="F89" s="6"/>
      <c r="G89" s="6"/>
      <c r="H89" s="6"/>
      <c r="I89" s="6"/>
    </row>
    <row r="90" spans="3:9">
      <c r="C90" s="6"/>
      <c r="D90" s="6"/>
      <c r="E90" s="6"/>
      <c r="F90" s="6"/>
      <c r="G90" s="6"/>
      <c r="H90" s="6"/>
      <c r="I90" s="6"/>
    </row>
    <row r="91" spans="3:9">
      <c r="C91" s="6"/>
      <c r="D91" s="6"/>
      <c r="E91" s="6"/>
      <c r="F91" s="6"/>
      <c r="G91" s="6"/>
      <c r="H91" s="6"/>
      <c r="I91" s="6"/>
    </row>
    <row r="92" spans="3:9">
      <c r="C92" s="6"/>
      <c r="D92" s="6"/>
      <c r="E92" s="6"/>
      <c r="F92" s="6"/>
      <c r="G92" s="6"/>
      <c r="H92" s="6"/>
      <c r="I92" s="6"/>
    </row>
    <row r="93" spans="3:9">
      <c r="C93" s="6"/>
      <c r="D93" s="6"/>
      <c r="E93" s="6"/>
      <c r="F93" s="6"/>
      <c r="G93" s="6"/>
      <c r="H93" s="6"/>
      <c r="I93" s="6"/>
    </row>
    <row r="94" spans="3:9">
      <c r="C94" s="6"/>
      <c r="D94" s="6"/>
      <c r="E94" s="6"/>
      <c r="F94" s="6"/>
      <c r="G94" s="6"/>
      <c r="H94" s="6"/>
      <c r="I94" s="6"/>
    </row>
    <row r="95" spans="3:9">
      <c r="C95" s="6"/>
      <c r="D95" s="6"/>
      <c r="E95" s="6"/>
      <c r="F95" s="6"/>
      <c r="G95" s="6"/>
      <c r="H95" s="6"/>
      <c r="I95" s="6"/>
    </row>
    <row r="96" spans="3:9">
      <c r="C96" s="6"/>
      <c r="D96" s="6"/>
      <c r="E96" s="6"/>
      <c r="F96" s="6"/>
      <c r="G96" s="6"/>
      <c r="H96" s="6"/>
      <c r="I96" s="6"/>
    </row>
    <row r="97" spans="3:9">
      <c r="C97" s="6"/>
      <c r="D97" s="6"/>
      <c r="E97" s="6"/>
      <c r="F97" s="6"/>
      <c r="G97" s="6"/>
      <c r="H97" s="6"/>
      <c r="I97" s="6"/>
    </row>
    <row r="98" spans="3:9">
      <c r="C98" s="6"/>
      <c r="D98" s="6"/>
      <c r="E98" s="6"/>
      <c r="F98" s="6"/>
      <c r="G98" s="6"/>
      <c r="H98" s="6"/>
      <c r="I98" s="6"/>
    </row>
    <row r="99" spans="3:9">
      <c r="C99" s="6"/>
      <c r="D99" s="6"/>
      <c r="E99" s="6"/>
      <c r="F99" s="6"/>
      <c r="G99" s="6"/>
      <c r="H99" s="6"/>
      <c r="I99" s="6"/>
    </row>
  </sheetData>
  <mergeCells count="2">
    <mergeCell ref="A2:I2"/>
    <mergeCell ref="A3:I3"/>
  </mergeCells>
  <printOptions gridLines="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00B050"/>
  </sheetPr>
  <dimension ref="A1:J108"/>
  <sheetViews>
    <sheetView zoomScale="80" zoomScaleNormal="80" workbookViewId="0">
      <selection activeCell="P16" sqref="P16"/>
    </sheetView>
  </sheetViews>
  <sheetFormatPr defaultRowHeight="16.5"/>
  <cols>
    <col min="1" max="1" width="6.85546875" style="300" customWidth="1"/>
    <col min="2" max="2" width="14.5703125" style="300" customWidth="1"/>
    <col min="3" max="3" width="7.5703125" style="300" customWidth="1"/>
    <col min="4" max="4" width="11.140625" style="300" customWidth="1"/>
    <col min="5" max="5" width="13.140625" style="300" customWidth="1"/>
    <col min="6" max="6" width="15" style="300" customWidth="1"/>
    <col min="7" max="7" width="13.7109375" style="300" customWidth="1"/>
    <col min="8" max="16384" width="9.140625" style="300"/>
  </cols>
  <sheetData>
    <row r="1" spans="1:8" ht="48.75" customHeight="1">
      <c r="A1" s="608" t="str">
        <f>Absrtact!A2</f>
        <v>Name of the Work : Formation of New Channel with CC lining in Godavari Delta System</v>
      </c>
      <c r="B1" s="608"/>
      <c r="C1" s="608"/>
      <c r="D1" s="608"/>
      <c r="E1" s="608"/>
      <c r="F1" s="608"/>
      <c r="G1" s="608"/>
    </row>
    <row r="2" spans="1:8" ht="27" customHeight="1">
      <c r="A2" s="609" t="s">
        <v>716</v>
      </c>
      <c r="B2" s="609"/>
      <c r="C2" s="609"/>
      <c r="D2" s="609"/>
      <c r="E2" s="609"/>
      <c r="F2" s="609"/>
      <c r="G2" s="609"/>
    </row>
    <row r="3" spans="1:8" ht="33">
      <c r="A3" s="301" t="s">
        <v>234</v>
      </c>
      <c r="B3" s="301" t="s">
        <v>711</v>
      </c>
      <c r="C3" s="301" t="s">
        <v>108</v>
      </c>
      <c r="D3" s="301" t="s">
        <v>712</v>
      </c>
      <c r="E3" s="301" t="s">
        <v>713</v>
      </c>
      <c r="F3" s="301" t="s">
        <v>714</v>
      </c>
      <c r="G3" s="301" t="s">
        <v>715</v>
      </c>
    </row>
    <row r="4" spans="1:8">
      <c r="A4" s="468"/>
      <c r="B4" s="479" t="s">
        <v>902</v>
      </c>
      <c r="C4" s="361"/>
      <c r="D4" s="361"/>
      <c r="E4" s="361"/>
      <c r="F4" s="361"/>
      <c r="G4" s="361"/>
    </row>
    <row r="5" spans="1:8">
      <c r="A5" s="468"/>
      <c r="B5" s="479"/>
      <c r="C5" s="361"/>
      <c r="D5" s="361"/>
      <c r="E5" s="361"/>
      <c r="F5" s="361"/>
      <c r="G5" s="361"/>
    </row>
    <row r="6" spans="1:8" ht="17.25">
      <c r="A6" s="468">
        <v>1</v>
      </c>
      <c r="B6" s="478">
        <v>3.3</v>
      </c>
      <c r="C6" s="469" t="s">
        <v>903</v>
      </c>
      <c r="D6" s="482" t="s">
        <v>86</v>
      </c>
      <c r="E6" s="478">
        <v>3.7570000000000001</v>
      </c>
      <c r="F6" s="482" t="s">
        <v>86</v>
      </c>
      <c r="G6" s="482" t="s">
        <v>86</v>
      </c>
      <c r="H6" s="532"/>
    </row>
    <row r="7" spans="1:8" ht="17.25">
      <c r="A7" s="468">
        <v>2</v>
      </c>
      <c r="B7" s="478">
        <v>3.5</v>
      </c>
      <c r="C7" s="469" t="s">
        <v>903</v>
      </c>
      <c r="D7" s="480">
        <f>(B7-B6)*1000</f>
        <v>200.00000000000017</v>
      </c>
      <c r="E7" s="478">
        <v>4.6589999999999998</v>
      </c>
      <c r="F7" s="478">
        <f>ROUND((E6+E7)/2,3)</f>
        <v>4.2080000000000002</v>
      </c>
      <c r="G7" s="483">
        <f>ROUND(F7*D7,3)</f>
        <v>841.6</v>
      </c>
      <c r="H7" s="532"/>
    </row>
    <row r="8" spans="1:8" ht="17.25">
      <c r="A8" s="470">
        <v>3</v>
      </c>
      <c r="B8" s="478">
        <v>3.7</v>
      </c>
      <c r="C8" s="469" t="s">
        <v>903</v>
      </c>
      <c r="D8" s="480">
        <f t="shared" ref="D8:D20" si="0">(B8-B7)*1000</f>
        <v>200.00000000000017</v>
      </c>
      <c r="E8" s="478">
        <v>5.9169999999999998</v>
      </c>
      <c r="F8" s="478">
        <f t="shared" ref="F8:F20" si="1">ROUND((E7+E8)/2,3)</f>
        <v>5.2880000000000003</v>
      </c>
      <c r="G8" s="483">
        <f t="shared" ref="G8:G20" si="2">ROUND(F8*D8,3)</f>
        <v>1057.5999999999999</v>
      </c>
      <c r="H8" s="532"/>
    </row>
    <row r="9" spans="1:8" ht="17.25">
      <c r="A9" s="470">
        <v>4</v>
      </c>
      <c r="B9" s="478">
        <v>3.9</v>
      </c>
      <c r="C9" s="469" t="s">
        <v>903</v>
      </c>
      <c r="D9" s="480">
        <f t="shared" si="0"/>
        <v>199.99999999999974</v>
      </c>
      <c r="E9" s="478">
        <v>8.3460000000000001</v>
      </c>
      <c r="F9" s="478">
        <f t="shared" si="1"/>
        <v>7.1319999999999997</v>
      </c>
      <c r="G9" s="483">
        <f t="shared" si="2"/>
        <v>1426.4</v>
      </c>
      <c r="H9" s="532"/>
    </row>
    <row r="10" spans="1:8" ht="17.25">
      <c r="A10" s="470">
        <v>5</v>
      </c>
      <c r="B10" s="478">
        <v>4.0999999999999996</v>
      </c>
      <c r="C10" s="469" t="s">
        <v>903</v>
      </c>
      <c r="D10" s="480">
        <f t="shared" si="0"/>
        <v>199.99999999999974</v>
      </c>
      <c r="E10" s="478">
        <v>11.487</v>
      </c>
      <c r="F10" s="478">
        <f t="shared" si="1"/>
        <v>9.9169999999999998</v>
      </c>
      <c r="G10" s="483">
        <f t="shared" si="2"/>
        <v>1983.4</v>
      </c>
      <c r="H10" s="532"/>
    </row>
    <row r="11" spans="1:8" ht="17.25">
      <c r="A11" s="470">
        <v>6</v>
      </c>
      <c r="B11" s="478">
        <v>4.3</v>
      </c>
      <c r="C11" s="469" t="s">
        <v>903</v>
      </c>
      <c r="D11" s="480">
        <f t="shared" si="0"/>
        <v>200.00000000000017</v>
      </c>
      <c r="E11" s="478">
        <v>11.911</v>
      </c>
      <c r="F11" s="478">
        <f t="shared" si="1"/>
        <v>11.699</v>
      </c>
      <c r="G11" s="483">
        <f t="shared" si="2"/>
        <v>2339.8000000000002</v>
      </c>
      <c r="H11" s="532"/>
    </row>
    <row r="12" spans="1:8" ht="17.25">
      <c r="A12" s="470">
        <v>7</v>
      </c>
      <c r="B12" s="478">
        <v>4.5</v>
      </c>
      <c r="C12" s="469" t="s">
        <v>903</v>
      </c>
      <c r="D12" s="480">
        <f t="shared" si="0"/>
        <v>200.00000000000017</v>
      </c>
      <c r="E12" s="478">
        <v>13.286</v>
      </c>
      <c r="F12" s="478">
        <f t="shared" si="1"/>
        <v>12.599</v>
      </c>
      <c r="G12" s="483">
        <f t="shared" si="2"/>
        <v>2519.8000000000002</v>
      </c>
      <c r="H12" s="532"/>
    </row>
    <row r="13" spans="1:8" ht="17.25">
      <c r="A13" s="470">
        <v>8</v>
      </c>
      <c r="B13" s="478">
        <v>4.7</v>
      </c>
      <c r="C13" s="469" t="s">
        <v>903</v>
      </c>
      <c r="D13" s="480">
        <f t="shared" si="0"/>
        <v>200.00000000000017</v>
      </c>
      <c r="E13" s="478">
        <v>10.167999999999999</v>
      </c>
      <c r="F13" s="478">
        <f t="shared" si="1"/>
        <v>11.727</v>
      </c>
      <c r="G13" s="483">
        <f t="shared" si="2"/>
        <v>2345.4</v>
      </c>
      <c r="H13" s="532"/>
    </row>
    <row r="14" spans="1:8" ht="17.25">
      <c r="A14" s="470">
        <v>9</v>
      </c>
      <c r="B14" s="478">
        <v>4.9000000000000004</v>
      </c>
      <c r="C14" s="469" t="s">
        <v>903</v>
      </c>
      <c r="D14" s="480">
        <f t="shared" si="0"/>
        <v>200.00000000000017</v>
      </c>
      <c r="E14" s="478">
        <v>12.875</v>
      </c>
      <c r="F14" s="478">
        <f t="shared" si="1"/>
        <v>11.522</v>
      </c>
      <c r="G14" s="483">
        <f t="shared" si="2"/>
        <v>2304.4</v>
      </c>
      <c r="H14" s="532"/>
    </row>
    <row r="15" spans="1:8" ht="17.25">
      <c r="A15" s="470">
        <v>10</v>
      </c>
      <c r="B15" s="478">
        <v>5.0999999999999996</v>
      </c>
      <c r="C15" s="469" t="s">
        <v>903</v>
      </c>
      <c r="D15" s="480">
        <f t="shared" si="0"/>
        <v>199.99999999999929</v>
      </c>
      <c r="E15" s="478">
        <v>12.516999999999999</v>
      </c>
      <c r="F15" s="478">
        <f t="shared" si="1"/>
        <v>12.696</v>
      </c>
      <c r="G15" s="483">
        <f t="shared" si="2"/>
        <v>2539.1999999999998</v>
      </c>
      <c r="H15" s="532"/>
    </row>
    <row r="16" spans="1:8" ht="17.25">
      <c r="A16" s="470">
        <v>11</v>
      </c>
      <c r="B16" s="478">
        <v>5.3</v>
      </c>
      <c r="C16" s="469" t="s">
        <v>903</v>
      </c>
      <c r="D16" s="480">
        <f t="shared" si="0"/>
        <v>200.00000000000017</v>
      </c>
      <c r="E16" s="478">
        <v>12.25</v>
      </c>
      <c r="F16" s="478">
        <f t="shared" si="1"/>
        <v>12.384</v>
      </c>
      <c r="G16" s="483">
        <f t="shared" si="2"/>
        <v>2476.8000000000002</v>
      </c>
      <c r="H16" s="532"/>
    </row>
    <row r="17" spans="1:10" ht="17.25">
      <c r="A17" s="470">
        <v>12</v>
      </c>
      <c r="B17" s="478">
        <v>5.5</v>
      </c>
      <c r="C17" s="469" t="s">
        <v>903</v>
      </c>
      <c r="D17" s="480">
        <f t="shared" si="0"/>
        <v>200.00000000000017</v>
      </c>
      <c r="E17" s="478">
        <v>12.366</v>
      </c>
      <c r="F17" s="478">
        <f t="shared" si="1"/>
        <v>12.308</v>
      </c>
      <c r="G17" s="483">
        <f t="shared" si="2"/>
        <v>2461.6</v>
      </c>
      <c r="H17" s="532"/>
    </row>
    <row r="18" spans="1:10" ht="17.25">
      <c r="A18" s="470">
        <v>13</v>
      </c>
      <c r="B18" s="478">
        <v>5.7</v>
      </c>
      <c r="C18" s="469" t="s">
        <v>903</v>
      </c>
      <c r="D18" s="480">
        <f t="shared" si="0"/>
        <v>200.00000000000017</v>
      </c>
      <c r="E18" s="478">
        <v>12.545</v>
      </c>
      <c r="F18" s="478">
        <f t="shared" si="1"/>
        <v>12.456</v>
      </c>
      <c r="G18" s="483">
        <f t="shared" si="2"/>
        <v>2491.1999999999998</v>
      </c>
      <c r="H18" s="532"/>
    </row>
    <row r="19" spans="1:10" ht="17.25">
      <c r="A19" s="470">
        <v>14</v>
      </c>
      <c r="B19" s="478">
        <v>5.9</v>
      </c>
      <c r="C19" s="469" t="s">
        <v>903</v>
      </c>
      <c r="D19" s="480">
        <f t="shared" si="0"/>
        <v>200.00000000000017</v>
      </c>
      <c r="E19" s="478">
        <v>12.148999999999999</v>
      </c>
      <c r="F19" s="478">
        <f t="shared" si="1"/>
        <v>12.347</v>
      </c>
      <c r="G19" s="483">
        <f t="shared" si="2"/>
        <v>2469.4</v>
      </c>
      <c r="H19" s="532"/>
    </row>
    <row r="20" spans="1:10" ht="17.25">
      <c r="A20" s="470">
        <v>15</v>
      </c>
      <c r="B20" s="478">
        <v>6.1</v>
      </c>
      <c r="C20" s="469" t="s">
        <v>903</v>
      </c>
      <c r="D20" s="480">
        <f t="shared" si="0"/>
        <v>199.99999999999929</v>
      </c>
      <c r="E20" s="478">
        <v>11.535</v>
      </c>
      <c r="F20" s="478">
        <f t="shared" si="1"/>
        <v>11.842000000000001</v>
      </c>
      <c r="G20" s="483">
        <f t="shared" si="2"/>
        <v>2368.4</v>
      </c>
      <c r="H20" s="532"/>
    </row>
    <row r="21" spans="1:10" ht="33">
      <c r="A21" s="470"/>
      <c r="B21" s="478"/>
      <c r="C21" s="471"/>
      <c r="D21" s="480"/>
      <c r="E21" s="471" t="s">
        <v>717</v>
      </c>
      <c r="F21" s="470"/>
      <c r="G21" s="484">
        <f>SUM(G7:G20)</f>
        <v>29625</v>
      </c>
    </row>
    <row r="22" spans="1:10">
      <c r="A22" s="468"/>
      <c r="B22" s="468"/>
      <c r="C22" s="468"/>
      <c r="D22" s="468"/>
      <c r="E22" s="468"/>
      <c r="F22" s="468"/>
      <c r="G22" s="468"/>
    </row>
    <row r="23" spans="1:10">
      <c r="A23" s="468"/>
      <c r="B23" s="479" t="s">
        <v>1125</v>
      </c>
      <c r="C23" s="468"/>
      <c r="D23" s="468"/>
      <c r="E23" s="468"/>
      <c r="F23" s="468"/>
      <c r="G23" s="468"/>
    </row>
    <row r="24" spans="1:10">
      <c r="A24" s="468"/>
      <c r="B24" s="468"/>
      <c r="C24" s="468"/>
      <c r="D24" s="468"/>
      <c r="E24" s="468"/>
      <c r="F24" s="468"/>
      <c r="G24" s="468"/>
    </row>
    <row r="25" spans="1:10" ht="17.25">
      <c r="A25" s="468">
        <v>1</v>
      </c>
      <c r="B25" s="478">
        <v>0</v>
      </c>
      <c r="C25" s="469" t="s">
        <v>903</v>
      </c>
      <c r="D25" s="482" t="s">
        <v>86</v>
      </c>
      <c r="E25" s="478">
        <v>2.1779999999999999</v>
      </c>
      <c r="F25" s="482" t="s">
        <v>86</v>
      </c>
      <c r="G25" s="482" t="s">
        <v>86</v>
      </c>
      <c r="J25" s="531"/>
    </row>
    <row r="26" spans="1:10" ht="17.25">
      <c r="A26" s="468">
        <v>2</v>
      </c>
      <c r="B26" s="478">
        <v>0.2</v>
      </c>
      <c r="C26" s="469" t="s">
        <v>903</v>
      </c>
      <c r="D26" s="480">
        <f>(B26-B25)*1000</f>
        <v>200</v>
      </c>
      <c r="E26" s="478">
        <v>2.4990000000000001</v>
      </c>
      <c r="F26" s="478">
        <f>ROUND((E25+E26)/2,3)</f>
        <v>2.339</v>
      </c>
      <c r="G26" s="483">
        <f>ROUND(F26*D26,3)</f>
        <v>467.8</v>
      </c>
      <c r="J26" s="531"/>
    </row>
    <row r="27" spans="1:10" ht="17.25">
      <c r="A27" s="470">
        <v>3</v>
      </c>
      <c r="B27" s="478">
        <v>0.4</v>
      </c>
      <c r="C27" s="469" t="s">
        <v>903</v>
      </c>
      <c r="D27" s="480">
        <f t="shared" ref="D27:D42" si="3">(B27-B26)*1000</f>
        <v>200</v>
      </c>
      <c r="E27" s="478">
        <v>1.889</v>
      </c>
      <c r="F27" s="478">
        <f t="shared" ref="F27:F42" si="4">ROUND((E26+E27)/2,3)</f>
        <v>2.194</v>
      </c>
      <c r="G27" s="483">
        <f t="shared" ref="G27:G42" si="5">ROUND(F27*D27,3)</f>
        <v>438.8</v>
      </c>
      <c r="J27" s="531"/>
    </row>
    <row r="28" spans="1:10" ht="17.25">
      <c r="A28" s="470">
        <v>4</v>
      </c>
      <c r="B28" s="478">
        <v>0.6</v>
      </c>
      <c r="C28" s="469" t="s">
        <v>903</v>
      </c>
      <c r="D28" s="480">
        <f t="shared" si="3"/>
        <v>199.99999999999994</v>
      </c>
      <c r="E28" s="478">
        <v>2.2639999999999998</v>
      </c>
      <c r="F28" s="478">
        <f t="shared" si="4"/>
        <v>2.077</v>
      </c>
      <c r="G28" s="483">
        <f t="shared" si="5"/>
        <v>415.4</v>
      </c>
      <c r="J28" s="531"/>
    </row>
    <row r="29" spans="1:10" ht="17.25">
      <c r="A29" s="470">
        <v>5</v>
      </c>
      <c r="B29" s="478">
        <v>0.8</v>
      </c>
      <c r="C29" s="469" t="s">
        <v>903</v>
      </c>
      <c r="D29" s="480">
        <f t="shared" si="3"/>
        <v>200.00000000000006</v>
      </c>
      <c r="E29" s="478">
        <v>2.0529999999999999</v>
      </c>
      <c r="F29" s="478">
        <f t="shared" si="4"/>
        <v>2.1589999999999998</v>
      </c>
      <c r="G29" s="483">
        <f t="shared" si="5"/>
        <v>431.8</v>
      </c>
      <c r="J29" s="531"/>
    </row>
    <row r="30" spans="1:10" ht="17.25">
      <c r="A30" s="470">
        <v>6</v>
      </c>
      <c r="B30" s="478">
        <v>1</v>
      </c>
      <c r="C30" s="469" t="s">
        <v>903</v>
      </c>
      <c r="D30" s="480">
        <f t="shared" si="3"/>
        <v>199.99999999999994</v>
      </c>
      <c r="E30" s="478">
        <v>2.1629999999999998</v>
      </c>
      <c r="F30" s="478">
        <f t="shared" si="4"/>
        <v>2.1080000000000001</v>
      </c>
      <c r="G30" s="483">
        <f t="shared" si="5"/>
        <v>421.6</v>
      </c>
      <c r="J30" s="531"/>
    </row>
    <row r="31" spans="1:10" ht="17.25">
      <c r="A31" s="470">
        <v>7</v>
      </c>
      <c r="B31" s="478">
        <v>1.2</v>
      </c>
      <c r="C31" s="469" t="s">
        <v>903</v>
      </c>
      <c r="D31" s="480">
        <f t="shared" si="3"/>
        <v>199.99999999999994</v>
      </c>
      <c r="E31" s="478">
        <v>2.1120000000000001</v>
      </c>
      <c r="F31" s="478">
        <f t="shared" si="4"/>
        <v>2.1379999999999999</v>
      </c>
      <c r="G31" s="483">
        <f t="shared" si="5"/>
        <v>427.6</v>
      </c>
      <c r="J31" s="531"/>
    </row>
    <row r="32" spans="1:10" ht="17.25">
      <c r="A32" s="470">
        <v>8</v>
      </c>
      <c r="B32" s="478">
        <v>1.4</v>
      </c>
      <c r="C32" s="469" t="s">
        <v>903</v>
      </c>
      <c r="D32" s="480">
        <f t="shared" si="3"/>
        <v>199.99999999999994</v>
      </c>
      <c r="E32" s="478">
        <v>2.145</v>
      </c>
      <c r="F32" s="478">
        <f t="shared" si="4"/>
        <v>2.129</v>
      </c>
      <c r="G32" s="483">
        <f t="shared" si="5"/>
        <v>425.8</v>
      </c>
      <c r="J32" s="531"/>
    </row>
    <row r="33" spans="1:10" ht="17.25">
      <c r="A33" s="470">
        <v>9</v>
      </c>
      <c r="B33" s="478">
        <v>1.6</v>
      </c>
      <c r="C33" s="469" t="s">
        <v>903</v>
      </c>
      <c r="D33" s="480">
        <f t="shared" si="3"/>
        <v>200.00000000000017</v>
      </c>
      <c r="E33" s="478">
        <v>2.165</v>
      </c>
      <c r="F33" s="478">
        <f t="shared" si="4"/>
        <v>2.1549999999999998</v>
      </c>
      <c r="G33" s="483">
        <f t="shared" si="5"/>
        <v>431</v>
      </c>
      <c r="J33" s="531"/>
    </row>
    <row r="34" spans="1:10" ht="17.25">
      <c r="A34" s="470">
        <v>10</v>
      </c>
      <c r="B34" s="478">
        <v>1.8</v>
      </c>
      <c r="C34" s="469" t="s">
        <v>903</v>
      </c>
      <c r="D34" s="480">
        <f t="shared" si="3"/>
        <v>199.99999999999994</v>
      </c>
      <c r="E34" s="478">
        <v>2.0579999999999998</v>
      </c>
      <c r="F34" s="478">
        <f t="shared" si="4"/>
        <v>2.1120000000000001</v>
      </c>
      <c r="G34" s="483">
        <f t="shared" si="5"/>
        <v>422.4</v>
      </c>
      <c r="J34" s="531"/>
    </row>
    <row r="35" spans="1:10" ht="17.25">
      <c r="A35" s="470">
        <v>11</v>
      </c>
      <c r="B35" s="478">
        <v>2</v>
      </c>
      <c r="C35" s="469" t="s">
        <v>903</v>
      </c>
      <c r="D35" s="480">
        <f t="shared" si="3"/>
        <v>199.99999999999994</v>
      </c>
      <c r="E35" s="478">
        <v>2.3450000000000002</v>
      </c>
      <c r="F35" s="478">
        <f t="shared" si="4"/>
        <v>2.202</v>
      </c>
      <c r="G35" s="483">
        <f t="shared" si="5"/>
        <v>440.4</v>
      </c>
      <c r="J35" s="531"/>
    </row>
    <row r="36" spans="1:10" ht="17.25">
      <c r="A36" s="470">
        <v>12</v>
      </c>
      <c r="B36" s="478">
        <v>2.2000000000000002</v>
      </c>
      <c r="C36" s="469" t="s">
        <v>903</v>
      </c>
      <c r="D36" s="480">
        <f t="shared" si="3"/>
        <v>200.00000000000017</v>
      </c>
      <c r="E36" s="478">
        <v>2.5190000000000001</v>
      </c>
      <c r="F36" s="478">
        <f t="shared" si="4"/>
        <v>2.4319999999999999</v>
      </c>
      <c r="G36" s="483">
        <f t="shared" si="5"/>
        <v>486.4</v>
      </c>
      <c r="J36" s="531"/>
    </row>
    <row r="37" spans="1:10" ht="17.25">
      <c r="A37" s="470">
        <v>13</v>
      </c>
      <c r="B37" s="478">
        <v>2.4</v>
      </c>
      <c r="C37" s="469" t="s">
        <v>903</v>
      </c>
      <c r="D37" s="480">
        <f t="shared" si="3"/>
        <v>199.99999999999974</v>
      </c>
      <c r="E37" s="478">
        <v>2.3889999999999998</v>
      </c>
      <c r="F37" s="478">
        <f t="shared" si="4"/>
        <v>2.4540000000000002</v>
      </c>
      <c r="G37" s="483">
        <f t="shared" si="5"/>
        <v>490.8</v>
      </c>
      <c r="J37" s="531"/>
    </row>
    <row r="38" spans="1:10" ht="17.25">
      <c r="A38" s="470">
        <v>14</v>
      </c>
      <c r="B38" s="478">
        <v>2.6</v>
      </c>
      <c r="C38" s="469" t="s">
        <v>903</v>
      </c>
      <c r="D38" s="480">
        <f t="shared" si="3"/>
        <v>200.00000000000017</v>
      </c>
      <c r="E38" s="478">
        <v>2.6190000000000002</v>
      </c>
      <c r="F38" s="478">
        <f t="shared" si="4"/>
        <v>2.504</v>
      </c>
      <c r="G38" s="483">
        <f t="shared" si="5"/>
        <v>500.8</v>
      </c>
      <c r="J38" s="531"/>
    </row>
    <row r="39" spans="1:10" ht="17.25">
      <c r="A39" s="470">
        <v>15</v>
      </c>
      <c r="B39" s="478">
        <v>2.8</v>
      </c>
      <c r="C39" s="469" t="s">
        <v>903</v>
      </c>
      <c r="D39" s="480">
        <f t="shared" si="3"/>
        <v>199.99999999999974</v>
      </c>
      <c r="E39" s="478">
        <v>2.6150000000000002</v>
      </c>
      <c r="F39" s="478">
        <f t="shared" si="4"/>
        <v>2.617</v>
      </c>
      <c r="G39" s="483">
        <f t="shared" si="5"/>
        <v>523.4</v>
      </c>
      <c r="J39" s="531"/>
    </row>
    <row r="40" spans="1:10" ht="17.25">
      <c r="A40" s="470">
        <v>16</v>
      </c>
      <c r="B40" s="478">
        <v>3</v>
      </c>
      <c r="C40" s="469" t="s">
        <v>903</v>
      </c>
      <c r="D40" s="480">
        <f t="shared" si="3"/>
        <v>200.00000000000017</v>
      </c>
      <c r="E40" s="478">
        <v>2.6059999999999999</v>
      </c>
      <c r="F40" s="478">
        <f>ROUND((E39+E40)/2,3)</f>
        <v>2.6110000000000002</v>
      </c>
      <c r="G40" s="483">
        <f t="shared" si="5"/>
        <v>522.20000000000005</v>
      </c>
      <c r="J40" s="531"/>
    </row>
    <row r="41" spans="1:10" ht="17.25">
      <c r="A41" s="470">
        <v>17</v>
      </c>
      <c r="B41" s="478">
        <v>3.2</v>
      </c>
      <c r="C41" s="469" t="s">
        <v>903</v>
      </c>
      <c r="D41" s="480">
        <f t="shared" si="3"/>
        <v>200.00000000000017</v>
      </c>
      <c r="E41" s="478">
        <v>2.7749999999999999</v>
      </c>
      <c r="F41" s="478">
        <f t="shared" si="4"/>
        <v>2.6909999999999998</v>
      </c>
      <c r="G41" s="483">
        <f t="shared" si="5"/>
        <v>538.20000000000005</v>
      </c>
      <c r="J41" s="531"/>
    </row>
    <row r="42" spans="1:10" ht="17.25">
      <c r="A42" s="470">
        <v>18</v>
      </c>
      <c r="B42" s="478">
        <v>3.41</v>
      </c>
      <c r="C42" s="469" t="s">
        <v>903</v>
      </c>
      <c r="D42" s="480">
        <f t="shared" si="3"/>
        <v>209.99999999999997</v>
      </c>
      <c r="E42" s="478">
        <v>2.573</v>
      </c>
      <c r="F42" s="478">
        <f t="shared" si="4"/>
        <v>2.6739999999999999</v>
      </c>
      <c r="G42" s="483">
        <f t="shared" si="5"/>
        <v>561.54</v>
      </c>
      <c r="J42" s="531"/>
    </row>
    <row r="43" spans="1:10" ht="33">
      <c r="A43" s="470"/>
      <c r="B43" s="478"/>
      <c r="C43" s="471"/>
      <c r="D43" s="480"/>
      <c r="E43" s="471" t="s">
        <v>717</v>
      </c>
      <c r="F43" s="470"/>
      <c r="G43" s="484">
        <f>SUM(G26:G42)</f>
        <v>7945.94</v>
      </c>
    </row>
    <row r="44" spans="1:10">
      <c r="A44" s="468"/>
      <c r="B44" s="468"/>
      <c r="C44" s="468"/>
      <c r="D44" s="468"/>
      <c r="E44" s="468"/>
      <c r="F44" s="468"/>
      <c r="G44" s="468"/>
    </row>
    <row r="45" spans="1:10">
      <c r="A45" s="468"/>
      <c r="B45" s="479" t="s">
        <v>1126</v>
      </c>
      <c r="C45" s="468"/>
      <c r="D45" s="468"/>
      <c r="E45" s="468"/>
      <c r="F45" s="468"/>
      <c r="G45" s="468"/>
    </row>
    <row r="46" spans="1:10">
      <c r="A46" s="468"/>
      <c r="B46" s="468"/>
      <c r="C46" s="468"/>
      <c r="D46" s="468"/>
      <c r="E46" s="468"/>
      <c r="F46" s="468"/>
      <c r="G46" s="468"/>
    </row>
    <row r="47" spans="1:10" ht="17.25">
      <c r="A47" s="468">
        <v>1</v>
      </c>
      <c r="B47" s="478">
        <v>0</v>
      </c>
      <c r="C47" s="471" t="s">
        <v>903</v>
      </c>
      <c r="D47" s="482" t="s">
        <v>86</v>
      </c>
      <c r="E47" s="478">
        <v>8.1959999999999997</v>
      </c>
      <c r="F47" s="482" t="s">
        <v>86</v>
      </c>
      <c r="G47" s="482" t="s">
        <v>86</v>
      </c>
      <c r="I47" s="539"/>
    </row>
    <row r="48" spans="1:10" ht="17.25">
      <c r="A48" s="468">
        <v>2</v>
      </c>
      <c r="B48" s="478">
        <v>0.2</v>
      </c>
      <c r="C48" s="471" t="s">
        <v>903</v>
      </c>
      <c r="D48" s="480">
        <f>(B48-B47)*1000</f>
        <v>200</v>
      </c>
      <c r="E48" s="478">
        <v>7.3949999999999996</v>
      </c>
      <c r="F48" s="478">
        <f>ROUND((E47+E48)/2,3)</f>
        <v>7.7960000000000003</v>
      </c>
      <c r="G48" s="483">
        <f>ROUND(F48*D48,3)</f>
        <v>1559.2</v>
      </c>
      <c r="I48" s="539"/>
    </row>
    <row r="49" spans="1:9" ht="17.25">
      <c r="A49" s="470">
        <v>3</v>
      </c>
      <c r="B49" s="478">
        <v>0.4</v>
      </c>
      <c r="C49" s="471" t="s">
        <v>903</v>
      </c>
      <c r="D49" s="480">
        <f t="shared" ref="D49:D65" si="6">(B49-B48)*1000</f>
        <v>200</v>
      </c>
      <c r="E49" s="478">
        <v>9.4269999999999996</v>
      </c>
      <c r="F49" s="478">
        <f t="shared" ref="F49:F65" si="7">ROUND((E48+E49)/2,3)</f>
        <v>8.4109999999999996</v>
      </c>
      <c r="G49" s="483">
        <f t="shared" ref="G49:G65" si="8">ROUND(F49*D49,3)</f>
        <v>1682.2</v>
      </c>
      <c r="I49" s="539"/>
    </row>
    <row r="50" spans="1:9" ht="17.25">
      <c r="A50" s="470">
        <v>4</v>
      </c>
      <c r="B50" s="478">
        <v>0.6</v>
      </c>
      <c r="C50" s="471" t="s">
        <v>903</v>
      </c>
      <c r="D50" s="480">
        <f t="shared" si="6"/>
        <v>199.99999999999994</v>
      </c>
      <c r="E50" s="478">
        <v>7.1310000000000002</v>
      </c>
      <c r="F50" s="478">
        <f t="shared" si="7"/>
        <v>8.2789999999999999</v>
      </c>
      <c r="G50" s="483">
        <f t="shared" si="8"/>
        <v>1655.8</v>
      </c>
      <c r="I50" s="539"/>
    </row>
    <row r="51" spans="1:9" ht="17.25">
      <c r="A51" s="470">
        <v>5</v>
      </c>
      <c r="B51" s="478">
        <v>0.8</v>
      </c>
      <c r="C51" s="471" t="s">
        <v>903</v>
      </c>
      <c r="D51" s="480">
        <f t="shared" si="6"/>
        <v>200.00000000000006</v>
      </c>
      <c r="E51" s="478">
        <v>7.9880000000000004</v>
      </c>
      <c r="F51" s="478">
        <f t="shared" si="7"/>
        <v>7.56</v>
      </c>
      <c r="G51" s="483">
        <f t="shared" si="8"/>
        <v>1512</v>
      </c>
      <c r="I51" s="539"/>
    </row>
    <row r="52" spans="1:9" ht="17.25">
      <c r="A52" s="470">
        <v>6</v>
      </c>
      <c r="B52" s="478">
        <v>1</v>
      </c>
      <c r="C52" s="471" t="s">
        <v>903</v>
      </c>
      <c r="D52" s="480">
        <f t="shared" si="6"/>
        <v>199.99999999999994</v>
      </c>
      <c r="E52" s="478">
        <v>6.1420000000000003</v>
      </c>
      <c r="F52" s="478">
        <f t="shared" si="7"/>
        <v>7.0650000000000004</v>
      </c>
      <c r="G52" s="483">
        <f t="shared" si="8"/>
        <v>1413</v>
      </c>
      <c r="I52" s="539"/>
    </row>
    <row r="53" spans="1:9" ht="17.25">
      <c r="A53" s="470">
        <v>7</v>
      </c>
      <c r="B53" s="478">
        <v>1.2</v>
      </c>
      <c r="C53" s="471" t="s">
        <v>903</v>
      </c>
      <c r="D53" s="480">
        <f t="shared" si="6"/>
        <v>199.99999999999994</v>
      </c>
      <c r="E53" s="478">
        <v>7.2850000000000001</v>
      </c>
      <c r="F53" s="478">
        <f t="shared" si="7"/>
        <v>6.7140000000000004</v>
      </c>
      <c r="G53" s="483">
        <f t="shared" si="8"/>
        <v>1342.8</v>
      </c>
      <c r="I53" s="539"/>
    </row>
    <row r="54" spans="1:9" ht="17.25">
      <c r="A54" s="470">
        <v>8</v>
      </c>
      <c r="B54" s="478">
        <v>1.4</v>
      </c>
      <c r="C54" s="471" t="s">
        <v>903</v>
      </c>
      <c r="D54" s="480">
        <f t="shared" si="6"/>
        <v>199.99999999999994</v>
      </c>
      <c r="E54" s="478">
        <v>7.64</v>
      </c>
      <c r="F54" s="478">
        <f t="shared" si="7"/>
        <v>7.4630000000000001</v>
      </c>
      <c r="G54" s="483">
        <f t="shared" si="8"/>
        <v>1492.6</v>
      </c>
      <c r="I54" s="539"/>
    </row>
    <row r="55" spans="1:9" ht="17.25">
      <c r="A55" s="470">
        <v>9</v>
      </c>
      <c r="B55" s="478">
        <v>1.6</v>
      </c>
      <c r="C55" s="471" t="s">
        <v>903</v>
      </c>
      <c r="D55" s="480">
        <f t="shared" si="6"/>
        <v>200.00000000000017</v>
      </c>
      <c r="E55" s="478">
        <v>9.0210000000000008</v>
      </c>
      <c r="F55" s="478">
        <f t="shared" si="7"/>
        <v>8.3309999999999995</v>
      </c>
      <c r="G55" s="483">
        <f t="shared" si="8"/>
        <v>1666.2</v>
      </c>
      <c r="I55" s="539"/>
    </row>
    <row r="56" spans="1:9" ht="17.25">
      <c r="A56" s="470">
        <v>10</v>
      </c>
      <c r="B56" s="478">
        <v>1.8</v>
      </c>
      <c r="C56" s="471" t="s">
        <v>903</v>
      </c>
      <c r="D56" s="480">
        <f t="shared" si="6"/>
        <v>199.99999999999994</v>
      </c>
      <c r="E56" s="478">
        <v>8.86</v>
      </c>
      <c r="F56" s="478">
        <f t="shared" si="7"/>
        <v>8.9410000000000007</v>
      </c>
      <c r="G56" s="483">
        <f t="shared" si="8"/>
        <v>1788.2</v>
      </c>
      <c r="I56" s="539"/>
    </row>
    <row r="57" spans="1:9" ht="17.25">
      <c r="A57" s="470">
        <v>11</v>
      </c>
      <c r="B57" s="478">
        <v>2</v>
      </c>
      <c r="C57" s="471" t="s">
        <v>903</v>
      </c>
      <c r="D57" s="480">
        <f t="shared" si="6"/>
        <v>199.99999999999994</v>
      </c>
      <c r="E57" s="478">
        <v>7.8719999999999999</v>
      </c>
      <c r="F57" s="478">
        <f t="shared" si="7"/>
        <v>8.3659999999999997</v>
      </c>
      <c r="G57" s="483">
        <f t="shared" si="8"/>
        <v>1673.2</v>
      </c>
      <c r="I57" s="539"/>
    </row>
    <row r="58" spans="1:9" ht="17.25">
      <c r="A58" s="470">
        <v>12</v>
      </c>
      <c r="B58" s="478">
        <v>2.2000000000000002</v>
      </c>
      <c r="C58" s="471" t="s">
        <v>903</v>
      </c>
      <c r="D58" s="480">
        <f t="shared" si="6"/>
        <v>200.00000000000017</v>
      </c>
      <c r="E58" s="478">
        <v>8.5139999999999993</v>
      </c>
      <c r="F58" s="478">
        <f t="shared" si="7"/>
        <v>8.1929999999999996</v>
      </c>
      <c r="G58" s="483">
        <f t="shared" si="8"/>
        <v>1638.6</v>
      </c>
      <c r="I58" s="539"/>
    </row>
    <row r="59" spans="1:9" ht="17.25">
      <c r="A59" s="470">
        <v>13</v>
      </c>
      <c r="B59" s="478">
        <v>2.4</v>
      </c>
      <c r="C59" s="471" t="s">
        <v>903</v>
      </c>
      <c r="D59" s="480">
        <f t="shared" si="6"/>
        <v>199.99999999999974</v>
      </c>
      <c r="E59" s="478">
        <v>8.82</v>
      </c>
      <c r="F59" s="478">
        <f t="shared" si="7"/>
        <v>8.6669999999999998</v>
      </c>
      <c r="G59" s="483">
        <f t="shared" si="8"/>
        <v>1733.4</v>
      </c>
      <c r="I59" s="539"/>
    </row>
    <row r="60" spans="1:9" ht="17.25">
      <c r="A60" s="470">
        <v>14</v>
      </c>
      <c r="B60" s="478">
        <v>2.6</v>
      </c>
      <c r="C60" s="471" t="s">
        <v>903</v>
      </c>
      <c r="D60" s="480">
        <f t="shared" si="6"/>
        <v>200.00000000000017</v>
      </c>
      <c r="E60" s="478">
        <v>8.048</v>
      </c>
      <c r="F60" s="478">
        <f t="shared" si="7"/>
        <v>8.4339999999999993</v>
      </c>
      <c r="G60" s="483">
        <f t="shared" si="8"/>
        <v>1686.8</v>
      </c>
      <c r="I60" s="539"/>
    </row>
    <row r="61" spans="1:9" ht="17.25">
      <c r="A61" s="470">
        <v>15</v>
      </c>
      <c r="B61" s="478">
        <v>2.8</v>
      </c>
      <c r="C61" s="471" t="s">
        <v>903</v>
      </c>
      <c r="D61" s="480">
        <f t="shared" si="6"/>
        <v>199.99999999999974</v>
      </c>
      <c r="E61" s="478">
        <v>6.2080000000000002</v>
      </c>
      <c r="F61" s="478">
        <f t="shared" si="7"/>
        <v>7.1280000000000001</v>
      </c>
      <c r="G61" s="483">
        <f t="shared" si="8"/>
        <v>1425.6</v>
      </c>
      <c r="I61" s="539"/>
    </row>
    <row r="62" spans="1:9" ht="17.25">
      <c r="A62" s="470">
        <v>16</v>
      </c>
      <c r="B62" s="478">
        <v>3</v>
      </c>
      <c r="C62" s="471" t="s">
        <v>903</v>
      </c>
      <c r="D62" s="480">
        <f t="shared" si="6"/>
        <v>200.00000000000017</v>
      </c>
      <c r="E62" s="478">
        <v>5.77</v>
      </c>
      <c r="F62" s="478">
        <f t="shared" si="7"/>
        <v>5.9889999999999999</v>
      </c>
      <c r="G62" s="483">
        <f t="shared" si="8"/>
        <v>1197.8</v>
      </c>
      <c r="I62" s="539"/>
    </row>
    <row r="63" spans="1:9" ht="17.25">
      <c r="A63" s="470">
        <v>17</v>
      </c>
      <c r="B63" s="478">
        <v>3.2</v>
      </c>
      <c r="C63" s="471" t="s">
        <v>903</v>
      </c>
      <c r="D63" s="480">
        <f t="shared" si="6"/>
        <v>200.00000000000017</v>
      </c>
      <c r="E63" s="478">
        <v>5.4749999999999996</v>
      </c>
      <c r="F63" s="478">
        <f t="shared" si="7"/>
        <v>5.6230000000000002</v>
      </c>
      <c r="G63" s="483">
        <f t="shared" si="8"/>
        <v>1124.5999999999999</v>
      </c>
      <c r="I63" s="539"/>
    </row>
    <row r="64" spans="1:9" ht="17.25">
      <c r="A64" s="470">
        <v>18</v>
      </c>
      <c r="B64" s="478">
        <v>3.4</v>
      </c>
      <c r="C64" s="471" t="s">
        <v>903</v>
      </c>
      <c r="D64" s="480">
        <f t="shared" si="6"/>
        <v>199.99999999999974</v>
      </c>
      <c r="E64" s="478">
        <v>6.2729999999999997</v>
      </c>
      <c r="F64" s="478">
        <f t="shared" si="7"/>
        <v>5.8739999999999997</v>
      </c>
      <c r="G64" s="483">
        <f t="shared" si="8"/>
        <v>1174.8</v>
      </c>
      <c r="I64" s="539"/>
    </row>
    <row r="65" spans="1:9" ht="17.25">
      <c r="A65" s="470">
        <v>19</v>
      </c>
      <c r="B65" s="478">
        <v>3.6</v>
      </c>
      <c r="C65" s="471" t="s">
        <v>903</v>
      </c>
      <c r="D65" s="480">
        <f t="shared" si="6"/>
        <v>200.00000000000017</v>
      </c>
      <c r="E65" s="478">
        <v>6.0110000000000001</v>
      </c>
      <c r="F65" s="478">
        <f t="shared" si="7"/>
        <v>6.1420000000000003</v>
      </c>
      <c r="G65" s="483">
        <f t="shared" si="8"/>
        <v>1228.4000000000001</v>
      </c>
      <c r="I65" s="539"/>
    </row>
    <row r="66" spans="1:9" ht="33">
      <c r="A66" s="470"/>
      <c r="B66" s="478"/>
      <c r="C66" s="471"/>
      <c r="D66" s="480"/>
      <c r="E66" s="471" t="s">
        <v>717</v>
      </c>
      <c r="F66" s="470"/>
      <c r="G66" s="484">
        <f>SUM(G48:G65)</f>
        <v>26995.200000000001</v>
      </c>
    </row>
    <row r="67" spans="1:9">
      <c r="A67" s="468"/>
      <c r="B67" s="468"/>
      <c r="C67" s="468"/>
      <c r="D67" s="468"/>
      <c r="E67" s="468"/>
      <c r="F67" s="468"/>
      <c r="G67" s="468"/>
    </row>
    <row r="68" spans="1:9">
      <c r="A68" s="468"/>
      <c r="B68" s="479" t="s">
        <v>1127</v>
      </c>
      <c r="C68" s="468"/>
      <c r="D68" s="468"/>
      <c r="E68" s="468"/>
      <c r="F68" s="468"/>
      <c r="G68" s="468"/>
    </row>
    <row r="69" spans="1:9">
      <c r="A69" s="468"/>
      <c r="B69" s="468"/>
      <c r="C69" s="468"/>
      <c r="D69" s="468"/>
      <c r="E69" s="468"/>
      <c r="F69" s="468"/>
      <c r="G69" s="468"/>
    </row>
    <row r="70" spans="1:9" ht="17.25">
      <c r="A70" s="470">
        <v>1</v>
      </c>
      <c r="B70" s="478">
        <v>0</v>
      </c>
      <c r="C70" s="471" t="s">
        <v>903</v>
      </c>
      <c r="D70" s="482" t="s">
        <v>86</v>
      </c>
      <c r="E70" s="478">
        <v>11.361000000000001</v>
      </c>
      <c r="F70" s="482" t="s">
        <v>86</v>
      </c>
      <c r="G70" s="482" t="s">
        <v>86</v>
      </c>
      <c r="I70" s="539"/>
    </row>
    <row r="71" spans="1:9" ht="17.25">
      <c r="A71" s="470">
        <v>2</v>
      </c>
      <c r="B71" s="478">
        <v>0.2</v>
      </c>
      <c r="C71" s="471" t="s">
        <v>903</v>
      </c>
      <c r="D71" s="480">
        <f>(B71-B70)*1000</f>
        <v>200</v>
      </c>
      <c r="E71" s="478">
        <v>10.62</v>
      </c>
      <c r="F71" s="478">
        <f>ROUND((E70+E71)/2,3)</f>
        <v>10.991</v>
      </c>
      <c r="G71" s="483">
        <f>ROUND(F71*D71,3)</f>
        <v>2198.1999999999998</v>
      </c>
      <c r="I71" s="539"/>
    </row>
    <row r="72" spans="1:9" ht="17.25">
      <c r="A72" s="470">
        <v>3</v>
      </c>
      <c r="B72" s="478">
        <v>0.4</v>
      </c>
      <c r="C72" s="471" t="s">
        <v>903</v>
      </c>
      <c r="D72" s="480">
        <f t="shared" ref="D72:D82" si="9">(B72-B71)*1000</f>
        <v>200</v>
      </c>
      <c r="E72" s="478">
        <v>9.3699999999999992</v>
      </c>
      <c r="F72" s="478">
        <f t="shared" ref="F72:F82" si="10">ROUND((E71+E72)/2,3)</f>
        <v>9.9949999999999992</v>
      </c>
      <c r="G72" s="483">
        <f t="shared" ref="G72:G82" si="11">ROUND(F72*D72,3)</f>
        <v>1999</v>
      </c>
      <c r="I72" s="539"/>
    </row>
    <row r="73" spans="1:9" ht="17.25">
      <c r="A73" s="470">
        <v>4</v>
      </c>
      <c r="B73" s="478">
        <v>0.6</v>
      </c>
      <c r="C73" s="471" t="s">
        <v>903</v>
      </c>
      <c r="D73" s="480">
        <f t="shared" si="9"/>
        <v>199.99999999999994</v>
      </c>
      <c r="E73" s="478">
        <v>8.8360000000000003</v>
      </c>
      <c r="F73" s="478">
        <f t="shared" si="10"/>
        <v>9.1029999999999998</v>
      </c>
      <c r="G73" s="483">
        <f t="shared" si="11"/>
        <v>1820.6</v>
      </c>
      <c r="I73" s="539"/>
    </row>
    <row r="74" spans="1:9" ht="17.25">
      <c r="A74" s="470">
        <v>5</v>
      </c>
      <c r="B74" s="478">
        <v>0.8</v>
      </c>
      <c r="C74" s="471" t="s">
        <v>903</v>
      </c>
      <c r="D74" s="480">
        <f t="shared" si="9"/>
        <v>200.00000000000006</v>
      </c>
      <c r="E74" s="478">
        <v>8.76</v>
      </c>
      <c r="F74" s="478">
        <f t="shared" si="10"/>
        <v>8.798</v>
      </c>
      <c r="G74" s="483">
        <f t="shared" si="11"/>
        <v>1759.6</v>
      </c>
      <c r="I74" s="539"/>
    </row>
    <row r="75" spans="1:9" ht="17.25">
      <c r="A75" s="470">
        <v>6</v>
      </c>
      <c r="B75" s="478">
        <v>1</v>
      </c>
      <c r="C75" s="471" t="s">
        <v>903</v>
      </c>
      <c r="D75" s="480">
        <f t="shared" si="9"/>
        <v>199.99999999999994</v>
      </c>
      <c r="E75" s="478">
        <v>8.2050000000000001</v>
      </c>
      <c r="F75" s="478">
        <f t="shared" si="10"/>
        <v>8.4830000000000005</v>
      </c>
      <c r="G75" s="483">
        <f t="shared" si="11"/>
        <v>1696.6</v>
      </c>
      <c r="I75" s="539"/>
    </row>
    <row r="76" spans="1:9" ht="17.25">
      <c r="A76" s="470">
        <v>7</v>
      </c>
      <c r="B76" s="478">
        <v>1.2</v>
      </c>
      <c r="C76" s="471" t="s">
        <v>903</v>
      </c>
      <c r="D76" s="480">
        <f t="shared" si="9"/>
        <v>199.99999999999994</v>
      </c>
      <c r="E76" s="478">
        <v>8.0630000000000006</v>
      </c>
      <c r="F76" s="478">
        <f t="shared" si="10"/>
        <v>8.1340000000000003</v>
      </c>
      <c r="G76" s="483">
        <f t="shared" si="11"/>
        <v>1626.8</v>
      </c>
      <c r="I76" s="539"/>
    </row>
    <row r="77" spans="1:9" ht="17.25">
      <c r="A77" s="470">
        <v>8</v>
      </c>
      <c r="B77" s="478">
        <v>1.4</v>
      </c>
      <c r="C77" s="471" t="s">
        <v>903</v>
      </c>
      <c r="D77" s="480">
        <f t="shared" si="9"/>
        <v>199.99999999999994</v>
      </c>
      <c r="E77" s="478">
        <v>8.4949999999999992</v>
      </c>
      <c r="F77" s="478">
        <f t="shared" si="10"/>
        <v>8.2789999999999999</v>
      </c>
      <c r="G77" s="483">
        <f t="shared" si="11"/>
        <v>1655.8</v>
      </c>
      <c r="I77" s="539"/>
    </row>
    <row r="78" spans="1:9" ht="17.25">
      <c r="A78" s="470">
        <v>9</v>
      </c>
      <c r="B78" s="478">
        <v>1.6</v>
      </c>
      <c r="C78" s="471" t="s">
        <v>903</v>
      </c>
      <c r="D78" s="480">
        <f t="shared" si="9"/>
        <v>200.00000000000017</v>
      </c>
      <c r="E78" s="478">
        <v>8.77</v>
      </c>
      <c r="F78" s="478">
        <f t="shared" si="10"/>
        <v>8.6329999999999991</v>
      </c>
      <c r="G78" s="483">
        <f t="shared" si="11"/>
        <v>1726.6</v>
      </c>
      <c r="I78" s="539"/>
    </row>
    <row r="79" spans="1:9" ht="17.25">
      <c r="A79" s="470">
        <v>10</v>
      </c>
      <c r="B79" s="478">
        <v>1.8</v>
      </c>
      <c r="C79" s="471" t="s">
        <v>903</v>
      </c>
      <c r="D79" s="480">
        <f t="shared" si="9"/>
        <v>199.99999999999994</v>
      </c>
      <c r="E79" s="478">
        <v>7.899</v>
      </c>
      <c r="F79" s="478">
        <f t="shared" si="10"/>
        <v>8.3350000000000009</v>
      </c>
      <c r="G79" s="483">
        <f t="shared" si="11"/>
        <v>1667</v>
      </c>
      <c r="I79" s="539"/>
    </row>
    <row r="80" spans="1:9" ht="17.25">
      <c r="A80" s="470">
        <v>11</v>
      </c>
      <c r="B80" s="478">
        <v>2</v>
      </c>
      <c r="C80" s="471" t="s">
        <v>903</v>
      </c>
      <c r="D80" s="480">
        <f t="shared" si="9"/>
        <v>199.99999999999994</v>
      </c>
      <c r="E80" s="478">
        <v>7.8280000000000003</v>
      </c>
      <c r="F80" s="478">
        <f t="shared" si="10"/>
        <v>7.8639999999999999</v>
      </c>
      <c r="G80" s="483">
        <f t="shared" si="11"/>
        <v>1572.8</v>
      </c>
      <c r="I80" s="539"/>
    </row>
    <row r="81" spans="1:9" ht="17.25">
      <c r="A81" s="470">
        <v>12</v>
      </c>
      <c r="B81" s="478">
        <v>2.2000000000000002</v>
      </c>
      <c r="C81" s="471" t="s">
        <v>903</v>
      </c>
      <c r="D81" s="480">
        <f t="shared" si="9"/>
        <v>200.00000000000017</v>
      </c>
      <c r="E81" s="478">
        <v>7.6870000000000003</v>
      </c>
      <c r="F81" s="478">
        <f t="shared" si="10"/>
        <v>7.758</v>
      </c>
      <c r="G81" s="483">
        <f t="shared" si="11"/>
        <v>1551.6</v>
      </c>
      <c r="I81" s="539"/>
    </row>
    <row r="82" spans="1:9" ht="17.25">
      <c r="A82" s="470">
        <v>13</v>
      </c>
      <c r="B82" s="478">
        <v>2.2999999999999998</v>
      </c>
      <c r="C82" s="471" t="s">
        <v>903</v>
      </c>
      <c r="D82" s="480">
        <f t="shared" si="9"/>
        <v>99.999999999999645</v>
      </c>
      <c r="E82" s="478">
        <v>7.8970000000000002</v>
      </c>
      <c r="F82" s="478">
        <f t="shared" si="10"/>
        <v>7.7919999999999998</v>
      </c>
      <c r="G82" s="483">
        <f t="shared" si="11"/>
        <v>779.2</v>
      </c>
      <c r="I82" s="539"/>
    </row>
    <row r="83" spans="1:9" ht="33">
      <c r="A83" s="470"/>
      <c r="B83" s="478"/>
      <c r="C83" s="471"/>
      <c r="D83" s="480"/>
      <c r="E83" s="471" t="s">
        <v>717</v>
      </c>
      <c r="F83" s="470"/>
      <c r="G83" s="484">
        <f>SUM(G71:G82)</f>
        <v>20053.8</v>
      </c>
    </row>
    <row r="84" spans="1:9">
      <c r="A84" s="470"/>
      <c r="B84" s="478"/>
      <c r="C84" s="471"/>
      <c r="D84" s="480"/>
      <c r="E84" s="471"/>
      <c r="F84" s="470"/>
      <c r="G84" s="484"/>
    </row>
    <row r="85" spans="1:9">
      <c r="A85" s="470"/>
      <c r="B85" s="478"/>
      <c r="C85" s="471"/>
      <c r="D85" s="480"/>
      <c r="E85" s="471"/>
      <c r="F85" s="470"/>
      <c r="G85" s="484"/>
    </row>
    <row r="86" spans="1:9">
      <c r="A86" s="468"/>
      <c r="B86" s="468"/>
      <c r="C86" s="468"/>
      <c r="D86" s="468"/>
      <c r="E86" s="468"/>
      <c r="F86" s="468"/>
      <c r="G86" s="468"/>
    </row>
    <row r="87" spans="1:9">
      <c r="A87" s="468"/>
      <c r="B87" s="479" t="s">
        <v>1128</v>
      </c>
      <c r="C87" s="468"/>
      <c r="D87" s="468"/>
      <c r="E87" s="468"/>
      <c r="F87" s="468"/>
      <c r="G87" s="468"/>
    </row>
    <row r="88" spans="1:9">
      <c r="A88" s="468"/>
      <c r="B88" s="468"/>
      <c r="C88" s="468"/>
      <c r="D88" s="468"/>
      <c r="E88" s="468"/>
      <c r="F88" s="468"/>
      <c r="G88" s="468"/>
    </row>
    <row r="89" spans="1:9" ht="17.25">
      <c r="A89" s="468">
        <v>1</v>
      </c>
      <c r="B89" s="478">
        <v>0</v>
      </c>
      <c r="C89" s="471" t="s">
        <v>903</v>
      </c>
      <c r="D89" s="482" t="s">
        <v>86</v>
      </c>
      <c r="E89" s="478">
        <v>11.151999999999999</v>
      </c>
      <c r="F89" s="482" t="s">
        <v>86</v>
      </c>
      <c r="G89" s="482" t="s">
        <v>86</v>
      </c>
      <c r="H89" s="539"/>
    </row>
    <row r="90" spans="1:9" ht="17.25">
      <c r="A90" s="468">
        <v>2</v>
      </c>
      <c r="B90" s="478">
        <v>0.2</v>
      </c>
      <c r="C90" s="471" t="s">
        <v>903</v>
      </c>
      <c r="D90" s="480">
        <f>(B90-B89)*1000</f>
        <v>200</v>
      </c>
      <c r="E90" s="478">
        <v>10.414</v>
      </c>
      <c r="F90" s="478">
        <f>ROUND((E89+E90)/2,3)</f>
        <v>10.782999999999999</v>
      </c>
      <c r="G90" s="483">
        <f>ROUND(F90*D90,3)</f>
        <v>2156.6</v>
      </c>
      <c r="H90" s="539"/>
    </row>
    <row r="91" spans="1:9" ht="17.25">
      <c r="A91" s="470">
        <v>3</v>
      </c>
      <c r="B91" s="478">
        <v>0.4</v>
      </c>
      <c r="C91" s="471" t="s">
        <v>903</v>
      </c>
      <c r="D91" s="480">
        <f t="shared" ref="D91:D104" si="12">(B91-B90)*1000</f>
        <v>200</v>
      </c>
      <c r="E91" s="478">
        <v>9.1739999999999995</v>
      </c>
      <c r="F91" s="478">
        <f t="shared" ref="F91:F104" si="13">ROUND((E90+E91)/2,3)</f>
        <v>9.7940000000000005</v>
      </c>
      <c r="G91" s="483">
        <f t="shared" ref="G91:G104" si="14">ROUND(F91*D91,3)</f>
        <v>1958.8</v>
      </c>
      <c r="H91" s="539"/>
    </row>
    <row r="92" spans="1:9" ht="17.25">
      <c r="A92" s="470">
        <v>4</v>
      </c>
      <c r="B92" s="478">
        <v>0.6</v>
      </c>
      <c r="C92" s="471" t="s">
        <v>903</v>
      </c>
      <c r="D92" s="480">
        <f t="shared" si="12"/>
        <v>199.99999999999994</v>
      </c>
      <c r="E92" s="478">
        <v>8.6509999999999998</v>
      </c>
      <c r="F92" s="478">
        <f t="shared" si="13"/>
        <v>8.9130000000000003</v>
      </c>
      <c r="G92" s="483">
        <f t="shared" si="14"/>
        <v>1782.6</v>
      </c>
      <c r="H92" s="539"/>
    </row>
    <row r="93" spans="1:9" ht="17.25">
      <c r="A93" s="470">
        <v>5</v>
      </c>
      <c r="B93" s="478">
        <v>0.8</v>
      </c>
      <c r="C93" s="471" t="s">
        <v>903</v>
      </c>
      <c r="D93" s="480">
        <f t="shared" si="12"/>
        <v>200.00000000000006</v>
      </c>
      <c r="E93" s="478">
        <v>8.577</v>
      </c>
      <c r="F93" s="478">
        <f t="shared" si="13"/>
        <v>8.6140000000000008</v>
      </c>
      <c r="G93" s="483">
        <f t="shared" si="14"/>
        <v>1722.8</v>
      </c>
      <c r="H93" s="539"/>
    </row>
    <row r="94" spans="1:9" ht="17.25">
      <c r="A94" s="470">
        <v>6</v>
      </c>
      <c r="B94" s="478">
        <v>1</v>
      </c>
      <c r="C94" s="471" t="s">
        <v>903</v>
      </c>
      <c r="D94" s="480">
        <f t="shared" si="12"/>
        <v>199.99999999999994</v>
      </c>
      <c r="E94" s="478">
        <v>8.0259999999999998</v>
      </c>
      <c r="F94" s="478">
        <f t="shared" si="13"/>
        <v>8.3019999999999996</v>
      </c>
      <c r="G94" s="483">
        <f t="shared" si="14"/>
        <v>1660.4</v>
      </c>
      <c r="H94" s="539"/>
    </row>
    <row r="95" spans="1:9" ht="17.25">
      <c r="A95" s="470">
        <v>7</v>
      </c>
      <c r="B95" s="478">
        <v>1.2</v>
      </c>
      <c r="C95" s="471" t="s">
        <v>903</v>
      </c>
      <c r="D95" s="480">
        <f t="shared" si="12"/>
        <v>199.99999999999994</v>
      </c>
      <c r="E95" s="478">
        <v>7.8840000000000003</v>
      </c>
      <c r="F95" s="478">
        <f t="shared" si="13"/>
        <v>7.9550000000000001</v>
      </c>
      <c r="G95" s="483">
        <f t="shared" si="14"/>
        <v>1591</v>
      </c>
      <c r="H95" s="539"/>
    </row>
    <row r="96" spans="1:9" ht="17.25">
      <c r="A96" s="470">
        <v>8</v>
      </c>
      <c r="B96" s="478">
        <v>1.4</v>
      </c>
      <c r="C96" s="471" t="s">
        <v>903</v>
      </c>
      <c r="D96" s="480">
        <f t="shared" si="12"/>
        <v>199.99999999999994</v>
      </c>
      <c r="E96" s="478">
        <v>8.3089999999999993</v>
      </c>
      <c r="F96" s="478">
        <f t="shared" si="13"/>
        <v>8.0969999999999995</v>
      </c>
      <c r="G96" s="483">
        <f t="shared" si="14"/>
        <v>1619.4</v>
      </c>
      <c r="H96" s="539"/>
    </row>
    <row r="97" spans="1:8" ht="17.25">
      <c r="A97" s="470">
        <v>9</v>
      </c>
      <c r="B97" s="478">
        <v>1.6</v>
      </c>
      <c r="C97" s="471" t="s">
        <v>903</v>
      </c>
      <c r="D97" s="480">
        <f t="shared" si="12"/>
        <v>200.00000000000017</v>
      </c>
      <c r="E97" s="478">
        <v>8.5869999999999997</v>
      </c>
      <c r="F97" s="478">
        <f t="shared" si="13"/>
        <v>8.4480000000000004</v>
      </c>
      <c r="G97" s="483">
        <f t="shared" si="14"/>
        <v>1689.6</v>
      </c>
      <c r="H97" s="539"/>
    </row>
    <row r="98" spans="1:8" ht="17.25">
      <c r="A98" s="470">
        <v>10</v>
      </c>
      <c r="B98" s="478">
        <v>1.8</v>
      </c>
      <c r="C98" s="471" t="s">
        <v>903</v>
      </c>
      <c r="D98" s="480">
        <f t="shared" si="12"/>
        <v>199.99999999999994</v>
      </c>
      <c r="E98" s="478">
        <v>7.726</v>
      </c>
      <c r="F98" s="478">
        <f t="shared" si="13"/>
        <v>8.157</v>
      </c>
      <c r="G98" s="483">
        <f t="shared" si="14"/>
        <v>1631.4</v>
      </c>
      <c r="H98" s="539"/>
    </row>
    <row r="99" spans="1:8" ht="17.25">
      <c r="A99" s="470">
        <v>11</v>
      </c>
      <c r="B99" s="478">
        <v>2</v>
      </c>
      <c r="C99" s="471" t="s">
        <v>903</v>
      </c>
      <c r="D99" s="480">
        <f t="shared" si="12"/>
        <v>199.99999999999994</v>
      </c>
      <c r="E99" s="478">
        <v>7.649</v>
      </c>
      <c r="F99" s="478">
        <f t="shared" si="13"/>
        <v>7.6879999999999997</v>
      </c>
      <c r="G99" s="483">
        <f t="shared" si="14"/>
        <v>1537.6</v>
      </c>
      <c r="H99" s="539"/>
    </row>
    <row r="100" spans="1:8" ht="17.25">
      <c r="A100" s="470">
        <v>12</v>
      </c>
      <c r="B100" s="478">
        <v>2.2000000000000002</v>
      </c>
      <c r="C100" s="471" t="s">
        <v>903</v>
      </c>
      <c r="D100" s="480">
        <f t="shared" si="12"/>
        <v>200.00000000000017</v>
      </c>
      <c r="E100" s="478">
        <v>7.5170000000000003</v>
      </c>
      <c r="F100" s="478">
        <f t="shared" si="13"/>
        <v>7.5830000000000002</v>
      </c>
      <c r="G100" s="483">
        <f t="shared" si="14"/>
        <v>1516.6</v>
      </c>
      <c r="H100" s="539"/>
    </row>
    <row r="101" spans="1:8" ht="17.25">
      <c r="A101" s="470">
        <v>13</v>
      </c>
      <c r="B101" s="478">
        <v>2.4</v>
      </c>
      <c r="C101" s="471" t="s">
        <v>903</v>
      </c>
      <c r="D101" s="480">
        <f t="shared" si="12"/>
        <v>199.99999999999974</v>
      </c>
      <c r="E101" s="478">
        <v>7.7480000000000002</v>
      </c>
      <c r="F101" s="478">
        <f t="shared" si="13"/>
        <v>7.633</v>
      </c>
      <c r="G101" s="483">
        <f t="shared" si="14"/>
        <v>1526.6</v>
      </c>
      <c r="H101" s="539"/>
    </row>
    <row r="102" spans="1:8" ht="17.25">
      <c r="A102" s="470">
        <v>14</v>
      </c>
      <c r="B102" s="478">
        <v>2.6</v>
      </c>
      <c r="C102" s="471" t="s">
        <v>903</v>
      </c>
      <c r="D102" s="480">
        <f t="shared" si="12"/>
        <v>200.00000000000017</v>
      </c>
      <c r="E102" s="478">
        <v>7.81</v>
      </c>
      <c r="F102" s="478">
        <f t="shared" si="13"/>
        <v>7.7789999999999999</v>
      </c>
      <c r="G102" s="483">
        <f t="shared" si="14"/>
        <v>1555.8</v>
      </c>
      <c r="H102" s="539"/>
    </row>
    <row r="103" spans="1:8" ht="17.25">
      <c r="A103" s="470">
        <v>15</v>
      </c>
      <c r="B103" s="478">
        <v>2.8</v>
      </c>
      <c r="C103" s="471" t="s">
        <v>903</v>
      </c>
      <c r="D103" s="480">
        <f t="shared" si="12"/>
        <v>199.99999999999974</v>
      </c>
      <c r="E103" s="478">
        <v>8.1920000000000002</v>
      </c>
      <c r="F103" s="478">
        <f t="shared" si="13"/>
        <v>8.0009999999999994</v>
      </c>
      <c r="G103" s="483">
        <f t="shared" si="14"/>
        <v>1600.2</v>
      </c>
      <c r="H103" s="539"/>
    </row>
    <row r="104" spans="1:8" ht="17.25">
      <c r="A104" s="470">
        <v>16</v>
      </c>
      <c r="B104" s="478">
        <v>3</v>
      </c>
      <c r="C104" s="471" t="s">
        <v>903</v>
      </c>
      <c r="D104" s="480">
        <f t="shared" si="12"/>
        <v>200.00000000000017</v>
      </c>
      <c r="E104" s="478">
        <v>7.8570000000000002</v>
      </c>
      <c r="F104" s="478">
        <f t="shared" si="13"/>
        <v>8.0250000000000004</v>
      </c>
      <c r="G104" s="483">
        <f t="shared" si="14"/>
        <v>1605</v>
      </c>
      <c r="H104" s="539"/>
    </row>
    <row r="105" spans="1:8" ht="33">
      <c r="A105" s="470"/>
      <c r="B105" s="478"/>
      <c r="C105" s="471"/>
      <c r="D105" s="480"/>
      <c r="E105" s="471" t="s">
        <v>717</v>
      </c>
      <c r="F105" s="470"/>
      <c r="G105" s="484">
        <f>SUM(G90:G104)</f>
        <v>25154.399999999998</v>
      </c>
    </row>
    <row r="106" spans="1:8">
      <c r="A106" s="470"/>
      <c r="B106" s="478"/>
      <c r="C106" s="471"/>
      <c r="D106" s="480"/>
      <c r="E106" s="470"/>
      <c r="F106" s="470"/>
      <c r="G106" s="470"/>
    </row>
    <row r="107" spans="1:8" ht="20.100000000000001" customHeight="1">
      <c r="E107" s="610" t="s">
        <v>911</v>
      </c>
      <c r="F107" s="611"/>
      <c r="G107" s="303">
        <f>G21+G43+G66+G83+G105</f>
        <v>109774.34</v>
      </c>
    </row>
    <row r="108" spans="1:8" ht="20.100000000000001" customHeight="1">
      <c r="E108" s="611" t="s">
        <v>134</v>
      </c>
      <c r="F108" s="611"/>
      <c r="G108" s="302">
        <f>ROUND(G107,0)</f>
        <v>109774</v>
      </c>
    </row>
  </sheetData>
  <mergeCells count="4">
    <mergeCell ref="A1:G1"/>
    <mergeCell ref="A2:G2"/>
    <mergeCell ref="E107:F107"/>
    <mergeCell ref="E108:F108"/>
  </mergeCells>
  <printOptions gridLines="1"/>
  <pageMargins left="0.95" right="0.4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sheetPr>
    <tabColor rgb="FF00B050"/>
  </sheetPr>
  <dimension ref="A1:K125"/>
  <sheetViews>
    <sheetView workbookViewId="0">
      <selection activeCell="N7" sqref="N7"/>
    </sheetView>
  </sheetViews>
  <sheetFormatPr defaultColWidth="9" defaultRowHeight="15"/>
  <cols>
    <col min="1" max="1" width="2" customWidth="1"/>
    <col min="6" max="6" width="9.85546875" customWidth="1"/>
    <col min="11" max="11" width="10.85546875" customWidth="1"/>
  </cols>
  <sheetData>
    <row r="1" spans="1:11" ht="46.5" customHeight="1">
      <c r="A1" s="612" t="str">
        <f>Detailed!A2</f>
        <v>Name of the Work : Formation of New Channel with CC lining in Godavari Delta System</v>
      </c>
      <c r="B1" s="612"/>
      <c r="C1" s="612"/>
      <c r="D1" s="612"/>
      <c r="E1" s="612"/>
      <c r="F1" s="612"/>
      <c r="G1" s="612"/>
      <c r="H1" s="612"/>
      <c r="I1" s="612"/>
      <c r="J1" s="612"/>
      <c r="K1" s="612"/>
    </row>
    <row r="2" spans="1:11" ht="15.75">
      <c r="A2" s="225" t="s">
        <v>964</v>
      </c>
    </row>
    <row r="6" spans="1:11">
      <c r="B6" s="6">
        <v>600</v>
      </c>
      <c r="F6" s="226" t="s">
        <v>246</v>
      </c>
      <c r="G6" s="7">
        <v>600</v>
      </c>
      <c r="J6" s="8">
        <v>600</v>
      </c>
    </row>
    <row r="7" spans="1:11">
      <c r="B7" s="227"/>
      <c r="J7" s="227"/>
    </row>
    <row r="8" spans="1:11">
      <c r="D8" s="299" t="s">
        <v>718</v>
      </c>
      <c r="E8" s="7">
        <v>700</v>
      </c>
    </row>
    <row r="9" spans="1:11">
      <c r="C9">
        <f>I9</f>
        <v>2343.61</v>
      </c>
      <c r="F9" s="6">
        <f>G6+E8</f>
        <v>1300</v>
      </c>
      <c r="H9" s="294" t="s">
        <v>248</v>
      </c>
      <c r="I9" s="6">
        <f>ROUND(SQRT(F9*F9+I13*I13),2)</f>
        <v>2343.61</v>
      </c>
    </row>
    <row r="11" spans="1:11">
      <c r="E11" s="228"/>
      <c r="F11" s="228"/>
      <c r="G11" s="228"/>
    </row>
    <row r="13" spans="1:11">
      <c r="E13" s="2" t="s">
        <v>249</v>
      </c>
      <c r="F13" s="6">
        <v>1300</v>
      </c>
      <c r="I13" s="6">
        <f>1.5*F9</f>
        <v>1950</v>
      </c>
    </row>
    <row r="16" spans="1:11">
      <c r="B16" s="1" t="s">
        <v>250</v>
      </c>
      <c r="C16" s="1"/>
      <c r="D16" s="229">
        <f>(B6+C9+F13+I9+J6)</f>
        <v>7187.2200000000012</v>
      </c>
      <c r="E16" s="1" t="s">
        <v>251</v>
      </c>
      <c r="F16" s="1" t="str">
        <f>ROUND(D16/1000,2)&amp;"  meter"</f>
        <v>7.19  meter</v>
      </c>
    </row>
    <row r="19" spans="1:10" ht="15.75">
      <c r="A19" s="225" t="s">
        <v>963</v>
      </c>
    </row>
    <row r="23" spans="1:10">
      <c r="B23" s="6">
        <v>600</v>
      </c>
      <c r="F23" s="226" t="s">
        <v>246</v>
      </c>
      <c r="G23" s="7">
        <v>450</v>
      </c>
      <c r="J23" s="8">
        <v>600</v>
      </c>
    </row>
    <row r="24" spans="1:10">
      <c r="B24" s="227"/>
      <c r="J24" s="227"/>
    </row>
    <row r="25" spans="1:10">
      <c r="D25" s="2" t="s">
        <v>247</v>
      </c>
      <c r="E25" s="7">
        <v>750</v>
      </c>
    </row>
    <row r="26" spans="1:10">
      <c r="C26">
        <f>I26</f>
        <v>2163</v>
      </c>
      <c r="F26" s="6">
        <f>G23+E25</f>
        <v>1200</v>
      </c>
      <c r="H26" s="294" t="s">
        <v>248</v>
      </c>
      <c r="I26" s="6">
        <f>ROUND(SQRT(F26*F26+I30*I30),0)</f>
        <v>2163</v>
      </c>
    </row>
    <row r="28" spans="1:10">
      <c r="E28" s="228"/>
      <c r="F28" s="228"/>
      <c r="G28" s="228"/>
    </row>
    <row r="30" spans="1:10">
      <c r="E30" s="2" t="s">
        <v>249</v>
      </c>
      <c r="F30" s="6">
        <v>500</v>
      </c>
      <c r="I30" s="6">
        <f>1.5*F26</f>
        <v>1800</v>
      </c>
    </row>
    <row r="33" spans="1:10">
      <c r="B33" s="1" t="s">
        <v>250</v>
      </c>
      <c r="C33" s="1"/>
      <c r="D33" s="229">
        <f>(B23+C26+F30+I26+J23)</f>
        <v>6026</v>
      </c>
      <c r="E33" s="1" t="s">
        <v>251</v>
      </c>
      <c r="F33" s="1" t="str">
        <f>ROUND(D33/1000,2)&amp;"  meter"</f>
        <v>6.03  meter</v>
      </c>
    </row>
    <row r="35" spans="1:10" ht="15.75">
      <c r="A35" s="225" t="s">
        <v>965</v>
      </c>
      <c r="B35" s="225"/>
    </row>
    <row r="39" spans="1:10">
      <c r="B39" s="6">
        <v>600</v>
      </c>
      <c r="F39" s="226" t="s">
        <v>246</v>
      </c>
      <c r="G39" s="7">
        <v>450</v>
      </c>
      <c r="J39" s="8">
        <v>600</v>
      </c>
    </row>
    <row r="40" spans="1:10">
      <c r="B40" s="227"/>
      <c r="J40" s="227"/>
    </row>
    <row r="41" spans="1:10">
      <c r="D41" s="2" t="s">
        <v>247</v>
      </c>
      <c r="E41" s="7">
        <v>750</v>
      </c>
    </row>
    <row r="42" spans="1:10">
      <c r="C42">
        <f>I42</f>
        <v>2163</v>
      </c>
      <c r="F42" s="6">
        <f>G39+E41</f>
        <v>1200</v>
      </c>
      <c r="H42" s="294" t="s">
        <v>248</v>
      </c>
      <c r="I42" s="6">
        <f>ROUND(SQRT(F42*F42+I46*I46),0)</f>
        <v>2163</v>
      </c>
    </row>
    <row r="44" spans="1:10">
      <c r="E44" s="228"/>
      <c r="F44" s="228"/>
      <c r="G44" s="228"/>
    </row>
    <row r="46" spans="1:10">
      <c r="E46" s="2" t="s">
        <v>249</v>
      </c>
      <c r="F46" s="6">
        <v>400</v>
      </c>
      <c r="I46" s="6">
        <f>1.5*F42</f>
        <v>1800</v>
      </c>
    </row>
    <row r="49" spans="1:10">
      <c r="B49" s="1" t="s">
        <v>250</v>
      </c>
      <c r="C49" s="1"/>
      <c r="D49" s="229">
        <f>(B39+C42+F46+I42+J39)</f>
        <v>5926</v>
      </c>
      <c r="E49" s="1" t="s">
        <v>251</v>
      </c>
      <c r="F49" s="1" t="str">
        <f>ROUND(D49/1000,2)&amp;"  meter"</f>
        <v>5.93  meter</v>
      </c>
    </row>
    <row r="55" spans="1:10" ht="15.75">
      <c r="A55" s="225" t="s">
        <v>966</v>
      </c>
    </row>
    <row r="59" spans="1:10">
      <c r="B59" s="477">
        <v>600</v>
      </c>
      <c r="F59" s="226" t="s">
        <v>246</v>
      </c>
      <c r="G59" s="7">
        <v>450</v>
      </c>
      <c r="J59" s="476">
        <v>600</v>
      </c>
    </row>
    <row r="60" spans="1:10">
      <c r="B60" s="227"/>
      <c r="J60" s="227"/>
    </row>
    <row r="61" spans="1:10">
      <c r="D61" s="363" t="s">
        <v>718</v>
      </c>
      <c r="E61" s="7">
        <v>750</v>
      </c>
    </row>
    <row r="62" spans="1:10">
      <c r="C62">
        <f>I62</f>
        <v>2163.33</v>
      </c>
      <c r="F62" s="477">
        <f>G59+E61</f>
        <v>1200</v>
      </c>
      <c r="H62" s="294" t="s">
        <v>248</v>
      </c>
      <c r="I62" s="477">
        <f>ROUND(SQRT(F62*F62+I66*I66),2)</f>
        <v>2163.33</v>
      </c>
    </row>
    <row r="64" spans="1:10">
      <c r="E64" s="228"/>
      <c r="F64" s="228"/>
      <c r="G64" s="228"/>
    </row>
    <row r="66" spans="1:10">
      <c r="E66" s="363" t="s">
        <v>249</v>
      </c>
      <c r="F66" s="477">
        <v>2200</v>
      </c>
      <c r="I66" s="477">
        <f>1.5*F62</f>
        <v>1800</v>
      </c>
    </row>
    <row r="69" spans="1:10">
      <c r="B69" s="1" t="s">
        <v>250</v>
      </c>
      <c r="C69" s="1"/>
      <c r="D69" s="229">
        <f>(B59+C62+F66+I62+J59)</f>
        <v>7726.66</v>
      </c>
      <c r="E69" s="1" t="s">
        <v>251</v>
      </c>
      <c r="F69" s="1" t="str">
        <f>ROUND(D69/1000,2)&amp;"  meter"</f>
        <v>7.73  meter</v>
      </c>
    </row>
    <row r="72" spans="1:10" ht="15.75">
      <c r="A72" s="225" t="s">
        <v>967</v>
      </c>
    </row>
    <row r="76" spans="1:10">
      <c r="B76" s="477">
        <v>600</v>
      </c>
      <c r="F76" s="226" t="s">
        <v>246</v>
      </c>
      <c r="G76" s="7">
        <v>450</v>
      </c>
      <c r="J76" s="476">
        <v>600</v>
      </c>
    </row>
    <row r="77" spans="1:10">
      <c r="B77" s="227"/>
      <c r="J77" s="227"/>
    </row>
    <row r="78" spans="1:10">
      <c r="D78" s="363" t="s">
        <v>247</v>
      </c>
      <c r="E78" s="7">
        <v>750</v>
      </c>
    </row>
    <row r="79" spans="1:10">
      <c r="C79">
        <f>I79</f>
        <v>2163</v>
      </c>
      <c r="F79" s="477">
        <f>G76+E78</f>
        <v>1200</v>
      </c>
      <c r="H79" s="294" t="s">
        <v>248</v>
      </c>
      <c r="I79" s="477">
        <f>ROUND(SQRT(F79*F79+I83*I83),0)</f>
        <v>2163</v>
      </c>
    </row>
    <row r="81" spans="1:10">
      <c r="E81" s="228"/>
      <c r="F81" s="228"/>
      <c r="G81" s="228"/>
    </row>
    <row r="83" spans="1:10">
      <c r="E83" s="363" t="s">
        <v>249</v>
      </c>
      <c r="F83" s="477">
        <v>1600</v>
      </c>
      <c r="I83" s="477">
        <f>1.5*F79</f>
        <v>1800</v>
      </c>
    </row>
    <row r="86" spans="1:10">
      <c r="B86" s="1" t="s">
        <v>250</v>
      </c>
      <c r="C86" s="1"/>
      <c r="D86" s="229">
        <f>(B76+C79+F83+I79+J76)</f>
        <v>7126</v>
      </c>
      <c r="E86" s="1" t="s">
        <v>251</v>
      </c>
      <c r="F86" s="1" t="str">
        <f>ROUND(D86/1000,2)&amp;"  meter"</f>
        <v>7.13  meter</v>
      </c>
    </row>
    <row r="88" spans="1:10" ht="15.75">
      <c r="A88" s="225" t="s">
        <v>968</v>
      </c>
      <c r="B88" s="225"/>
    </row>
    <row r="92" spans="1:10">
      <c r="B92" s="477">
        <v>600</v>
      </c>
      <c r="F92" s="226" t="s">
        <v>246</v>
      </c>
      <c r="G92" s="7">
        <v>450</v>
      </c>
      <c r="J92" s="476">
        <v>600</v>
      </c>
    </row>
    <row r="93" spans="1:10">
      <c r="B93" s="227"/>
      <c r="J93" s="227"/>
    </row>
    <row r="94" spans="1:10">
      <c r="D94" s="363" t="s">
        <v>247</v>
      </c>
      <c r="E94" s="7">
        <v>600</v>
      </c>
    </row>
    <row r="95" spans="1:10">
      <c r="C95">
        <f>I95</f>
        <v>1893</v>
      </c>
      <c r="F95" s="477">
        <f>G92+E94</f>
        <v>1050</v>
      </c>
      <c r="H95" s="294" t="s">
        <v>248</v>
      </c>
      <c r="I95" s="477">
        <f>ROUND(SQRT(F95*F95+I99*I99),0)</f>
        <v>1893</v>
      </c>
    </row>
    <row r="97" spans="1:9">
      <c r="E97" s="228"/>
      <c r="F97" s="228"/>
      <c r="G97" s="228"/>
    </row>
    <row r="99" spans="1:9">
      <c r="E99" s="363" t="s">
        <v>249</v>
      </c>
      <c r="F99" s="477">
        <v>1100</v>
      </c>
      <c r="I99" s="477">
        <f>1.5*F95</f>
        <v>1575</v>
      </c>
    </row>
    <row r="102" spans="1:9">
      <c r="B102" s="1" t="s">
        <v>250</v>
      </c>
      <c r="C102" s="1"/>
      <c r="D102" s="229">
        <f>(B92+C95+F99+I95+J92)</f>
        <v>6086</v>
      </c>
      <c r="E102" s="1" t="s">
        <v>251</v>
      </c>
      <c r="F102" s="1" t="str">
        <f>ROUND(D102/1000,2)&amp;"  meter"</f>
        <v>6.09  meter</v>
      </c>
    </row>
    <row r="111" spans="1:9" ht="15.75">
      <c r="A111" s="225" t="s">
        <v>969</v>
      </c>
      <c r="B111" s="225"/>
    </row>
    <row r="115" spans="2:10">
      <c r="B115" s="477">
        <v>600</v>
      </c>
      <c r="F115" s="226" t="s">
        <v>246</v>
      </c>
      <c r="G115" s="7">
        <v>450</v>
      </c>
      <c r="J115" s="476">
        <v>600</v>
      </c>
    </row>
    <row r="116" spans="2:10">
      <c r="B116" s="227"/>
      <c r="J116" s="227"/>
    </row>
    <row r="117" spans="2:10">
      <c r="D117" s="363" t="s">
        <v>247</v>
      </c>
      <c r="E117" s="7">
        <v>750</v>
      </c>
    </row>
    <row r="118" spans="2:10">
      <c r="C118">
        <f>I118</f>
        <v>2163</v>
      </c>
      <c r="F118" s="477">
        <f>G115+E117</f>
        <v>1200</v>
      </c>
      <c r="H118" s="294" t="s">
        <v>248</v>
      </c>
      <c r="I118" s="477">
        <f>ROUND(SQRT(F118*F118+I122*I122),0)</f>
        <v>2163</v>
      </c>
    </row>
    <row r="120" spans="2:10">
      <c r="E120" s="228"/>
      <c r="F120" s="228"/>
      <c r="G120" s="228"/>
    </row>
    <row r="122" spans="2:10">
      <c r="E122" s="363" t="s">
        <v>249</v>
      </c>
      <c r="F122" s="477">
        <v>900</v>
      </c>
      <c r="I122" s="477">
        <f>1.5*F118</f>
        <v>1800</v>
      </c>
    </row>
    <row r="125" spans="2:10">
      <c r="B125" s="1" t="s">
        <v>250</v>
      </c>
      <c r="C125" s="1"/>
      <c r="D125" s="229">
        <f>(B115+C118+F122+I118+J115)</f>
        <v>6426</v>
      </c>
      <c r="E125" s="1" t="s">
        <v>251</v>
      </c>
      <c r="F125" s="1" t="str">
        <f>ROUND(D125/1000,2)&amp;"  meter"</f>
        <v>6.43  meter</v>
      </c>
    </row>
  </sheetData>
  <mergeCells count="1">
    <mergeCell ref="A1:K1"/>
  </mergeCells>
  <pageMargins left="0.95" right="0.45"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sheetPr>
    <tabColor rgb="FF00B050"/>
  </sheetPr>
  <dimension ref="A1:K125"/>
  <sheetViews>
    <sheetView workbookViewId="0">
      <selection activeCell="R5" sqref="R5"/>
    </sheetView>
  </sheetViews>
  <sheetFormatPr defaultColWidth="9" defaultRowHeight="15"/>
  <cols>
    <col min="1" max="1" width="2" customWidth="1"/>
    <col min="6" max="6" width="9.85546875" customWidth="1"/>
    <col min="11" max="11" width="10.85546875" customWidth="1"/>
  </cols>
  <sheetData>
    <row r="1" spans="1:11" ht="46.5" customHeight="1">
      <c r="A1" s="612" t="str">
        <f>Detailed!A2</f>
        <v>Name of the Work : Formation of New Channel with CC lining in Godavari Delta System</v>
      </c>
      <c r="B1" s="612"/>
      <c r="C1" s="612"/>
      <c r="D1" s="612"/>
      <c r="E1" s="612"/>
      <c r="F1" s="612"/>
      <c r="G1" s="612"/>
      <c r="H1" s="612"/>
      <c r="I1" s="612"/>
      <c r="J1" s="612"/>
      <c r="K1" s="612"/>
    </row>
    <row r="2" spans="1:11" ht="15.75">
      <c r="A2" s="225" t="s">
        <v>904</v>
      </c>
    </row>
    <row r="6" spans="1:11">
      <c r="B6" s="477">
        <v>300</v>
      </c>
      <c r="F6" s="226" t="s">
        <v>246</v>
      </c>
      <c r="G6" s="7">
        <v>600</v>
      </c>
      <c r="J6" s="476">
        <v>300</v>
      </c>
    </row>
    <row r="7" spans="1:11">
      <c r="B7" s="227"/>
      <c r="J7" s="227"/>
    </row>
    <row r="8" spans="1:11">
      <c r="D8" s="363" t="s">
        <v>718</v>
      </c>
      <c r="E8" s="7">
        <v>700</v>
      </c>
    </row>
    <row r="9" spans="1:11">
      <c r="C9">
        <f>I9</f>
        <v>2343.61</v>
      </c>
      <c r="F9" s="477">
        <f>G6+E8</f>
        <v>1300</v>
      </c>
      <c r="H9" s="294" t="s">
        <v>248</v>
      </c>
      <c r="I9" s="477">
        <f>ROUND(SQRT(F9*F9+I13*I13),2)</f>
        <v>2343.61</v>
      </c>
    </row>
    <row r="11" spans="1:11">
      <c r="E11" s="228"/>
      <c r="F11" s="228"/>
      <c r="G11" s="228"/>
    </row>
    <row r="13" spans="1:11">
      <c r="E13" s="363" t="s">
        <v>249</v>
      </c>
      <c r="F13" s="477">
        <v>1300</v>
      </c>
      <c r="I13" s="477">
        <f>1.5*F9</f>
        <v>1950</v>
      </c>
    </row>
    <row r="16" spans="1:11">
      <c r="B16" s="1" t="s">
        <v>250</v>
      </c>
      <c r="C16" s="1"/>
      <c r="D16" s="229">
        <f>(B6+C9+F13+I9+J6)</f>
        <v>6587.22</v>
      </c>
      <c r="E16" s="1" t="s">
        <v>251</v>
      </c>
      <c r="F16" s="1" t="str">
        <f>ROUND(D16/1000,2)&amp;"  meter"</f>
        <v>6.59  meter</v>
      </c>
    </row>
    <row r="19" spans="1:10" ht="15.75">
      <c r="A19" s="225" t="s">
        <v>905</v>
      </c>
    </row>
    <row r="23" spans="1:10">
      <c r="B23" s="477">
        <v>300</v>
      </c>
      <c r="F23" s="226" t="s">
        <v>246</v>
      </c>
      <c r="G23" s="7">
        <v>450</v>
      </c>
      <c r="J23" s="476">
        <v>300</v>
      </c>
    </row>
    <row r="24" spans="1:10">
      <c r="B24" s="227"/>
      <c r="J24" s="227"/>
    </row>
    <row r="25" spans="1:10">
      <c r="D25" s="363" t="s">
        <v>247</v>
      </c>
      <c r="E25" s="7">
        <v>750</v>
      </c>
    </row>
    <row r="26" spans="1:10">
      <c r="C26">
        <f>I26</f>
        <v>2163</v>
      </c>
      <c r="F26" s="477">
        <f>G23+E25</f>
        <v>1200</v>
      </c>
      <c r="H26" s="294" t="s">
        <v>248</v>
      </c>
      <c r="I26" s="477">
        <f>ROUND(SQRT(F26*F26+I30*I30),0)</f>
        <v>2163</v>
      </c>
    </row>
    <row r="28" spans="1:10">
      <c r="E28" s="228"/>
      <c r="F28" s="228"/>
      <c r="G28" s="228"/>
    </row>
    <row r="30" spans="1:10">
      <c r="E30" s="363" t="s">
        <v>249</v>
      </c>
      <c r="F30" s="477">
        <v>500</v>
      </c>
      <c r="I30" s="477">
        <f>1.5*F26</f>
        <v>1800</v>
      </c>
    </row>
    <row r="33" spans="1:10">
      <c r="B33" s="1" t="s">
        <v>250</v>
      </c>
      <c r="C33" s="1"/>
      <c r="D33" s="229">
        <f>(B23+C26+F30+I26+J23)</f>
        <v>5426</v>
      </c>
      <c r="E33" s="1" t="s">
        <v>251</v>
      </c>
      <c r="F33" s="1" t="str">
        <f>ROUND(D33/1000,2)&amp;"  meter"</f>
        <v>5.43  meter</v>
      </c>
    </row>
    <row r="35" spans="1:10" ht="15.75">
      <c r="A35" s="225" t="s">
        <v>906</v>
      </c>
      <c r="B35" s="225"/>
    </row>
    <row r="39" spans="1:10">
      <c r="B39" s="477">
        <v>300</v>
      </c>
      <c r="F39" s="226" t="s">
        <v>246</v>
      </c>
      <c r="G39" s="7">
        <v>450</v>
      </c>
      <c r="J39" s="476">
        <v>300</v>
      </c>
    </row>
    <row r="40" spans="1:10">
      <c r="B40" s="227"/>
      <c r="J40" s="227"/>
    </row>
    <row r="41" spans="1:10">
      <c r="D41" s="363" t="s">
        <v>247</v>
      </c>
      <c r="E41" s="7">
        <v>750</v>
      </c>
    </row>
    <row r="42" spans="1:10">
      <c r="C42">
        <f>I42</f>
        <v>2163</v>
      </c>
      <c r="F42" s="477">
        <f>G39+E41</f>
        <v>1200</v>
      </c>
      <c r="H42" s="294" t="s">
        <v>248</v>
      </c>
      <c r="I42" s="477">
        <f>ROUND(SQRT(F42*F42+I46*I46),0)</f>
        <v>2163</v>
      </c>
    </row>
    <row r="44" spans="1:10">
      <c r="E44" s="228"/>
      <c r="F44" s="228"/>
      <c r="G44" s="228"/>
    </row>
    <row r="46" spans="1:10">
      <c r="E46" s="363" t="s">
        <v>249</v>
      </c>
      <c r="F46" s="477">
        <v>400</v>
      </c>
      <c r="I46" s="477">
        <f>1.5*F42</f>
        <v>1800</v>
      </c>
    </row>
    <row r="49" spans="1:10">
      <c r="B49" s="1" t="s">
        <v>250</v>
      </c>
      <c r="C49" s="1"/>
      <c r="D49" s="229">
        <f>(B39+C42+F46+I42+J39)</f>
        <v>5326</v>
      </c>
      <c r="E49" s="1" t="s">
        <v>251</v>
      </c>
      <c r="F49" s="1" t="str">
        <f>ROUND(D49/1000,2)&amp;"  meter"</f>
        <v>5.33  meter</v>
      </c>
    </row>
    <row r="55" spans="1:10" ht="15.75">
      <c r="A55" s="225" t="s">
        <v>907</v>
      </c>
    </row>
    <row r="59" spans="1:10">
      <c r="B59" s="477">
        <v>300</v>
      </c>
      <c r="F59" s="226" t="s">
        <v>246</v>
      </c>
      <c r="G59" s="7">
        <v>450</v>
      </c>
      <c r="J59" s="476">
        <v>300</v>
      </c>
    </row>
    <row r="60" spans="1:10">
      <c r="B60" s="227"/>
      <c r="J60" s="227"/>
    </row>
    <row r="61" spans="1:10">
      <c r="D61" s="363" t="s">
        <v>718</v>
      </c>
      <c r="E61" s="7">
        <v>750</v>
      </c>
    </row>
    <row r="62" spans="1:10">
      <c r="C62">
        <f>I62</f>
        <v>2163.33</v>
      </c>
      <c r="F62" s="477">
        <f>G59+E61</f>
        <v>1200</v>
      </c>
      <c r="H62" s="294" t="s">
        <v>248</v>
      </c>
      <c r="I62" s="477">
        <f>ROUND(SQRT(F62*F62+I66*I66),2)</f>
        <v>2163.33</v>
      </c>
    </row>
    <row r="64" spans="1:10">
      <c r="E64" s="228"/>
      <c r="F64" s="228"/>
      <c r="G64" s="228"/>
    </row>
    <row r="66" spans="1:10">
      <c r="E66" s="363" t="s">
        <v>249</v>
      </c>
      <c r="F66" s="477">
        <v>2200</v>
      </c>
      <c r="I66" s="477">
        <f>1.5*F62</f>
        <v>1800</v>
      </c>
    </row>
    <row r="69" spans="1:10">
      <c r="B69" s="1" t="s">
        <v>250</v>
      </c>
      <c r="C69" s="1"/>
      <c r="D69" s="229">
        <f>(B59+C62+F66+I62+J59)</f>
        <v>7126.66</v>
      </c>
      <c r="E69" s="1" t="s">
        <v>251</v>
      </c>
      <c r="F69" s="1" t="str">
        <f>ROUND(D69/1000,2)&amp;"  meter"</f>
        <v>7.13  meter</v>
      </c>
    </row>
    <row r="72" spans="1:10" ht="15.75">
      <c r="A72" s="225" t="s">
        <v>908</v>
      </c>
    </row>
    <row r="76" spans="1:10">
      <c r="B76" s="477">
        <v>300</v>
      </c>
      <c r="F76" s="226" t="s">
        <v>246</v>
      </c>
      <c r="G76" s="7">
        <v>450</v>
      </c>
      <c r="J76" s="476">
        <v>300</v>
      </c>
    </row>
    <row r="77" spans="1:10">
      <c r="B77" s="227"/>
      <c r="J77" s="227"/>
    </row>
    <row r="78" spans="1:10">
      <c r="D78" s="363" t="s">
        <v>247</v>
      </c>
      <c r="E78" s="7">
        <v>750</v>
      </c>
    </row>
    <row r="79" spans="1:10">
      <c r="C79">
        <f>I79</f>
        <v>2163</v>
      </c>
      <c r="F79" s="477">
        <f>G76+E78</f>
        <v>1200</v>
      </c>
      <c r="H79" s="294" t="s">
        <v>248</v>
      </c>
      <c r="I79" s="477">
        <f>ROUND(SQRT(F79*F79+I83*I83),0)</f>
        <v>2163</v>
      </c>
    </row>
    <row r="81" spans="1:10">
      <c r="E81" s="228"/>
      <c r="F81" s="228"/>
      <c r="G81" s="228"/>
    </row>
    <row r="83" spans="1:10">
      <c r="E83" s="363" t="s">
        <v>249</v>
      </c>
      <c r="F83" s="477">
        <v>1600</v>
      </c>
      <c r="I83" s="477">
        <f>1.5*F79</f>
        <v>1800</v>
      </c>
    </row>
    <row r="86" spans="1:10">
      <c r="B86" s="1" t="s">
        <v>250</v>
      </c>
      <c r="C86" s="1"/>
      <c r="D86" s="229">
        <f>(B76+C79+F83+I79+J76)</f>
        <v>6526</v>
      </c>
      <c r="E86" s="1" t="s">
        <v>251</v>
      </c>
      <c r="F86" s="1" t="str">
        <f>ROUND(D86/1000,2)&amp;"  meter"</f>
        <v>6.53  meter</v>
      </c>
    </row>
    <row r="88" spans="1:10" ht="15.75">
      <c r="A88" s="225" t="s">
        <v>909</v>
      </c>
      <c r="B88" s="225"/>
    </row>
    <row r="92" spans="1:10">
      <c r="B92" s="477">
        <v>300</v>
      </c>
      <c r="F92" s="226" t="s">
        <v>246</v>
      </c>
      <c r="G92" s="7">
        <v>450</v>
      </c>
      <c r="J92" s="476">
        <v>300</v>
      </c>
    </row>
    <row r="93" spans="1:10">
      <c r="B93" s="227"/>
      <c r="J93" s="227"/>
    </row>
    <row r="94" spans="1:10">
      <c r="D94" s="363" t="s">
        <v>247</v>
      </c>
      <c r="E94" s="7">
        <v>600</v>
      </c>
    </row>
    <row r="95" spans="1:10">
      <c r="C95">
        <f>I95</f>
        <v>1893</v>
      </c>
      <c r="F95" s="477">
        <f>G92+E94</f>
        <v>1050</v>
      </c>
      <c r="H95" s="294" t="s">
        <v>248</v>
      </c>
      <c r="I95" s="477">
        <f>ROUND(SQRT(F95*F95+I99*I99),0)</f>
        <v>1893</v>
      </c>
    </row>
    <row r="97" spans="1:9">
      <c r="E97" s="228"/>
      <c r="F97" s="228"/>
      <c r="G97" s="228"/>
    </row>
    <row r="99" spans="1:9">
      <c r="E99" s="363" t="s">
        <v>249</v>
      </c>
      <c r="F99" s="477">
        <v>1100</v>
      </c>
      <c r="I99" s="477">
        <f>1.5*F95</f>
        <v>1575</v>
      </c>
    </row>
    <row r="102" spans="1:9">
      <c r="B102" s="1" t="s">
        <v>250</v>
      </c>
      <c r="C102" s="1"/>
      <c r="D102" s="229">
        <f>(B92+C95+F99+I95+J92)</f>
        <v>5486</v>
      </c>
      <c r="E102" s="1" t="s">
        <v>251</v>
      </c>
      <c r="F102" s="1" t="str">
        <f>ROUND(D102/1000,2)&amp;"  meter"</f>
        <v>5.49  meter</v>
      </c>
    </row>
    <row r="111" spans="1:9" ht="15.75">
      <c r="A111" s="225" t="s">
        <v>910</v>
      </c>
      <c r="B111" s="225"/>
    </row>
    <row r="115" spans="2:10">
      <c r="B115" s="477">
        <v>300</v>
      </c>
      <c r="F115" s="226" t="s">
        <v>246</v>
      </c>
      <c r="G115" s="7">
        <v>450</v>
      </c>
      <c r="J115" s="476">
        <v>300</v>
      </c>
    </row>
    <row r="116" spans="2:10">
      <c r="B116" s="227"/>
      <c r="J116" s="227"/>
    </row>
    <row r="117" spans="2:10">
      <c r="D117" s="363" t="s">
        <v>247</v>
      </c>
      <c r="E117" s="7">
        <v>750</v>
      </c>
    </row>
    <row r="118" spans="2:10">
      <c r="C118">
        <f>I118</f>
        <v>2163</v>
      </c>
      <c r="F118" s="477">
        <f>G115+E117</f>
        <v>1200</v>
      </c>
      <c r="H118" s="294" t="s">
        <v>248</v>
      </c>
      <c r="I118" s="477">
        <f>ROUND(SQRT(F118*F118+I122*I122),0)</f>
        <v>2163</v>
      </c>
    </row>
    <row r="120" spans="2:10">
      <c r="E120" s="228"/>
      <c r="F120" s="228"/>
      <c r="G120" s="228"/>
    </row>
    <row r="122" spans="2:10">
      <c r="E122" s="363" t="s">
        <v>249</v>
      </c>
      <c r="F122" s="477">
        <v>900</v>
      </c>
      <c r="I122" s="477">
        <f>1.5*F118</f>
        <v>1800</v>
      </c>
    </row>
    <row r="125" spans="2:10">
      <c r="B125" s="1" t="s">
        <v>250</v>
      </c>
      <c r="C125" s="1"/>
      <c r="D125" s="229">
        <f>(B115+C118+F122+I118+J115)</f>
        <v>5826</v>
      </c>
      <c r="E125" s="1" t="s">
        <v>251</v>
      </c>
      <c r="F125" s="1" t="str">
        <f>ROUND(D125/1000,2)&amp;"  meter"</f>
        <v>5.83  meter</v>
      </c>
    </row>
  </sheetData>
  <mergeCells count="1">
    <mergeCell ref="A1:K1"/>
  </mergeCells>
  <pageMargins left="0.95" right="0.45" top="0.75" bottom="0.75" header="0.3" footer="0.3"/>
  <pageSetup paperSize="9" scale="90" orientation="portrait" r:id="rId1"/>
  <drawing r:id="rId2"/>
</worksheet>
</file>

<file path=xl/worksheets/sheet9.xml><?xml version="1.0" encoding="utf-8"?>
<worksheet xmlns="http://schemas.openxmlformats.org/spreadsheetml/2006/main" xmlns:r="http://schemas.openxmlformats.org/officeDocument/2006/relationships">
  <sheetPr>
    <tabColor rgb="FF00B050"/>
  </sheetPr>
  <dimension ref="A1:K17"/>
  <sheetViews>
    <sheetView workbookViewId="0">
      <selection activeCell="P19" sqref="P19"/>
    </sheetView>
  </sheetViews>
  <sheetFormatPr defaultColWidth="9.140625" defaultRowHeight="15.75"/>
  <cols>
    <col min="1" max="1" width="5.42578125" style="4" customWidth="1"/>
    <col min="2" max="2" width="25.5703125" style="4" customWidth="1"/>
    <col min="3" max="3" width="11.5703125" style="4" customWidth="1"/>
    <col min="4" max="5" width="8.85546875" style="4" customWidth="1"/>
    <col min="6" max="6" width="10.5703125" style="4" customWidth="1"/>
    <col min="7" max="7" width="12" style="4" customWidth="1"/>
    <col min="8" max="8" width="9" style="4" customWidth="1"/>
    <col min="9" max="9" width="10.42578125" style="4" customWidth="1"/>
    <col min="10" max="10" width="10.7109375" style="4" customWidth="1"/>
    <col min="11" max="11" width="13" style="4" customWidth="1"/>
    <col min="12" max="16384" width="9.140625" style="4"/>
  </cols>
  <sheetData>
    <row r="1" spans="1:11">
      <c r="A1" s="615" t="s">
        <v>1148</v>
      </c>
      <c r="B1" s="615"/>
      <c r="C1" s="615"/>
      <c r="D1" s="615"/>
      <c r="E1" s="615"/>
      <c r="F1" s="615"/>
      <c r="G1" s="615"/>
      <c r="H1" s="615"/>
      <c r="I1" s="615"/>
      <c r="J1" s="615"/>
      <c r="K1" s="615"/>
    </row>
    <row r="2" spans="1:11" ht="56.25" customHeight="1">
      <c r="A2" s="616" t="str">
        <f>Absrtact!A2</f>
        <v>Name of the Work : Formation of New Channel with CC lining in Godavari Delta System</v>
      </c>
      <c r="B2" s="616"/>
      <c r="C2" s="616"/>
      <c r="D2" s="616"/>
      <c r="E2" s="616"/>
      <c r="F2" s="616"/>
      <c r="G2" s="616"/>
      <c r="H2" s="616"/>
      <c r="I2" s="616"/>
      <c r="J2" s="616"/>
      <c r="K2" s="616"/>
    </row>
    <row r="3" spans="1:11">
      <c r="A3" s="614" t="s">
        <v>234</v>
      </c>
      <c r="B3" s="614" t="s">
        <v>448</v>
      </c>
      <c r="C3" s="614" t="s">
        <v>449</v>
      </c>
      <c r="D3" s="617" t="s">
        <v>450</v>
      </c>
      <c r="E3" s="617"/>
      <c r="F3" s="617"/>
      <c r="G3" s="617"/>
      <c r="H3" s="618" t="s">
        <v>451</v>
      </c>
      <c r="I3" s="619"/>
      <c r="J3" s="619"/>
      <c r="K3" s="620"/>
    </row>
    <row r="4" spans="1:11" ht="47.25">
      <c r="A4" s="614"/>
      <c r="B4" s="614"/>
      <c r="C4" s="614"/>
      <c r="D4" s="146" t="s">
        <v>452</v>
      </c>
      <c r="E4" s="146" t="s">
        <v>453</v>
      </c>
      <c r="F4" s="146" t="s">
        <v>454</v>
      </c>
      <c r="G4" s="146" t="s">
        <v>455</v>
      </c>
      <c r="H4" s="146" t="s">
        <v>452</v>
      </c>
      <c r="I4" s="146" t="s">
        <v>453</v>
      </c>
      <c r="J4" s="146" t="s">
        <v>454</v>
      </c>
      <c r="K4" s="146" t="s">
        <v>455</v>
      </c>
    </row>
    <row r="5" spans="1:11" s="145" customFormat="1" ht="24.95" customHeight="1">
      <c r="A5" s="147">
        <v>1</v>
      </c>
      <c r="B5" s="148" t="s">
        <v>456</v>
      </c>
      <c r="C5" s="149">
        <f>Absrtact!B18</f>
        <v>1333</v>
      </c>
      <c r="D5" s="147">
        <v>0</v>
      </c>
      <c r="E5" s="147">
        <v>0</v>
      </c>
      <c r="F5" s="147">
        <v>0</v>
      </c>
      <c r="G5" s="147">
        <f>E5*F5</f>
        <v>0</v>
      </c>
      <c r="H5" s="149">
        <v>1</v>
      </c>
      <c r="I5" s="149">
        <f>C5*H5</f>
        <v>1333</v>
      </c>
      <c r="J5" s="149">
        <v>45</v>
      </c>
      <c r="K5" s="149">
        <f>I5*J5</f>
        <v>59985</v>
      </c>
    </row>
    <row r="6" spans="1:11" s="145" customFormat="1" ht="24.95" customHeight="1">
      <c r="A6" s="147">
        <v>2</v>
      </c>
      <c r="B6" s="148" t="s">
        <v>457</v>
      </c>
      <c r="C6" s="149">
        <f>Absrtact!B5</f>
        <v>15154</v>
      </c>
      <c r="D6" s="147">
        <v>0</v>
      </c>
      <c r="E6" s="147">
        <v>0</v>
      </c>
      <c r="F6" s="147">
        <v>0</v>
      </c>
      <c r="G6" s="147">
        <v>0</v>
      </c>
      <c r="H6" s="149">
        <v>1</v>
      </c>
      <c r="I6" s="149">
        <f>C6</f>
        <v>15154</v>
      </c>
      <c r="J6" s="149">
        <v>45</v>
      </c>
      <c r="K6" s="149">
        <f>I6*J6</f>
        <v>681930</v>
      </c>
    </row>
    <row r="7" spans="1:11" s="145" customFormat="1" ht="24.95" customHeight="1">
      <c r="A7" s="147">
        <v>3</v>
      </c>
      <c r="B7" s="148" t="s">
        <v>458</v>
      </c>
      <c r="C7" s="149">
        <f>Absrtact!B12</f>
        <v>941</v>
      </c>
      <c r="D7" s="147">
        <v>0</v>
      </c>
      <c r="E7" s="147">
        <f>C7*D7</f>
        <v>0</v>
      </c>
      <c r="F7" s="147">
        <v>0</v>
      </c>
      <c r="G7" s="147">
        <f t="shared" ref="G7:G11" si="0">E7*F7</f>
        <v>0</v>
      </c>
      <c r="H7" s="149">
        <v>1</v>
      </c>
      <c r="I7" s="149">
        <f t="shared" ref="I7:I11" si="1">C7*H7</f>
        <v>941</v>
      </c>
      <c r="J7" s="149">
        <v>100</v>
      </c>
      <c r="K7" s="149">
        <f t="shared" ref="K7:K11" si="2">I7*J7</f>
        <v>94100</v>
      </c>
    </row>
    <row r="8" spans="1:11" s="145" customFormat="1" ht="24.95" customHeight="1">
      <c r="A8" s="460">
        <v>4</v>
      </c>
      <c r="B8" s="148" t="s">
        <v>870</v>
      </c>
      <c r="C8" s="149">
        <f>Absrtact!B13</f>
        <v>38</v>
      </c>
      <c r="D8" s="460">
        <v>0.9</v>
      </c>
      <c r="E8" s="460">
        <f>D8*C8</f>
        <v>34.200000000000003</v>
      </c>
      <c r="F8" s="149">
        <v>90</v>
      </c>
      <c r="G8" s="150">
        <f>F8*E8</f>
        <v>3078.0000000000005</v>
      </c>
      <c r="H8" s="149">
        <v>0.4</v>
      </c>
      <c r="I8" s="149">
        <f>H8*C8</f>
        <v>15.200000000000001</v>
      </c>
      <c r="J8" s="149">
        <v>100</v>
      </c>
      <c r="K8" s="149">
        <f>J8*I8</f>
        <v>1520</v>
      </c>
    </row>
    <row r="9" spans="1:11" s="145" customFormat="1" ht="24.95" customHeight="1">
      <c r="A9" s="460">
        <v>5</v>
      </c>
      <c r="B9" s="148" t="s">
        <v>869</v>
      </c>
      <c r="C9" s="149">
        <f>Absrtact!B7*0.075</f>
        <v>6896.8499999999995</v>
      </c>
      <c r="D9" s="147">
        <v>0.8</v>
      </c>
      <c r="E9" s="147">
        <f>D9*C9</f>
        <v>5517.48</v>
      </c>
      <c r="F9" s="149">
        <v>90</v>
      </c>
      <c r="G9" s="150">
        <f>F9*E9</f>
        <v>496573.19999999995</v>
      </c>
      <c r="H9" s="149">
        <v>0.45</v>
      </c>
      <c r="I9" s="149">
        <f>H9*C9</f>
        <v>3103.5825</v>
      </c>
      <c r="J9" s="149">
        <v>100</v>
      </c>
      <c r="K9" s="149">
        <f>J9*I9</f>
        <v>310358.25</v>
      </c>
    </row>
    <row r="10" spans="1:11" s="145" customFormat="1" ht="24.95" customHeight="1">
      <c r="A10" s="460">
        <v>6</v>
      </c>
      <c r="B10" s="148" t="s">
        <v>459</v>
      </c>
      <c r="C10" s="149">
        <f>Absrtact!B14</f>
        <v>1170</v>
      </c>
      <c r="D10" s="149">
        <v>0.9</v>
      </c>
      <c r="E10" s="147">
        <f t="shared" ref="E10:E11" si="3">C10*D10</f>
        <v>1053</v>
      </c>
      <c r="F10" s="149">
        <v>90</v>
      </c>
      <c r="G10" s="150">
        <f t="shared" si="0"/>
        <v>94770</v>
      </c>
      <c r="H10" s="149">
        <v>0.4</v>
      </c>
      <c r="I10" s="149">
        <f t="shared" si="1"/>
        <v>468</v>
      </c>
      <c r="J10" s="149">
        <v>100</v>
      </c>
      <c r="K10" s="149">
        <f t="shared" si="2"/>
        <v>46800</v>
      </c>
    </row>
    <row r="11" spans="1:11" s="145" customFormat="1" ht="24.95" customHeight="1">
      <c r="A11" s="460">
        <v>7</v>
      </c>
      <c r="B11" s="151" t="s">
        <v>460</v>
      </c>
      <c r="C11" s="149">
        <f>Absrtact!B15</f>
        <v>1440</v>
      </c>
      <c r="D11" s="149">
        <v>0.8</v>
      </c>
      <c r="E11" s="147">
        <f t="shared" si="3"/>
        <v>1152</v>
      </c>
      <c r="F11" s="149">
        <v>90</v>
      </c>
      <c r="G11" s="150">
        <f t="shared" si="0"/>
        <v>103680</v>
      </c>
      <c r="H11" s="149">
        <v>0.45</v>
      </c>
      <c r="I11" s="149">
        <f t="shared" si="1"/>
        <v>648</v>
      </c>
      <c r="J11" s="149">
        <v>100</v>
      </c>
      <c r="K11" s="149">
        <f t="shared" si="2"/>
        <v>64800</v>
      </c>
    </row>
    <row r="12" spans="1:11" s="145" customFormat="1" ht="24.95" customHeight="1">
      <c r="A12" s="500">
        <v>8</v>
      </c>
      <c r="B12" s="501" t="s">
        <v>999</v>
      </c>
      <c r="C12" s="502">
        <f>Absrtact!B16</f>
        <v>4</v>
      </c>
      <c r="D12" s="149">
        <v>0.8</v>
      </c>
      <c r="E12" s="498">
        <f t="shared" ref="E12" si="4">C12*D12</f>
        <v>3.2</v>
      </c>
      <c r="F12" s="149">
        <v>90</v>
      </c>
      <c r="G12" s="150">
        <f t="shared" ref="G12" si="5">E12*F12</f>
        <v>288</v>
      </c>
      <c r="H12" s="149">
        <v>0.45</v>
      </c>
      <c r="I12" s="149">
        <f t="shared" ref="I12" si="6">C12*H12</f>
        <v>1.8</v>
      </c>
      <c r="J12" s="149">
        <v>100</v>
      </c>
      <c r="K12" s="149">
        <f t="shared" ref="K12" si="7">I12*J12</f>
        <v>180</v>
      </c>
    </row>
    <row r="13" spans="1:11" s="145" customFormat="1" ht="24.95" customHeight="1">
      <c r="A13" s="147"/>
      <c r="B13" s="148"/>
      <c r="C13" s="147"/>
      <c r="D13" s="147"/>
      <c r="E13" s="147"/>
      <c r="F13" s="147"/>
      <c r="G13" s="152">
        <f>SUM(G5:G12)</f>
        <v>698389.2</v>
      </c>
      <c r="H13" s="149"/>
      <c r="I13" s="147"/>
      <c r="J13" s="147"/>
      <c r="K13" s="153">
        <f>SUM(K5:K12)</f>
        <v>1259673.25</v>
      </c>
    </row>
    <row r="16" spans="1:11">
      <c r="B16" s="4" t="s">
        <v>461</v>
      </c>
      <c r="D16" s="621">
        <f>G13+K13</f>
        <v>1958062.45</v>
      </c>
      <c r="E16" s="621"/>
    </row>
    <row r="17" spans="3:5">
      <c r="C17" s="4" t="s">
        <v>462</v>
      </c>
      <c r="D17" s="613">
        <f>ROUND(D16,0)</f>
        <v>1958062</v>
      </c>
      <c r="E17" s="613"/>
    </row>
  </sheetData>
  <mergeCells count="9">
    <mergeCell ref="D17:E17"/>
    <mergeCell ref="A3:A4"/>
    <mergeCell ref="B3:B4"/>
    <mergeCell ref="C3:C4"/>
    <mergeCell ref="A1:K1"/>
    <mergeCell ref="A2:K2"/>
    <mergeCell ref="D3:G3"/>
    <mergeCell ref="H3:K3"/>
    <mergeCell ref="D16:E16"/>
  </mergeCells>
  <pageMargins left="1"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vt:i4>
      </vt:variant>
    </vt:vector>
  </HeadingPairs>
  <TitlesOfParts>
    <vt:vector size="30" baseType="lpstr">
      <vt:lpstr>Index</vt:lpstr>
      <vt:lpstr>Check slip-1</vt:lpstr>
      <vt:lpstr>Absrtact</vt:lpstr>
      <vt:lpstr>Detailed</vt:lpstr>
      <vt:lpstr>Bar bending </vt:lpstr>
      <vt:lpstr>Earth work abtract</vt:lpstr>
      <vt:lpstr>Cross section-gravel</vt:lpstr>
      <vt:lpstr>Cross section-CC lining</vt:lpstr>
      <vt:lpstr>Seinorage</vt:lpstr>
      <vt:lpstr>Data</vt:lpstr>
      <vt:lpstr>Lead</vt:lpstr>
      <vt:lpstr>Site plan</vt:lpstr>
      <vt:lpstr>Structures details</vt:lpstr>
      <vt:lpstr>Land aquisition</vt:lpstr>
      <vt:lpstr>M-20 railling</vt:lpstr>
      <vt:lpstr>M-25</vt:lpstr>
      <vt:lpstr>M-25 deck slab</vt:lpstr>
      <vt:lpstr>M-25 wear coat</vt:lpstr>
      <vt:lpstr>M-30 wear coat</vt:lpstr>
      <vt:lpstr>Drinage Spout</vt:lpstr>
      <vt:lpstr>Road Data</vt:lpstr>
      <vt:lpstr>Proratadata-1</vt:lpstr>
      <vt:lpstr>Proratadata -2</vt:lpstr>
      <vt:lpstr>Proratadata -3</vt:lpstr>
      <vt:lpstr>Check slip-2</vt:lpstr>
      <vt:lpstr>Chec slip-3</vt:lpstr>
      <vt:lpstr>Weir channel</vt:lpstr>
      <vt:lpstr>Absrtact!Print_Titles</vt:lpstr>
      <vt:lpstr>Detailed!Print_Titles</vt:lpstr>
      <vt:lpstr>'Earth work abtract'!Print_Titles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2023-07-10T06:54:38Z</cp:lastPrinted>
  <dcterms:created xsi:type="dcterms:W3CDTF">2006-09-16T00:00:00Z</dcterms:created>
  <dcterms:modified xsi:type="dcterms:W3CDTF">2024-02-15T07:35:40Z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6D16289C714D4FC8AD8EBD9192A7D57B</vt:lpwstr>
  </property>
  <property fmtid="{D5CDD505-2E9C-101B-9397-08002B2CF9AE}" pid="3" name="KSOProductBuildVer">
    <vt:lpwstr>1033-11.2.0.11412</vt:lpwstr>
  </property>
</Properties>
</file>