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19305" windowHeight="6855" activeTab="3"/>
  </bookViews>
  <sheets>
    <sheet name="Input Data" sheetId="1" r:id="rId1"/>
    <sheet name="Quantity Calculation" sheetId="2" r:id="rId2"/>
    <sheet name="Reinforcement" sheetId="3" r:id="rId3"/>
    <sheet name="Rate Analysis" sheetId="4" r:id="rId4"/>
    <sheet name="Estimate Summary" sheetId="5" r:id="rId5"/>
    <sheet name="DATA" sheetId="7" r:id="rId6"/>
    <sheet name="Schematic" sheetId="6" r:id="rId7"/>
  </sheets>
  <definedNames>
    <definedName name="_xlnm.Print_Area" localSheetId="4">'Estimate Summary'!$A$1:$C$11</definedName>
    <definedName name="_xlnm.Print_Area" localSheetId="0">'Input Data'!$A$1:$C$16</definedName>
    <definedName name="_xlnm.Print_Area" localSheetId="3">'Rate Analysis'!$A$1:$F$5</definedName>
    <definedName name="_xlnm.Print_Area" localSheetId="2">Reinforcement!$A$1:$J$14</definedName>
  </definedNames>
  <calcPr calcId="124519"/>
</workbook>
</file>

<file path=xl/calcChain.xml><?xml version="1.0" encoding="utf-8"?>
<calcChain xmlns="http://schemas.openxmlformats.org/spreadsheetml/2006/main">
  <c r="F7" i="7"/>
  <c r="I7" s="1"/>
  <c r="N7"/>
  <c r="N6"/>
  <c r="D24"/>
  <c r="I24" s="1"/>
  <c r="D20"/>
  <c r="J22"/>
  <c r="J21"/>
  <c r="D19"/>
  <c r="F20"/>
  <c r="F19"/>
  <c r="I15"/>
  <c r="I14"/>
  <c r="I13"/>
  <c r="I11"/>
  <c r="I10"/>
  <c r="I8"/>
  <c r="I6"/>
  <c r="D6" i="3"/>
  <c r="D5"/>
  <c r="D4"/>
  <c r="C6"/>
  <c r="C5"/>
  <c r="C4"/>
  <c r="H12"/>
  <c r="H11"/>
  <c r="G6"/>
  <c r="F6"/>
  <c r="G5"/>
  <c r="F5"/>
  <c r="G4"/>
  <c r="F4"/>
  <c r="D7" i="2"/>
  <c r="L22" i="7" s="1"/>
  <c r="D6" i="2"/>
  <c r="K22" i="7" s="1"/>
  <c r="D5" i="2"/>
  <c r="K21" i="7" s="1"/>
  <c r="I19" l="1"/>
  <c r="J23"/>
  <c r="D21" s="1"/>
  <c r="I20"/>
  <c r="I16"/>
  <c r="F21" s="1"/>
  <c r="H13" i="3"/>
  <c r="H6"/>
  <c r="H5"/>
  <c r="H4"/>
  <c r="D8" i="2"/>
  <c r="B7" i="5" s="1"/>
  <c r="I21" i="7" l="1"/>
  <c r="I22" s="1"/>
  <c r="D9" i="2"/>
  <c r="B8" i="5" s="1"/>
  <c r="H8" i="3"/>
  <c r="H9" s="1"/>
  <c r="D4" i="2"/>
  <c r="F23" i="7" l="1"/>
  <c r="I23" s="1"/>
  <c r="I25" s="1"/>
  <c r="I26" s="1"/>
  <c r="E4" i="4" s="1"/>
  <c r="F4" s="1"/>
  <c r="B10" i="5"/>
  <c r="B9"/>
  <c r="F5" i="4" l="1"/>
  <c r="B11" i="5" s="1"/>
</calcChain>
</file>

<file path=xl/comments1.xml><?xml version="1.0" encoding="utf-8"?>
<comments xmlns="http://schemas.openxmlformats.org/spreadsheetml/2006/main">
  <authors>
    <author>Dinesh</author>
  </authors>
  <commentList>
    <comment ref="F4" authorId="0">
      <text>
        <r>
          <rPr>
            <sz val="10"/>
            <color indexed="81"/>
            <rFont val="Tahoma"/>
            <family val="2"/>
          </rPr>
          <t xml:space="preserve">+2.50+0.60
</t>
        </r>
      </text>
    </comment>
    <comment ref="F5" authorId="0">
      <text>
        <r>
          <rPr>
            <sz val="10"/>
            <color indexed="81"/>
            <rFont val="Tahoma"/>
            <family val="2"/>
          </rPr>
          <t>2.50/0.15=16.66=17 rings
π x (150+50) = 0.6283</t>
        </r>
      </text>
    </comment>
  </commentList>
</comments>
</file>

<file path=xl/comments2.xml><?xml version="1.0" encoding="utf-8"?>
<comments xmlns="http://schemas.openxmlformats.org/spreadsheetml/2006/main">
  <authors>
    <author>Dinesh</author>
  </authors>
  <commentList>
    <comment ref="F24" authorId="0">
      <text>
        <r>
          <rPr>
            <b/>
            <sz val="10"/>
            <color indexed="81"/>
            <rFont val="Tahoma"/>
            <family val="2"/>
          </rPr>
          <t>IRR-CCDW-2-1</t>
        </r>
        <r>
          <rPr>
            <sz val="10"/>
            <color indexed="81"/>
            <rFont val="Tahoma"/>
            <family val="2"/>
          </rPr>
          <t xml:space="preserve">
</t>
        </r>
      </text>
    </comment>
  </commentList>
</comments>
</file>

<file path=xl/sharedStrings.xml><?xml version="1.0" encoding="utf-8"?>
<sst xmlns="http://schemas.openxmlformats.org/spreadsheetml/2006/main" count="157" uniqueCount="120">
  <si>
    <t>Pile shaft diameter</t>
  </si>
  <si>
    <t>m</t>
  </si>
  <si>
    <t>Overall pile length</t>
  </si>
  <si>
    <t>Bulb diameter</t>
  </si>
  <si>
    <t>Bulb equivalent axial length for volume correction</t>
  </si>
  <si>
    <t>Concrete wastage / overbreak allowance</t>
  </si>
  <si>
    <t>%</t>
  </si>
  <si>
    <t>Nos</t>
  </si>
  <si>
    <t>Main bar diameter</t>
  </si>
  <si>
    <t>mm</t>
  </si>
  <si>
    <t>Ring spacing</t>
  </si>
  <si>
    <t>m c/c</t>
  </si>
  <si>
    <t>Clear cover</t>
  </si>
  <si>
    <t>Stiffener ring diameter</t>
  </si>
  <si>
    <t>Stiffener ring spacing</t>
  </si>
  <si>
    <t>DETAILED QUANTITY CALCULATION</t>
  </si>
  <si>
    <t>Sl.</t>
  </si>
  <si>
    <t>Description</t>
  </si>
  <si>
    <t>Formula / Basis</t>
  </si>
  <si>
    <t>Qty</t>
  </si>
  <si>
    <t>Unit</t>
  </si>
  <si>
    <t>Remarks</t>
  </si>
  <si>
    <t>Boring / excavation for pile</t>
  </si>
  <si>
    <t>Net theoretical pile volume</t>
  </si>
  <si>
    <t>m³</t>
  </si>
  <si>
    <t>For estimate; actual method/item may be SSR-specific</t>
  </si>
  <si>
    <t>Concrete – pile shaft before bulb correction</t>
  </si>
  <si>
    <t>Equivalent spherical bulb volume</t>
  </si>
  <si>
    <t>Equivalent sphere assumption</t>
  </si>
  <si>
    <t>Shaft volume within bulb zone</t>
  </si>
  <si>
    <t>Deduct to prevent double counting</t>
  </si>
  <si>
    <t>Net concrete volume</t>
  </si>
  <si>
    <t>shaft + bulb − overlap</t>
  </si>
  <si>
    <t>Theoretical quantity</t>
  </si>
  <si>
    <t>net × 1.05</t>
  </si>
  <si>
    <t>For procurement/allowance; estimate quantity normally remains theoretical</t>
  </si>
  <si>
    <t>Component</t>
  </si>
  <si>
    <t>Bar dia</t>
  </si>
  <si>
    <t>Nos / spacing</t>
  </si>
  <si>
    <t>Length basis</t>
  </si>
  <si>
    <t>Total length (m)</t>
  </si>
  <si>
    <t>Unit wt. kg/m</t>
  </si>
  <si>
    <t>Weight (kg)</t>
  </si>
  <si>
    <t>Main longitudinal bars</t>
  </si>
  <si>
    <t>3.10 m each</t>
  </si>
  <si>
    <t>Circular rings / ties</t>
  </si>
  <si>
    <t>17 rings × 0.628 m</t>
  </si>
  <si>
    <t>Stiffener rings</t>
  </si>
  <si>
    <t>3 rings × 0.628 m</t>
  </si>
  <si>
    <t>Item</t>
  </si>
  <si>
    <t>Amount (₹)</t>
  </si>
  <si>
    <t>ESTIMATE SUMMARY – SINGLE BULB UNDER-REAMED PILE</t>
  </si>
  <si>
    <t>Pile type</t>
  </si>
  <si>
    <t>Single bulb under-reamed pile</t>
  </si>
  <si>
    <t>Shaft diameter</t>
  </si>
  <si>
    <t>Concrete – theoretical</t>
  </si>
  <si>
    <t>Concrete – with 5% allowance</t>
  </si>
  <si>
    <t>Provisional reinforcement</t>
  </si>
  <si>
    <t>Reinforcement with 5% wastage</t>
  </si>
  <si>
    <t>SCHEMATIC – SINGLE BULB UNDER-REAMED PILE</t>
  </si>
  <si>
    <t>SINGLE BULB UNDER-REAMED PILE ESTIMATE</t>
  </si>
  <si>
    <t>INPUT SHEET:</t>
  </si>
  <si>
    <t xml:space="preserve">Main longitudinal bars </t>
  </si>
  <si>
    <t>Rings diameter</t>
  </si>
  <si>
    <t>V=π/4 × D² × L</t>
  </si>
  <si>
    <t>V=4/3 × π × r³</t>
  </si>
  <si>
    <t>V=π/4 × D² × bulb axial length</t>
  </si>
  <si>
    <t>Concrete including 5% allowance</t>
  </si>
  <si>
    <t xml:space="preserve">PROVISIONAL REINFORCEMENT QUANTITY </t>
  </si>
  <si>
    <t>Total steel (provisional):</t>
  </si>
  <si>
    <t>Steel incl. 5% wastage:</t>
  </si>
  <si>
    <t>Minimum longitudinal steel area as per IS 2911 Part 3:2021:</t>
  </si>
  <si>
    <t>Provided main steel area:</t>
  </si>
  <si>
    <t>Check:</t>
  </si>
  <si>
    <t>Kg</t>
  </si>
  <si>
    <t>Reinforcement steel including Fabrication / binding / placing of reinforcement</t>
  </si>
  <si>
    <t>TOTAL AMOUNT:</t>
  </si>
  <si>
    <t>Data as per S.No.22 D of SoR 2011-12 Page 401&amp;402</t>
  </si>
  <si>
    <t>Unit : 1 cum</t>
  </si>
  <si>
    <t>A. Materials :</t>
  </si>
  <si>
    <t>Cement</t>
  </si>
  <si>
    <t>MT</t>
  </si>
  <si>
    <t>Sand</t>
  </si>
  <si>
    <t>Cum</t>
  </si>
  <si>
    <t>Cost of 20mm HBG SS5 graded metal</t>
  </si>
  <si>
    <t>B. Machinery :</t>
  </si>
  <si>
    <t>Batching plant 0.50 cum</t>
  </si>
  <si>
    <t>hour</t>
  </si>
  <si>
    <t>Crew charges</t>
  </si>
  <si>
    <t>C. Labour :</t>
  </si>
  <si>
    <t>1st class Mason</t>
  </si>
  <si>
    <t>Each</t>
  </si>
  <si>
    <t>2nd class Mason</t>
  </si>
  <si>
    <t>Mazdoor (unskilled)</t>
  </si>
  <si>
    <t>Rate per 1 cum</t>
  </si>
  <si>
    <t>Labour charges for auguring @ 0.526 Nos. per 1 RM</t>
  </si>
  <si>
    <t>Labour charges for cutting bulb</t>
  </si>
  <si>
    <t>Overheads&amp;Contractors Profit @13.615%</t>
  </si>
  <si>
    <t>Rate per each pile</t>
  </si>
  <si>
    <t>say</t>
  </si>
  <si>
    <t>SSR 2026-27</t>
  </si>
  <si>
    <r>
      <rPr>
        <b/>
        <sz val="11"/>
        <color rgb="FFFF0000"/>
        <rFont val="Arial"/>
        <family val="2"/>
      </rPr>
      <t>300</t>
    </r>
    <r>
      <rPr>
        <b/>
        <sz val="11"/>
        <rFont val="Arial"/>
        <family val="2"/>
      </rPr>
      <t xml:space="preserve">mm dia. and </t>
    </r>
    <r>
      <rPr>
        <b/>
        <sz val="11"/>
        <color rgb="FFFF0000"/>
        <rFont val="Arial"/>
        <family val="2"/>
      </rPr>
      <t>2.50</t>
    </r>
    <r>
      <rPr>
        <b/>
        <sz val="11"/>
        <rFont val="Arial"/>
        <family val="2"/>
      </rPr>
      <t>m depth with Single under-ream</t>
    </r>
  </si>
  <si>
    <t>Cost of M 25 grade design mix concrete</t>
  </si>
  <si>
    <t>Boring / excavation for 300mm dia pile 2.5m depth single bulb under-reamed pile with M25 concrete including Reinforcement steel  Fabrication / binding / placing of reinforcement</t>
  </si>
  <si>
    <t>SSR 2026-27 Rate (₹)</t>
  </si>
  <si>
    <t>per each pile</t>
  </si>
  <si>
    <t xml:space="preserve">RATE ANALYSIS </t>
  </si>
  <si>
    <t>(300 mm dia × 2.50 m pile with 600 mm single bulb)</t>
  </si>
  <si>
    <t>Kgs</t>
  </si>
  <si>
    <t xml:space="preserve">Estimated cost </t>
  </si>
  <si>
    <t>Rs</t>
  </si>
  <si>
    <t>cum</t>
  </si>
  <si>
    <t>Sand rate at Vemagiri open reach</t>
  </si>
  <si>
    <t>Sand Rate:</t>
  </si>
  <si>
    <r>
      <t xml:space="preserve">Auguring and boring holes  </t>
    </r>
    <r>
      <rPr>
        <b/>
        <sz val="11"/>
        <color rgb="FFFF0000"/>
        <rFont val="Arial"/>
        <family val="2"/>
      </rPr>
      <t>300</t>
    </r>
    <r>
      <rPr>
        <b/>
        <sz val="11"/>
        <rFont val="Arial"/>
        <family val="2"/>
      </rPr>
      <t xml:space="preserve">mm dia. and </t>
    </r>
    <r>
      <rPr>
        <b/>
        <sz val="11"/>
        <color rgb="FFFF0000"/>
        <rFont val="Arial"/>
        <family val="2"/>
      </rPr>
      <t>2.50</t>
    </r>
    <r>
      <rPr>
        <b/>
        <sz val="11"/>
        <rFont val="Arial"/>
        <family val="2"/>
      </rPr>
      <t xml:space="preserve">m depth with </t>
    </r>
    <r>
      <rPr>
        <b/>
        <sz val="11"/>
        <color rgb="FFFF0000"/>
        <rFont val="Arial"/>
        <family val="2"/>
      </rPr>
      <t>single</t>
    </r>
    <r>
      <rPr>
        <b/>
        <sz val="11"/>
        <rFont val="Arial"/>
        <family val="2"/>
      </rPr>
      <t xml:space="preserve"> under-ream  for cast in situ piles</t>
    </r>
    <r>
      <rPr>
        <sz val="11"/>
        <rFont val="Arial"/>
        <family val="2"/>
      </rPr>
      <t xml:space="preserve"> in hard black soils and other ordinary soils  as per IS 2911-1980  and as per approved design, including shoring, shuttering, sheeting, planking and dewatering etc., including cost and conveyance of all materials and all labour charges and tools and plants  etc., complete for finished item of work and putting Reinforced Cement Concrete </t>
    </r>
    <r>
      <rPr>
        <sz val="11"/>
        <color rgb="FFFF0000"/>
        <rFont val="Arial"/>
        <family val="2"/>
      </rPr>
      <t>M 25 grade</t>
    </r>
    <r>
      <rPr>
        <sz val="11"/>
        <rFont val="Arial"/>
        <family val="2"/>
      </rPr>
      <t xml:space="preserve"> Design mix using a minimum quantity of </t>
    </r>
    <r>
      <rPr>
        <sz val="11"/>
        <color rgb="FFFF0000"/>
        <rFont val="Arial"/>
        <family val="2"/>
      </rPr>
      <t>380 kgs. of cement per 1 cum of concrete</t>
    </r>
    <r>
      <rPr>
        <sz val="11"/>
        <rFont val="Arial"/>
        <family val="2"/>
      </rPr>
      <t xml:space="preserve"> using WEIGH BATCHER / MIXER using 20mm gauge (SS5) graded hard granite machine crushed metal aggregate (coarse aggregate) from approved quarry including cost and conveyance of all materials like cement, fine aggregate (sand) coarse aggregate, water etc. to site and cost of  all materials, including watering, machine mixing, labour charges for laying concrete etc., complete </t>
    </r>
    <r>
      <rPr>
        <sz val="11"/>
        <color rgb="FFFF0000"/>
        <rFont val="Arial"/>
        <family val="2"/>
      </rPr>
      <t>including</t>
    </r>
    <r>
      <rPr>
        <sz val="11"/>
        <rFont val="Arial"/>
        <family val="2"/>
      </rPr>
      <t xml:space="preserve"> cost of steel and its fabrication charges etc., complete for finished item of work.</t>
    </r>
  </si>
  <si>
    <t>upto 5 KM</t>
  </si>
  <si>
    <t>5 KM to 30 KM</t>
  </si>
  <si>
    <t>Above 30 KM</t>
  </si>
  <si>
    <t>Total cost of Sand:</t>
  </si>
  <si>
    <t>Conveyance@ 40 KM:</t>
  </si>
</sst>
</file>

<file path=xl/styles.xml><?xml version="1.0" encoding="utf-8"?>
<styleSheet xmlns="http://schemas.openxmlformats.org/spreadsheetml/2006/main">
  <numFmts count="2">
    <numFmt numFmtId="164" formatCode="0.000"/>
    <numFmt numFmtId="165" formatCode="0.00000"/>
  </numFmts>
  <fonts count="20">
    <font>
      <sz val="11"/>
      <color theme="1"/>
      <name val="Calibri"/>
      <family val="2"/>
      <scheme val="minor"/>
    </font>
    <font>
      <b/>
      <sz val="16"/>
      <color rgb="FFFFFFFF"/>
      <name val="Calibri"/>
    </font>
    <font>
      <b/>
      <sz val="15"/>
      <color rgb="FFFFFFFF"/>
      <name val="Calibri"/>
    </font>
    <font>
      <b/>
      <sz val="11"/>
      <color rgb="FFFFFFFF"/>
      <name val="Calibri"/>
    </font>
    <font>
      <b/>
      <sz val="14"/>
      <color rgb="FFFFFFFF"/>
      <name val="Calibri"/>
    </font>
    <font>
      <b/>
      <sz val="11"/>
      <color theme="1"/>
      <name val="Calibri"/>
      <family val="2"/>
      <scheme val="minor"/>
    </font>
    <font>
      <b/>
      <u/>
      <sz val="11"/>
      <color theme="1"/>
      <name val="Calibri"/>
      <family val="2"/>
      <scheme val="minor"/>
    </font>
    <font>
      <b/>
      <sz val="14"/>
      <color rgb="FFFFFFFF"/>
      <name val="Calibri"/>
      <family val="2"/>
    </font>
    <font>
      <b/>
      <sz val="11"/>
      <name val="Calibri"/>
      <family val="2"/>
    </font>
    <font>
      <sz val="10"/>
      <color indexed="81"/>
      <name val="Tahoma"/>
      <family val="2"/>
    </font>
    <font>
      <b/>
      <sz val="10"/>
      <color indexed="81"/>
      <name val="Tahoma"/>
      <family val="2"/>
    </font>
    <font>
      <b/>
      <sz val="20"/>
      <color rgb="FFFFFFFF"/>
      <name val="Calibri"/>
      <family val="2"/>
    </font>
    <font>
      <sz val="20"/>
      <color theme="1"/>
      <name val="Calibri"/>
      <family val="2"/>
      <scheme val="minor"/>
    </font>
    <font>
      <sz val="11"/>
      <name val="Arial"/>
      <family val="2"/>
    </font>
    <font>
      <b/>
      <sz val="11"/>
      <name val="Arial"/>
      <family val="2"/>
    </font>
    <font>
      <b/>
      <sz val="11"/>
      <color theme="1"/>
      <name val="Arial"/>
      <family val="2"/>
    </font>
    <font>
      <b/>
      <sz val="18"/>
      <color theme="1"/>
      <name val="Calibri"/>
      <family val="2"/>
      <scheme val="minor"/>
    </font>
    <font>
      <sz val="11"/>
      <color rgb="FFFF0000"/>
      <name val="Arial"/>
      <family val="2"/>
    </font>
    <font>
      <b/>
      <sz val="11"/>
      <color rgb="FFFF0000"/>
      <name val="Arial"/>
      <family val="2"/>
    </font>
    <font>
      <sz val="11"/>
      <color rgb="FFFF0000"/>
      <name val="Calibri"/>
      <family val="2"/>
      <scheme val="minor"/>
    </font>
  </fonts>
  <fills count="4">
    <fill>
      <patternFill patternType="none"/>
    </fill>
    <fill>
      <patternFill patternType="gray125"/>
    </fill>
    <fill>
      <patternFill patternType="solid">
        <fgColor rgb="FF1F4E78"/>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top/>
      <bottom style="thin">
        <color auto="1"/>
      </bottom>
      <diagonal/>
    </border>
  </borders>
  <cellStyleXfs count="1">
    <xf numFmtId="0" fontId="0" fillId="0" borderId="0"/>
  </cellStyleXfs>
  <cellXfs count="100">
    <xf numFmtId="0" fontId="0" fillId="0" borderId="0" xfId="0"/>
    <xf numFmtId="0" fontId="0" fillId="0" borderId="0" xfId="0"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6" fillId="0" borderId="1" xfId="0" applyFont="1" applyBorder="1" applyAlignment="1">
      <alignment vertical="top" wrapText="1"/>
    </xf>
    <xf numFmtId="0" fontId="8" fillId="0" borderId="0" xfId="0" applyFont="1" applyAlignment="1">
      <alignment vertical="top" wrapText="1"/>
    </xf>
    <xf numFmtId="0" fontId="3" fillId="0" borderId="0" xfId="0" applyFont="1" applyFill="1" applyBorder="1" applyAlignment="1">
      <alignment horizontal="center" vertical="top" wrapText="1"/>
    </xf>
    <xf numFmtId="0" fontId="0" fillId="0" borderId="1" xfId="0" applyBorder="1" applyAlignment="1">
      <alignment horizontal="left" vertical="top" wrapText="1"/>
    </xf>
    <xf numFmtId="0" fontId="8" fillId="0" borderId="1" xfId="0" applyFont="1" applyFill="1" applyBorder="1" applyAlignment="1">
      <alignment vertical="top" wrapText="1"/>
    </xf>
    <xf numFmtId="0" fontId="0" fillId="0" borderId="0" xfId="0" applyAlignment="1">
      <alignment horizontal="right" vertical="top" wrapText="1"/>
    </xf>
    <xf numFmtId="2" fontId="0" fillId="0" borderId="1" xfId="0" applyNumberFormat="1" applyBorder="1" applyAlignment="1">
      <alignment vertical="top" wrapText="1"/>
    </xf>
    <xf numFmtId="164" fontId="0" fillId="0" borderId="1" xfId="0" applyNumberFormat="1" applyBorder="1" applyAlignment="1">
      <alignment horizontal="right" vertical="top" wrapText="1"/>
    </xf>
    <xf numFmtId="164" fontId="0" fillId="0" borderId="0" xfId="0" applyNumberFormat="1" applyAlignment="1">
      <alignment vertical="top" wrapText="1"/>
    </xf>
    <xf numFmtId="2" fontId="5" fillId="0" borderId="1" xfId="0" applyNumberFormat="1" applyFont="1" applyBorder="1" applyAlignment="1">
      <alignment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justify" vertical="top" wrapText="1"/>
    </xf>
    <xf numFmtId="0" fontId="2" fillId="2" borderId="1" xfId="0" applyFont="1" applyFill="1" applyBorder="1" applyAlignment="1">
      <alignment horizontal="center" vertical="top" wrapText="1"/>
    </xf>
    <xf numFmtId="0" fontId="0" fillId="0" borderId="0" xfId="0" applyAlignment="1">
      <alignment horizontal="right" vertical="top"/>
    </xf>
    <xf numFmtId="0" fontId="0" fillId="0" borderId="0" xfId="0" applyAlignment="1">
      <alignment horizontal="center" vertical="top" wrapText="1"/>
    </xf>
    <xf numFmtId="0" fontId="7" fillId="2" borderId="0" xfId="0" applyFont="1" applyFill="1" applyAlignment="1">
      <alignment horizontal="center" vertical="top" wrapText="1"/>
    </xf>
    <xf numFmtId="0" fontId="4" fillId="2" borderId="0" xfId="0" applyFont="1" applyFill="1" applyAlignment="1">
      <alignment horizontal="center" vertical="top" wrapText="1"/>
    </xf>
    <xf numFmtId="0" fontId="0" fillId="0" borderId="0" xfId="0" applyAlignment="1">
      <alignment horizontal="right" vertical="top" wrapText="1"/>
    </xf>
    <xf numFmtId="0" fontId="0" fillId="0" borderId="0" xfId="0" applyAlignment="1">
      <alignment vertical="top" wrapText="1"/>
    </xf>
    <xf numFmtId="0" fontId="4" fillId="2" borderId="1" xfId="0" applyFont="1" applyFill="1" applyBorder="1" applyAlignment="1">
      <alignment horizontal="center" vertical="top" wrapText="1"/>
    </xf>
    <xf numFmtId="0" fontId="5" fillId="0" borderId="1" xfId="0" applyFont="1" applyBorder="1" applyAlignment="1">
      <alignment horizontal="right" vertical="top" wrapText="1"/>
    </xf>
    <xf numFmtId="0" fontId="1" fillId="2" borderId="1" xfId="0" applyFont="1" applyFill="1" applyBorder="1" applyAlignment="1">
      <alignment horizontal="center" vertical="top" wrapText="1"/>
    </xf>
    <xf numFmtId="0" fontId="0" fillId="0" borderId="1" xfId="0" applyBorder="1" applyAlignment="1">
      <alignment horizontal="center" vertical="top" wrapText="1"/>
    </xf>
    <xf numFmtId="0" fontId="11" fillId="2" borderId="0" xfId="0" applyFont="1" applyFill="1" applyAlignment="1">
      <alignment horizontal="center" vertical="top" wrapText="1"/>
    </xf>
    <xf numFmtId="0" fontId="12" fillId="0" borderId="0" xfId="0" applyFont="1" applyAlignment="1">
      <alignment horizontal="center" vertical="top" wrapText="1"/>
    </xf>
    <xf numFmtId="1" fontId="13" fillId="0" borderId="1" xfId="0" applyNumberFormat="1" applyFont="1" applyFill="1" applyBorder="1" applyAlignment="1">
      <alignment horizontal="center" vertical="top" wrapText="1"/>
    </xf>
    <xf numFmtId="0" fontId="13" fillId="0" borderId="1" xfId="0" applyFont="1" applyFill="1" applyBorder="1" applyAlignment="1">
      <alignment horizontal="right" vertical="top" shrinkToFit="1"/>
    </xf>
    <xf numFmtId="0" fontId="14" fillId="0" borderId="1" xfId="0" applyNumberFormat="1" applyFont="1" applyFill="1" applyBorder="1" applyAlignment="1">
      <alignment horizontal="justify" vertical="top" wrapText="1"/>
    </xf>
    <xf numFmtId="0" fontId="14" fillId="0" borderId="0" xfId="0" applyNumberFormat="1" applyFont="1" applyFill="1" applyBorder="1" applyAlignment="1">
      <alignment vertical="top" wrapText="1"/>
    </xf>
    <xf numFmtId="0" fontId="13" fillId="0" borderId="1" xfId="0" applyFont="1" applyFill="1" applyBorder="1" applyAlignment="1">
      <alignment horizontal="center" vertical="top" shrinkToFit="1"/>
    </xf>
    <xf numFmtId="2" fontId="13" fillId="0" borderId="1" xfId="0" applyNumberFormat="1" applyFont="1" applyFill="1" applyBorder="1" applyAlignment="1">
      <alignment horizontal="right"/>
    </xf>
    <xf numFmtId="1" fontId="13" fillId="0" borderId="1" xfId="0" applyNumberFormat="1" applyFont="1" applyFill="1" applyBorder="1" applyAlignment="1">
      <alignment horizontal="center"/>
    </xf>
    <xf numFmtId="0" fontId="13" fillId="0" borderId="1" xfId="0" applyFont="1" applyFill="1" applyBorder="1" applyAlignment="1">
      <alignment horizontal="center"/>
    </xf>
    <xf numFmtId="0" fontId="13" fillId="0" borderId="0" xfId="0" applyFont="1" applyFill="1" applyBorder="1"/>
    <xf numFmtId="0" fontId="14" fillId="0" borderId="1" xfId="0" applyFont="1" applyFill="1" applyBorder="1" applyAlignment="1">
      <alignment horizontal="left" vertical="top" wrapText="1"/>
    </xf>
    <xf numFmtId="2" fontId="13" fillId="0" borderId="1" xfId="0" applyNumberFormat="1" applyFont="1" applyFill="1" applyBorder="1" applyAlignment="1">
      <alignment horizontal="center"/>
    </xf>
    <xf numFmtId="0" fontId="13" fillId="0" borderId="1" xfId="0" applyFont="1" applyFill="1" applyBorder="1" applyAlignment="1">
      <alignment horizontal="right"/>
    </xf>
    <xf numFmtId="0" fontId="14" fillId="0" borderId="2" xfId="0" applyFont="1" applyFill="1" applyBorder="1" applyAlignment="1">
      <alignment horizontal="center" vertical="top" wrapText="1"/>
    </xf>
    <xf numFmtId="0" fontId="14" fillId="0" borderId="4" xfId="0" applyFont="1" applyFill="1" applyBorder="1" applyAlignment="1">
      <alignment horizontal="center" vertical="top" wrapTex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2" fontId="13"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13" fillId="0" borderId="0" xfId="0" applyFont="1" applyFill="1" applyBorder="1" applyAlignment="1">
      <alignment horizontal="center" vertical="center"/>
    </xf>
    <xf numFmtId="0" fontId="13" fillId="0" borderId="1" xfId="0" applyFont="1" applyFill="1" applyBorder="1" applyAlignment="1">
      <alignment horizontal="center" vertical="center"/>
    </xf>
    <xf numFmtId="2" fontId="13" fillId="0" borderId="1" xfId="0" applyNumberFormat="1" applyFont="1" applyFill="1" applyBorder="1" applyAlignment="1">
      <alignment horizontal="right" vertical="center" shrinkToFit="1"/>
    </xf>
    <xf numFmtId="0" fontId="13" fillId="0" borderId="0" xfId="0" applyFont="1" applyFill="1" applyBorder="1" applyAlignment="1">
      <alignment vertical="center"/>
    </xf>
    <xf numFmtId="0" fontId="14" fillId="0" borderId="1" xfId="0" applyFont="1" applyFill="1" applyBorder="1" applyAlignment="1">
      <alignment horizontal="left" vertical="center" wrapText="1"/>
    </xf>
    <xf numFmtId="2" fontId="13" fillId="0" borderId="1" xfId="0" applyNumberFormat="1" applyFont="1" applyFill="1" applyBorder="1" applyAlignment="1">
      <alignment horizontal="right" vertical="center"/>
    </xf>
    <xf numFmtId="164" fontId="13" fillId="0" borderId="1" xfId="0" applyNumberFormat="1" applyFont="1" applyFill="1" applyBorder="1" applyAlignment="1">
      <alignment horizontal="center" vertical="center"/>
    </xf>
    <xf numFmtId="2" fontId="14" fillId="0" borderId="1" xfId="0" applyNumberFormat="1" applyFont="1" applyFill="1" applyBorder="1" applyAlignment="1">
      <alignment horizontal="right"/>
    </xf>
    <xf numFmtId="2" fontId="13" fillId="0" borderId="1" xfId="0" applyNumberFormat="1" applyFont="1" applyFill="1" applyBorder="1" applyAlignment="1">
      <alignment horizontal="center" vertical="top" shrinkToFit="1"/>
    </xf>
    <xf numFmtId="2" fontId="13" fillId="0" borderId="1" xfId="0" applyNumberFormat="1" applyFont="1" applyFill="1" applyBorder="1" applyAlignment="1">
      <alignment horizontal="right" vertical="top" shrinkToFit="1"/>
    </xf>
    <xf numFmtId="0" fontId="14" fillId="0" borderId="1" xfId="0" applyFont="1" applyFill="1" applyBorder="1" applyAlignment="1">
      <alignment horizontal="center" vertical="top" shrinkToFit="1"/>
    </xf>
    <xf numFmtId="1" fontId="14" fillId="0" borderId="1" xfId="0" applyNumberFormat="1" applyFont="1" applyFill="1" applyBorder="1" applyAlignment="1">
      <alignment horizontal="right" shrinkToFit="1"/>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2" fontId="13" fillId="0" borderId="1" xfId="0" applyNumberFormat="1" applyFont="1" applyFill="1" applyBorder="1" applyAlignment="1">
      <alignment vertical="center"/>
    </xf>
    <xf numFmtId="164" fontId="13" fillId="0" borderId="0" xfId="0" applyNumberFormat="1" applyFont="1" applyFill="1" applyBorder="1" applyAlignment="1">
      <alignment horizontal="left" vertical="center"/>
    </xf>
    <xf numFmtId="1" fontId="13" fillId="0" borderId="1" xfId="0" applyNumberFormat="1" applyFont="1" applyFill="1" applyBorder="1" applyAlignment="1">
      <alignment horizontal="center" vertical="center"/>
    </xf>
    <xf numFmtId="2" fontId="14" fillId="0" borderId="1" xfId="0" applyNumberFormat="1" applyFont="1" applyFill="1" applyBorder="1" applyAlignment="1">
      <alignment horizontal="right" vertical="center"/>
    </xf>
    <xf numFmtId="0" fontId="13" fillId="0" borderId="1" xfId="0" applyNumberFormat="1" applyFont="1" applyFill="1" applyBorder="1" applyAlignment="1">
      <alignment horizontal="left" vertical="center" wrapText="1"/>
    </xf>
    <xf numFmtId="165"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xf>
    <xf numFmtId="0" fontId="16" fillId="0" borderId="6" xfId="0" applyFont="1" applyBorder="1" applyAlignment="1">
      <alignment horizontal="center"/>
    </xf>
    <xf numFmtId="0" fontId="17" fillId="0" borderId="1" xfId="0" applyFont="1" applyFill="1" applyBorder="1" applyAlignment="1">
      <alignment horizontal="center" vertical="top" shrinkToFit="1"/>
    </xf>
    <xf numFmtId="0" fontId="17" fillId="0" borderId="1" xfId="0" applyFont="1" applyFill="1" applyBorder="1" applyAlignment="1">
      <alignment horizontal="right" vertical="top" shrinkToFit="1"/>
    </xf>
    <xf numFmtId="0" fontId="18" fillId="0" borderId="1" xfId="0" applyFont="1" applyFill="1" applyBorder="1" applyAlignment="1">
      <alignment horizontal="left" vertical="top" wrapText="1"/>
    </xf>
    <xf numFmtId="2" fontId="17" fillId="0" borderId="1" xfId="0" applyNumberFormat="1" applyFont="1" applyFill="1" applyBorder="1" applyAlignment="1">
      <alignment horizontal="right"/>
    </xf>
    <xf numFmtId="1" fontId="17" fillId="0" borderId="1" xfId="0" applyNumberFormat="1" applyFont="1" applyFill="1" applyBorder="1" applyAlignment="1">
      <alignment horizontal="center"/>
    </xf>
    <xf numFmtId="0" fontId="17" fillId="0" borderId="1" xfId="0" applyFont="1" applyFill="1" applyBorder="1" applyAlignment="1">
      <alignment horizontal="center"/>
    </xf>
    <xf numFmtId="0" fontId="17" fillId="0" borderId="0" xfId="0" applyFont="1" applyFill="1" applyBorder="1"/>
    <xf numFmtId="0" fontId="19" fillId="0" borderId="0" xfId="0" applyFont="1"/>
    <xf numFmtId="2" fontId="15" fillId="3" borderId="5" xfId="0" applyNumberFormat="1" applyFont="1" applyFill="1" applyBorder="1" applyAlignment="1">
      <alignment horizontal="center" wrapText="1"/>
    </xf>
    <xf numFmtId="164" fontId="13" fillId="0" borderId="0" xfId="0" applyNumberFormat="1" applyFont="1" applyFill="1" applyBorder="1" applyAlignment="1">
      <alignment vertical="center"/>
    </xf>
    <xf numFmtId="164" fontId="0" fillId="0" borderId="0" xfId="0" applyNumberFormat="1"/>
    <xf numFmtId="2" fontId="0" fillId="0" borderId="1" xfId="0" applyNumberFormat="1" applyBorder="1" applyAlignment="1">
      <alignment vertical="center" wrapText="1"/>
    </xf>
    <xf numFmtId="0" fontId="0" fillId="0" borderId="1" xfId="0" applyBorder="1" applyAlignment="1">
      <alignment horizontal="justify" vertical="top"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wrapText="1"/>
    </xf>
    <xf numFmtId="2" fontId="0" fillId="0" borderId="1" xfId="0" applyNumberFormat="1" applyBorder="1" applyAlignment="1">
      <alignment horizontal="center" vertical="center" wrapText="1"/>
    </xf>
    <xf numFmtId="0" fontId="7" fillId="2" borderId="1" xfId="0" applyFont="1" applyFill="1" applyBorder="1" applyAlignment="1">
      <alignment horizontal="center" vertical="top" wrapText="1"/>
    </xf>
    <xf numFmtId="2" fontId="0" fillId="0" borderId="1" xfId="0" applyNumberFormat="1" applyFill="1" applyBorder="1" applyAlignment="1">
      <alignment vertical="top" wrapText="1"/>
    </xf>
    <xf numFmtId="164" fontId="0" fillId="0" borderId="1" xfId="0" applyNumberFormat="1" applyFill="1" applyBorder="1" applyAlignment="1">
      <alignment horizontal="right" vertical="top" wrapText="1"/>
    </xf>
    <xf numFmtId="0" fontId="0" fillId="0" borderId="2" xfId="0" applyFill="1" applyBorder="1" applyAlignment="1">
      <alignment horizontal="center" vertical="top" wrapText="1"/>
    </xf>
    <xf numFmtId="0" fontId="0" fillId="0" borderId="4" xfId="0" applyFill="1" applyBorder="1" applyAlignment="1">
      <alignment horizontal="center" vertical="top" wrapText="1"/>
    </xf>
    <xf numFmtId="0" fontId="0" fillId="0" borderId="1" xfId="0" applyFill="1" applyBorder="1" applyAlignment="1">
      <alignment horizontal="right" vertical="top" wrapText="1"/>
    </xf>
    <xf numFmtId="0" fontId="0" fillId="0" borderId="1" xfId="0" applyFill="1" applyBorder="1" applyAlignment="1">
      <alignment vertical="top" wrapText="1"/>
    </xf>
    <xf numFmtId="2" fontId="5" fillId="0" borderId="1" xfId="0" applyNumberFormat="1" applyFont="1"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7239000" cy="13544550"/>
    <xdr:pic>
      <xdr:nvPicPr>
        <xdr:cNvPr id="2" name="Image 1" descr="Picture"/>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F16"/>
  <sheetViews>
    <sheetView showGridLines="0" zoomScaleSheetLayoutView="110" workbookViewId="0">
      <pane ySplit="2" topLeftCell="A3" activePane="bottomLeft" state="frozen"/>
      <selection pane="bottomLeft" activeCell="F5" sqref="F5"/>
    </sheetView>
  </sheetViews>
  <sheetFormatPr defaultRowHeight="15"/>
  <cols>
    <col min="1" max="1" width="42.7109375" customWidth="1"/>
    <col min="2" max="2" width="7.5703125" bestFit="1" customWidth="1"/>
    <col min="3" max="3" width="6.85546875" customWidth="1"/>
    <col min="4" max="6" width="24" customWidth="1"/>
  </cols>
  <sheetData>
    <row r="1" spans="1:6" ht="24.95" customHeight="1">
      <c r="A1" s="14" t="s">
        <v>60</v>
      </c>
      <c r="B1" s="15"/>
      <c r="C1" s="16"/>
      <c r="D1" s="1"/>
      <c r="E1" s="1"/>
      <c r="F1" s="1"/>
    </row>
    <row r="2" spans="1:6" ht="15" customHeight="1">
      <c r="A2" s="17" t="s">
        <v>107</v>
      </c>
      <c r="B2" s="18"/>
      <c r="C2" s="19"/>
      <c r="D2" s="1"/>
      <c r="E2" s="1"/>
      <c r="F2" s="1"/>
    </row>
    <row r="3" spans="1:6">
      <c r="A3" s="4" t="s">
        <v>61</v>
      </c>
      <c r="B3" s="2"/>
      <c r="C3" s="2"/>
      <c r="D3" s="1"/>
      <c r="E3" s="1"/>
      <c r="F3" s="1"/>
    </row>
    <row r="4" spans="1:6" ht="15" customHeight="1">
      <c r="A4" s="2" t="s">
        <v>0</v>
      </c>
      <c r="B4" s="92">
        <v>0.3</v>
      </c>
      <c r="C4" s="2" t="s">
        <v>1</v>
      </c>
      <c r="D4" s="1"/>
      <c r="E4" s="1"/>
      <c r="F4" s="1"/>
    </row>
    <row r="5" spans="1:6" ht="15" customHeight="1">
      <c r="A5" s="2" t="s">
        <v>2</v>
      </c>
      <c r="B5" s="92">
        <v>2.5</v>
      </c>
      <c r="C5" s="2" t="s">
        <v>1</v>
      </c>
      <c r="D5" s="1"/>
      <c r="E5" s="1"/>
      <c r="F5" s="1"/>
    </row>
    <row r="6" spans="1:6" ht="15" customHeight="1">
      <c r="A6" s="2" t="s">
        <v>3</v>
      </c>
      <c r="B6" s="92">
        <v>0.6</v>
      </c>
      <c r="C6" s="2" t="s">
        <v>1</v>
      </c>
      <c r="D6" s="1"/>
      <c r="E6" s="1"/>
      <c r="F6" s="1"/>
    </row>
    <row r="7" spans="1:6" ht="15" customHeight="1">
      <c r="A7" s="2" t="s">
        <v>4</v>
      </c>
      <c r="B7" s="92">
        <v>0.6</v>
      </c>
      <c r="C7" s="2" t="s">
        <v>1</v>
      </c>
      <c r="D7" s="1"/>
      <c r="E7" s="1"/>
      <c r="F7" s="1"/>
    </row>
    <row r="8" spans="1:6" ht="15" customHeight="1">
      <c r="A8" s="2" t="s">
        <v>5</v>
      </c>
      <c r="B8" s="92">
        <v>0.05</v>
      </c>
      <c r="C8" s="2" t="s">
        <v>6</v>
      </c>
      <c r="D8" s="1"/>
      <c r="E8" s="1"/>
      <c r="F8" s="1"/>
    </row>
    <row r="9" spans="1:6" ht="15" customHeight="1">
      <c r="A9" s="2" t="s">
        <v>62</v>
      </c>
      <c r="B9" s="92">
        <v>6</v>
      </c>
      <c r="C9" s="2" t="s">
        <v>7</v>
      </c>
      <c r="D9" s="1"/>
      <c r="E9" s="1"/>
      <c r="F9" s="1"/>
    </row>
    <row r="10" spans="1:6" ht="15" customHeight="1">
      <c r="A10" s="2" t="s">
        <v>8</v>
      </c>
      <c r="B10" s="92">
        <v>8</v>
      </c>
      <c r="C10" s="2" t="s">
        <v>9</v>
      </c>
      <c r="D10" s="1"/>
      <c r="E10" s="1"/>
      <c r="F10" s="1"/>
    </row>
    <row r="11" spans="1:6" ht="15" customHeight="1">
      <c r="A11" s="2" t="s">
        <v>63</v>
      </c>
      <c r="B11" s="92">
        <v>8</v>
      </c>
      <c r="C11" s="2" t="s">
        <v>9</v>
      </c>
      <c r="D11" s="1"/>
      <c r="E11" s="1"/>
      <c r="F11" s="1"/>
    </row>
    <row r="12" spans="1:6" ht="15" customHeight="1">
      <c r="A12" s="2" t="s">
        <v>10</v>
      </c>
      <c r="B12" s="92">
        <v>0.15</v>
      </c>
      <c r="C12" s="2" t="s">
        <v>11</v>
      </c>
      <c r="D12" s="1"/>
      <c r="E12" s="1"/>
      <c r="F12" s="1"/>
    </row>
    <row r="13" spans="1:6" ht="15" customHeight="1">
      <c r="A13" s="2" t="s">
        <v>12</v>
      </c>
      <c r="B13" s="92">
        <v>0.05</v>
      </c>
      <c r="C13" s="2" t="s">
        <v>1</v>
      </c>
      <c r="D13" s="1"/>
      <c r="E13" s="1"/>
      <c r="F13" s="1"/>
    </row>
    <row r="14" spans="1:6" ht="15" customHeight="1">
      <c r="A14" s="2" t="s">
        <v>13</v>
      </c>
      <c r="B14" s="92">
        <v>12</v>
      </c>
      <c r="C14" s="2" t="s">
        <v>9</v>
      </c>
      <c r="D14" s="1"/>
      <c r="E14" s="1"/>
      <c r="F14" s="1"/>
    </row>
    <row r="15" spans="1:6" ht="15" customHeight="1">
      <c r="A15" s="2" t="s">
        <v>14</v>
      </c>
      <c r="B15" s="92">
        <v>1.5</v>
      </c>
      <c r="C15" s="2" t="s">
        <v>11</v>
      </c>
      <c r="D15" s="1"/>
      <c r="E15" s="1"/>
      <c r="F15" s="1"/>
    </row>
    <row r="16" spans="1:6">
      <c r="A16" s="1"/>
      <c r="B16" s="1"/>
      <c r="C16" s="1"/>
      <c r="D16" s="1"/>
      <c r="E16" s="1"/>
      <c r="F16" s="1"/>
    </row>
  </sheetData>
  <mergeCells count="2">
    <mergeCell ref="A1:C1"/>
    <mergeCell ref="A2:C2"/>
  </mergeCells>
  <pageMargins left="0.75" right="0.75" top="1" bottom="1" header="0.5" footer="0.5"/>
  <pageSetup paperSize="9" scale="68" orientation="portrait" r:id="rId1"/>
</worksheet>
</file>

<file path=xl/worksheets/sheet2.xml><?xml version="1.0" encoding="utf-8"?>
<worksheet xmlns="http://schemas.openxmlformats.org/spreadsheetml/2006/main" xmlns:r="http://schemas.openxmlformats.org/officeDocument/2006/relationships">
  <dimension ref="A1:G9"/>
  <sheetViews>
    <sheetView showGridLines="0" zoomScaleSheetLayoutView="110" workbookViewId="0">
      <pane ySplit="2" topLeftCell="A3" activePane="bottomLeft" state="frozen"/>
      <selection pane="bottomLeft" activeCell="G16" sqref="G16"/>
    </sheetView>
  </sheetViews>
  <sheetFormatPr defaultRowHeight="15"/>
  <cols>
    <col min="1" max="1" width="3.28515625" bestFit="1" customWidth="1"/>
    <col min="2" max="2" width="39.85546875" customWidth="1"/>
    <col min="3" max="3" width="27.42578125" customWidth="1"/>
    <col min="4" max="4" width="6.85546875" bestFit="1" customWidth="1"/>
    <col min="5" max="5" width="4.85546875" bestFit="1" customWidth="1"/>
    <col min="6" max="6" width="69.85546875" customWidth="1"/>
    <col min="7" max="7" width="24" customWidth="1"/>
  </cols>
  <sheetData>
    <row r="1" spans="1:7" ht="24.95" customHeight="1">
      <c r="A1" s="21" t="s">
        <v>15</v>
      </c>
      <c r="B1" s="21"/>
      <c r="C1" s="21"/>
      <c r="D1" s="21"/>
      <c r="E1" s="21"/>
      <c r="F1" s="21"/>
      <c r="G1" s="1"/>
    </row>
    <row r="2" spans="1:7" hidden="1">
      <c r="A2" s="2"/>
      <c r="B2" s="2"/>
      <c r="C2" s="2"/>
      <c r="D2" s="2"/>
      <c r="E2" s="2"/>
      <c r="F2" s="2"/>
      <c r="G2" s="1"/>
    </row>
    <row r="3" spans="1:7">
      <c r="A3" s="8" t="s">
        <v>16</v>
      </c>
      <c r="B3" s="8" t="s">
        <v>17</v>
      </c>
      <c r="C3" s="8" t="s">
        <v>18</v>
      </c>
      <c r="D3" s="8" t="s">
        <v>19</v>
      </c>
      <c r="E3" s="8" t="s">
        <v>20</v>
      </c>
      <c r="F3" s="8" t="s">
        <v>21</v>
      </c>
      <c r="G3" s="6"/>
    </row>
    <row r="4" spans="1:7" ht="15" customHeight="1">
      <c r="A4" s="2">
        <v>1</v>
      </c>
      <c r="B4" s="2" t="s">
        <v>22</v>
      </c>
      <c r="C4" s="2" t="s">
        <v>23</v>
      </c>
      <c r="D4" s="3">
        <f>D8</f>
        <v>0.24740042147019617</v>
      </c>
      <c r="E4" s="2" t="s">
        <v>24</v>
      </c>
      <c r="F4" s="2" t="s">
        <v>25</v>
      </c>
      <c r="G4" s="1"/>
    </row>
    <row r="5" spans="1:7" ht="15" customHeight="1">
      <c r="A5" s="2">
        <v>2</v>
      </c>
      <c r="B5" s="2" t="s">
        <v>26</v>
      </c>
      <c r="C5" s="2" t="s">
        <v>64</v>
      </c>
      <c r="D5" s="3">
        <f>PI()/4*'Input Data'!B4^2*'Input Data'!B5</f>
        <v>0.17671458676442586</v>
      </c>
      <c r="E5" s="2" t="s">
        <v>24</v>
      </c>
      <c r="F5" s="2"/>
      <c r="G5" s="1"/>
    </row>
    <row r="6" spans="1:7" ht="15" customHeight="1">
      <c r="A6" s="2">
        <v>3</v>
      </c>
      <c r="B6" s="2" t="s">
        <v>27</v>
      </c>
      <c r="C6" s="2" t="s">
        <v>65</v>
      </c>
      <c r="D6" s="3">
        <f>4/3*PI()*('Input Data'!B6/2)^3</f>
        <v>0.11309733552923254</v>
      </c>
      <c r="E6" s="2" t="s">
        <v>24</v>
      </c>
      <c r="F6" s="2" t="s">
        <v>28</v>
      </c>
      <c r="G6" s="1"/>
    </row>
    <row r="7" spans="1:7" ht="15" customHeight="1">
      <c r="A7" s="2">
        <v>4</v>
      </c>
      <c r="B7" s="2" t="s">
        <v>29</v>
      </c>
      <c r="C7" s="2" t="s">
        <v>66</v>
      </c>
      <c r="D7" s="3">
        <f>PI()/4*'Input Data'!B4^2*'Input Data'!B7</f>
        <v>4.2411500823462206E-2</v>
      </c>
      <c r="E7" s="2" t="s">
        <v>24</v>
      </c>
      <c r="F7" s="2" t="s">
        <v>30</v>
      </c>
      <c r="G7" s="1"/>
    </row>
    <row r="8" spans="1:7" ht="15" customHeight="1">
      <c r="A8" s="2">
        <v>5</v>
      </c>
      <c r="B8" s="2" t="s">
        <v>31</v>
      </c>
      <c r="C8" s="2" t="s">
        <v>32</v>
      </c>
      <c r="D8" s="3">
        <f>D5+D6-D7</f>
        <v>0.24740042147019617</v>
      </c>
      <c r="E8" s="2" t="s">
        <v>24</v>
      </c>
      <c r="F8" s="2" t="s">
        <v>33</v>
      </c>
      <c r="G8" s="1"/>
    </row>
    <row r="9" spans="1:7" ht="15" customHeight="1">
      <c r="A9" s="2">
        <v>6</v>
      </c>
      <c r="B9" s="2" t="s">
        <v>67</v>
      </c>
      <c r="C9" s="2" t="s">
        <v>34</v>
      </c>
      <c r="D9" s="3">
        <f>D8*(1+'Input Data'!B8)</f>
        <v>0.25977044254370601</v>
      </c>
      <c r="E9" s="2" t="s">
        <v>24</v>
      </c>
      <c r="F9" s="2" t="s">
        <v>35</v>
      </c>
      <c r="G9" s="1"/>
    </row>
  </sheetData>
  <mergeCells count="1">
    <mergeCell ref="A1:F1"/>
  </mergeCells>
  <pageMargins left="0.75" right="0.75" top="1" bottom="1" header="0.5" footer="0.5"/>
  <pageSetup paperSize="9" scale="56" orientation="portrait" r:id="rId1"/>
</worksheet>
</file>

<file path=xl/worksheets/sheet3.xml><?xml version="1.0" encoding="utf-8"?>
<worksheet xmlns="http://schemas.openxmlformats.org/spreadsheetml/2006/main" xmlns:r="http://schemas.openxmlformats.org/officeDocument/2006/relationships">
  <dimension ref="A1:J13"/>
  <sheetViews>
    <sheetView showGridLines="0" zoomScaleSheetLayoutView="110" workbookViewId="0">
      <pane ySplit="2" topLeftCell="A3" activePane="bottomLeft" state="frozen"/>
      <selection pane="bottomLeft" activeCell="N9" sqref="N9"/>
    </sheetView>
  </sheetViews>
  <sheetFormatPr defaultRowHeight="15"/>
  <cols>
    <col min="1" max="1" width="3" customWidth="1"/>
    <col min="2" max="2" width="21" bestFit="1" customWidth="1"/>
    <col min="3" max="3" width="7" bestFit="1" customWidth="1"/>
    <col min="4" max="4" width="13.28515625" bestFit="1" customWidth="1"/>
    <col min="5" max="5" width="16.42578125" bestFit="1" customWidth="1"/>
    <col min="6" max="6" width="15.28515625" bestFit="1" customWidth="1"/>
    <col min="7" max="7" width="13.28515625" bestFit="1" customWidth="1"/>
    <col min="8" max="8" width="11.42578125" customWidth="1"/>
  </cols>
  <sheetData>
    <row r="1" spans="1:10" ht="24.95" customHeight="1">
      <c r="A1" s="24" t="s">
        <v>68</v>
      </c>
      <c r="B1" s="25"/>
      <c r="C1" s="25"/>
      <c r="D1" s="25"/>
      <c r="E1" s="25"/>
      <c r="F1" s="25"/>
      <c r="G1" s="25"/>
      <c r="H1" s="25"/>
    </row>
    <row r="2" spans="1:10" hidden="1">
      <c r="A2" s="1"/>
      <c r="B2" s="1"/>
      <c r="C2" s="1"/>
      <c r="D2" s="1"/>
      <c r="E2" s="1"/>
      <c r="F2" s="1"/>
      <c r="G2" s="1"/>
      <c r="H2" s="1"/>
    </row>
    <row r="3" spans="1:10" ht="18.75" customHeight="1">
      <c r="A3" s="8" t="s">
        <v>16</v>
      </c>
      <c r="B3" s="8" t="s">
        <v>36</v>
      </c>
      <c r="C3" s="8" t="s">
        <v>37</v>
      </c>
      <c r="D3" s="8" t="s">
        <v>38</v>
      </c>
      <c r="E3" s="8" t="s">
        <v>39</v>
      </c>
      <c r="F3" s="8" t="s">
        <v>40</v>
      </c>
      <c r="G3" s="8" t="s">
        <v>41</v>
      </c>
      <c r="H3" s="8" t="s">
        <v>42</v>
      </c>
    </row>
    <row r="4" spans="1:10">
      <c r="A4" s="7">
        <v>1</v>
      </c>
      <c r="B4" s="2" t="s">
        <v>43</v>
      </c>
      <c r="C4" s="10">
        <f>+'Input Data'!B10</f>
        <v>8</v>
      </c>
      <c r="D4" s="2" t="str">
        <f>CONCATENATE('Input Data'!B9," Nos")</f>
        <v>6 Nos</v>
      </c>
      <c r="E4" s="2" t="s">
        <v>44</v>
      </c>
      <c r="F4" s="2">
        <f>6*3.1</f>
        <v>18.600000000000001</v>
      </c>
      <c r="G4" s="3">
        <f>8^2/162</f>
        <v>0.39506172839506171</v>
      </c>
      <c r="H4" s="11">
        <f>F4*G4</f>
        <v>7.3481481481481481</v>
      </c>
    </row>
    <row r="5" spans="1:10">
      <c r="A5" s="7">
        <v>2</v>
      </c>
      <c r="B5" s="2" t="s">
        <v>45</v>
      </c>
      <c r="C5" s="10">
        <f>+'Input Data'!B11</f>
        <v>8</v>
      </c>
      <c r="D5" s="2" t="str">
        <f>CONCATENATE("@ ",'Input Data'!B12*1000," mm c/c")</f>
        <v>@ 150 mm c/c</v>
      </c>
      <c r="E5" s="2" t="s">
        <v>46</v>
      </c>
      <c r="F5" s="10">
        <f>17*0.628318530717958</f>
        <v>10.681415022205286</v>
      </c>
      <c r="G5" s="3">
        <f>8^2/162</f>
        <v>0.39506172839506171</v>
      </c>
      <c r="H5" s="11">
        <f>F5*G5</f>
        <v>4.2198182803773969</v>
      </c>
    </row>
    <row r="6" spans="1:10">
      <c r="A6" s="7">
        <v>3</v>
      </c>
      <c r="B6" s="2" t="s">
        <v>47</v>
      </c>
      <c r="C6" s="10">
        <f>+'Input Data'!B14</f>
        <v>12</v>
      </c>
      <c r="D6" s="2" t="str">
        <f>+CONCATENATE(" @",'Input Data'!B15," m c/c")</f>
        <v xml:space="preserve"> @1.5 m c/c</v>
      </c>
      <c r="E6" s="2" t="s">
        <v>48</v>
      </c>
      <c r="F6" s="10">
        <f>3*0.628318530717958</f>
        <v>1.8849555921538739</v>
      </c>
      <c r="G6" s="3">
        <f>12^2/162</f>
        <v>0.88888888888888884</v>
      </c>
      <c r="H6" s="11">
        <f>F6*G6</f>
        <v>1.6755160819145545</v>
      </c>
    </row>
    <row r="7" spans="1:10">
      <c r="A7" s="1"/>
      <c r="B7" s="1"/>
      <c r="C7" s="1"/>
      <c r="D7" s="1"/>
      <c r="E7" s="1"/>
      <c r="F7" s="1"/>
      <c r="G7" s="1"/>
      <c r="H7" s="12"/>
    </row>
    <row r="8" spans="1:10" ht="15" customHeight="1">
      <c r="A8" s="26" t="s">
        <v>69</v>
      </c>
      <c r="B8" s="26"/>
      <c r="C8" s="26"/>
      <c r="D8" s="26"/>
      <c r="E8" s="26"/>
      <c r="F8" s="26"/>
      <c r="G8" s="26"/>
      <c r="H8" s="12">
        <f>SUM(H4:H6)</f>
        <v>13.243482510440099</v>
      </c>
      <c r="I8" t="s">
        <v>74</v>
      </c>
    </row>
    <row r="9" spans="1:10" ht="15" customHeight="1">
      <c r="A9" s="26" t="s">
        <v>70</v>
      </c>
      <c r="B9" s="26"/>
      <c r="C9" s="26"/>
      <c r="D9" s="26"/>
      <c r="E9" s="26"/>
      <c r="F9" s="26"/>
      <c r="G9" s="26"/>
      <c r="H9" s="12">
        <f>H8*1.05</f>
        <v>13.905656635962105</v>
      </c>
      <c r="I9" t="s">
        <v>74</v>
      </c>
    </row>
    <row r="10" spans="1:10" hidden="1">
      <c r="A10" s="9"/>
      <c r="B10" s="9"/>
      <c r="C10" s="9"/>
      <c r="D10" s="9"/>
      <c r="E10" s="9"/>
      <c r="F10" s="9"/>
      <c r="G10" s="9"/>
      <c r="H10" s="12"/>
    </row>
    <row r="11" spans="1:10" ht="15" customHeight="1">
      <c r="A11" s="26" t="s">
        <v>71</v>
      </c>
      <c r="B11" s="26"/>
      <c r="C11" s="26"/>
      <c r="D11" s="26"/>
      <c r="E11" s="26"/>
      <c r="F11" s="26"/>
      <c r="G11" s="26"/>
      <c r="H11" s="12">
        <f>0.004*PI()/4*('Input Data'!B4*1000)^2</f>
        <v>282.74333882308139</v>
      </c>
      <c r="I11" t="s">
        <v>74</v>
      </c>
    </row>
    <row r="12" spans="1:10" ht="15" customHeight="1">
      <c r="A12" s="26" t="s">
        <v>72</v>
      </c>
      <c r="B12" s="26"/>
      <c r="C12" s="26"/>
      <c r="D12" s="26"/>
      <c r="E12" s="26"/>
      <c r="F12" s="26"/>
      <c r="G12" s="26"/>
      <c r="H12" s="12">
        <f>'Input Data'!B9*PI()/4*'Input Data'!B10^2</f>
        <v>301.59289474462014</v>
      </c>
      <c r="I12" t="s">
        <v>74</v>
      </c>
    </row>
    <row r="13" spans="1:10" ht="15" customHeight="1">
      <c r="A13" s="22" t="s">
        <v>73</v>
      </c>
      <c r="B13" s="22"/>
      <c r="C13" s="22"/>
      <c r="D13" s="22"/>
      <c r="E13" s="22"/>
      <c r="F13" s="22"/>
      <c r="G13" s="22"/>
      <c r="H13" s="23" t="str">
        <f>IF(H12&gt;=H11,"OK – provided area &gt;= minimum","NOT OK – revise reinforcement")</f>
        <v>OK – provided area &gt;= minimum</v>
      </c>
      <c r="I13" s="23"/>
      <c r="J13" s="23"/>
    </row>
  </sheetData>
  <mergeCells count="7">
    <mergeCell ref="A13:G13"/>
    <mergeCell ref="H13:J13"/>
    <mergeCell ref="A1:H1"/>
    <mergeCell ref="A8:G8"/>
    <mergeCell ref="A9:G9"/>
    <mergeCell ref="A11:G11"/>
    <mergeCell ref="A12:G12"/>
  </mergeCells>
  <pageMargins left="0.75" right="0.75" top="1" bottom="1" header="0.5" footer="0.5"/>
  <pageSetup paperSize="9" scale="72" orientation="portrait" r:id="rId1"/>
  <legacyDrawing r:id="rId2"/>
</worksheet>
</file>

<file path=xl/worksheets/sheet4.xml><?xml version="1.0" encoding="utf-8"?>
<worksheet xmlns="http://schemas.openxmlformats.org/spreadsheetml/2006/main" xmlns:r="http://schemas.openxmlformats.org/officeDocument/2006/relationships">
  <dimension ref="A1:F9"/>
  <sheetViews>
    <sheetView showGridLines="0" tabSelected="1" zoomScaleSheetLayoutView="110" workbookViewId="0">
      <pane ySplit="2" topLeftCell="A3" activePane="bottomLeft" state="frozen"/>
      <selection pane="bottomLeft" activeCell="F12" sqref="F12"/>
    </sheetView>
  </sheetViews>
  <sheetFormatPr defaultRowHeight="15"/>
  <cols>
    <col min="1" max="1" width="3" customWidth="1"/>
    <col min="2" max="2" width="43" customWidth="1"/>
    <col min="3" max="3" width="7.28515625" customWidth="1"/>
    <col min="4" max="4" width="8.7109375" customWidth="1"/>
    <col min="5" max="5" width="11.42578125" customWidth="1"/>
    <col min="6" max="6" width="11.140625" bestFit="1" customWidth="1"/>
  </cols>
  <sheetData>
    <row r="1" spans="1:6" ht="24.95" customHeight="1">
      <c r="A1" s="91" t="s">
        <v>106</v>
      </c>
      <c r="B1" s="28"/>
      <c r="C1" s="28"/>
      <c r="D1" s="28"/>
      <c r="E1" s="28"/>
      <c r="F1" s="28"/>
    </row>
    <row r="2" spans="1:6" hidden="1">
      <c r="A2" s="2"/>
      <c r="B2" s="2"/>
      <c r="C2" s="2"/>
      <c r="D2" s="2"/>
      <c r="E2" s="2"/>
      <c r="F2" s="2"/>
    </row>
    <row r="3" spans="1:6" ht="46.5" customHeight="1">
      <c r="A3" s="88" t="s">
        <v>16</v>
      </c>
      <c r="B3" s="88" t="s">
        <v>49</v>
      </c>
      <c r="C3" s="88" t="s">
        <v>19</v>
      </c>
      <c r="D3" s="88" t="s">
        <v>20</v>
      </c>
      <c r="E3" s="88" t="s">
        <v>104</v>
      </c>
      <c r="F3" s="88" t="s">
        <v>50</v>
      </c>
    </row>
    <row r="4" spans="1:6" ht="69" customHeight="1">
      <c r="A4" s="2">
        <v>1</v>
      </c>
      <c r="B4" s="87" t="s">
        <v>103</v>
      </c>
      <c r="C4" s="90">
        <v>1</v>
      </c>
      <c r="D4" s="89" t="s">
        <v>105</v>
      </c>
      <c r="E4" s="86">
        <f>+DATA!I26</f>
        <v>4564</v>
      </c>
      <c r="F4" s="86">
        <f>C4*E4</f>
        <v>4564</v>
      </c>
    </row>
    <row r="5" spans="1:6" ht="15" customHeight="1">
      <c r="A5" s="29" t="s">
        <v>76</v>
      </c>
      <c r="B5" s="29"/>
      <c r="C5" s="29"/>
      <c r="D5" s="29"/>
      <c r="E5" s="29"/>
      <c r="F5" s="13">
        <f>SUM(F4:F4)</f>
        <v>4564</v>
      </c>
    </row>
    <row r="6" spans="1:6">
      <c r="A6" s="1"/>
      <c r="B6" s="1"/>
      <c r="C6" s="1"/>
      <c r="D6" s="1"/>
      <c r="E6" s="1"/>
      <c r="F6" s="1"/>
    </row>
    <row r="7" spans="1:6">
      <c r="A7" s="1"/>
      <c r="B7" s="27"/>
      <c r="C7" s="27"/>
      <c r="D7" s="27"/>
      <c r="E7" s="27"/>
      <c r="F7" s="27"/>
    </row>
    <row r="8" spans="1:6">
      <c r="A8" s="1"/>
      <c r="B8" s="27"/>
      <c r="C8" s="27"/>
      <c r="D8" s="27"/>
      <c r="E8" s="27"/>
      <c r="F8" s="27"/>
    </row>
    <row r="9" spans="1:6">
      <c r="A9" s="1"/>
      <c r="B9" s="27"/>
      <c r="C9" s="27"/>
      <c r="D9" s="27"/>
      <c r="E9" s="27"/>
      <c r="F9" s="27"/>
    </row>
  </sheetData>
  <mergeCells count="3">
    <mergeCell ref="B7:F9"/>
    <mergeCell ref="A1:F1"/>
    <mergeCell ref="A5:E5"/>
  </mergeCells>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dimension ref="A1:F18"/>
  <sheetViews>
    <sheetView showGridLines="0" zoomScaleSheetLayoutView="110" workbookViewId="0">
      <pane ySplit="2" topLeftCell="A3" activePane="bottomLeft" state="frozen"/>
      <selection pane="bottomLeft" activeCell="D17" sqref="D17"/>
    </sheetView>
  </sheetViews>
  <sheetFormatPr defaultRowHeight="15"/>
  <cols>
    <col min="1" max="1" width="42" customWidth="1"/>
    <col min="2" max="2" width="9.140625" customWidth="1"/>
    <col min="3" max="6" width="24" customWidth="1"/>
  </cols>
  <sheetData>
    <row r="1" spans="1:6" ht="24.95" customHeight="1">
      <c r="A1" s="30" t="s">
        <v>51</v>
      </c>
      <c r="B1" s="30"/>
      <c r="C1" s="30"/>
      <c r="D1" s="1"/>
      <c r="E1" s="1"/>
      <c r="F1" s="1"/>
    </row>
    <row r="2" spans="1:6" s="1" customFormat="1" hidden="1">
      <c r="A2" s="31"/>
      <c r="B2" s="31"/>
      <c r="C2" s="2"/>
    </row>
    <row r="3" spans="1:6" ht="15" customHeight="1">
      <c r="A3" s="2" t="s">
        <v>52</v>
      </c>
      <c r="B3" s="94" t="s">
        <v>53</v>
      </c>
      <c r="C3" s="95"/>
      <c r="D3" s="1"/>
      <c r="E3" s="1"/>
      <c r="F3" s="1"/>
    </row>
    <row r="4" spans="1:6">
      <c r="A4" s="2" t="s">
        <v>54</v>
      </c>
      <c r="B4" s="96">
        <v>300</v>
      </c>
      <c r="C4" s="97" t="s">
        <v>9</v>
      </c>
      <c r="D4" s="1"/>
      <c r="E4" s="1"/>
      <c r="F4" s="1"/>
    </row>
    <row r="5" spans="1:6">
      <c r="A5" s="2" t="s">
        <v>2</v>
      </c>
      <c r="B5" s="96">
        <v>2.5</v>
      </c>
      <c r="C5" s="97" t="s">
        <v>1</v>
      </c>
      <c r="D5" s="1"/>
      <c r="E5" s="1"/>
      <c r="F5" s="1"/>
    </row>
    <row r="6" spans="1:6">
      <c r="A6" s="2" t="s">
        <v>3</v>
      </c>
      <c r="B6" s="96">
        <v>600</v>
      </c>
      <c r="C6" s="97" t="s">
        <v>9</v>
      </c>
      <c r="D6" s="1"/>
      <c r="E6" s="1"/>
      <c r="F6" s="1"/>
    </row>
    <row r="7" spans="1:6">
      <c r="A7" s="2" t="s">
        <v>55</v>
      </c>
      <c r="B7" s="93">
        <f>'Quantity Calculation'!D8</f>
        <v>0.24740042147019617</v>
      </c>
      <c r="C7" s="97" t="s">
        <v>83</v>
      </c>
      <c r="D7" s="1"/>
      <c r="E7" s="1"/>
      <c r="F7" s="1"/>
    </row>
    <row r="8" spans="1:6">
      <c r="A8" s="2" t="s">
        <v>56</v>
      </c>
      <c r="B8" s="93">
        <f>'Quantity Calculation'!D9</f>
        <v>0.25977044254370601</v>
      </c>
      <c r="C8" s="97" t="s">
        <v>83</v>
      </c>
      <c r="D8" s="1"/>
      <c r="E8" s="1"/>
      <c r="F8" s="1"/>
    </row>
    <row r="9" spans="1:6">
      <c r="A9" s="2" t="s">
        <v>57</v>
      </c>
      <c r="B9" s="93">
        <f>Reinforcement!H8</f>
        <v>13.243482510440099</v>
      </c>
      <c r="C9" s="97" t="s">
        <v>108</v>
      </c>
      <c r="D9" s="1"/>
      <c r="E9" s="1"/>
      <c r="F9" s="1"/>
    </row>
    <row r="10" spans="1:6">
      <c r="A10" s="2" t="s">
        <v>58</v>
      </c>
      <c r="B10" s="93">
        <f>Reinforcement!H9</f>
        <v>13.905656635962105</v>
      </c>
      <c r="C10" s="97" t="s">
        <v>108</v>
      </c>
      <c r="D10" s="1"/>
      <c r="E10" s="1"/>
      <c r="F10" s="1"/>
    </row>
    <row r="11" spans="1:6">
      <c r="A11" s="2" t="s">
        <v>109</v>
      </c>
      <c r="B11" s="98">
        <f>'Rate Analysis'!F5</f>
        <v>4564</v>
      </c>
      <c r="C11" s="97" t="s">
        <v>110</v>
      </c>
      <c r="D11" s="1"/>
      <c r="E11" s="1"/>
      <c r="F11" s="1"/>
    </row>
    <row r="12" spans="1:6">
      <c r="A12" s="1"/>
      <c r="B12" s="1"/>
      <c r="C12" s="1"/>
      <c r="D12" s="1"/>
      <c r="E12" s="1"/>
      <c r="F12" s="1"/>
    </row>
    <row r="13" spans="1:6" hidden="1">
      <c r="A13" s="1"/>
      <c r="B13" s="1"/>
      <c r="C13" s="1"/>
      <c r="D13" s="1"/>
      <c r="E13" s="1"/>
      <c r="F13" s="1"/>
    </row>
    <row r="14" spans="1:6" hidden="1">
      <c r="A14" s="1"/>
      <c r="B14" s="1"/>
      <c r="C14" s="1"/>
      <c r="D14" s="1"/>
      <c r="E14" s="1"/>
      <c r="F14" s="1"/>
    </row>
    <row r="15" spans="1:6">
      <c r="A15" s="5"/>
      <c r="B15" s="1"/>
      <c r="C15" s="1"/>
      <c r="D15" s="1"/>
      <c r="E15" s="1"/>
      <c r="F15" s="1"/>
    </row>
    <row r="16" spans="1:6" ht="15" customHeight="1">
      <c r="A16" s="20"/>
      <c r="B16" s="20"/>
      <c r="C16" s="1"/>
      <c r="D16" s="1"/>
      <c r="E16" s="1"/>
      <c r="F16" s="1"/>
    </row>
    <row r="17" spans="1:6">
      <c r="A17" s="20"/>
      <c r="B17" s="20"/>
      <c r="C17" s="1"/>
      <c r="D17" s="1"/>
      <c r="E17" s="1"/>
      <c r="F17" s="1"/>
    </row>
    <row r="18" spans="1:6">
      <c r="A18" s="20"/>
      <c r="B18" s="20"/>
      <c r="C18" s="1"/>
      <c r="D18" s="1"/>
      <c r="E18" s="1"/>
      <c r="F18" s="1"/>
    </row>
  </sheetData>
  <mergeCells count="4">
    <mergeCell ref="A2:B2"/>
    <mergeCell ref="A16:B18"/>
    <mergeCell ref="A1:C1"/>
    <mergeCell ref="B3:C3"/>
  </mergeCells>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dimension ref="A1:Q399"/>
  <sheetViews>
    <sheetView topLeftCell="A17" workbookViewId="0">
      <selection activeCell="N28" sqref="N28"/>
    </sheetView>
  </sheetViews>
  <sheetFormatPr defaultRowHeight="15"/>
  <cols>
    <col min="1" max="1" width="4.5703125" customWidth="1"/>
    <col min="2" max="2" width="6.140625" customWidth="1"/>
    <col min="3" max="4" width="9.42578125" customWidth="1"/>
    <col min="5" max="5" width="30.42578125" customWidth="1"/>
    <col min="6" max="6" width="10.28515625" customWidth="1"/>
    <col min="7" max="7" width="8.140625" customWidth="1"/>
    <col min="8" max="8" width="9.85546875" customWidth="1"/>
    <col min="9" max="9" width="9.5703125" customWidth="1"/>
    <col min="10" max="10" width="6" customWidth="1"/>
    <col min="11" max="11" width="6.140625" bestFit="1" customWidth="1"/>
    <col min="12" max="12" width="6.42578125" customWidth="1"/>
    <col min="13" max="13" width="19.5703125" bestFit="1" customWidth="1"/>
    <col min="14" max="14" width="6.85546875" customWidth="1"/>
    <col min="15" max="15" width="6.7109375" customWidth="1"/>
  </cols>
  <sheetData>
    <row r="1" spans="1:17" ht="24.95" customHeight="1">
      <c r="A1" s="74" t="s">
        <v>100</v>
      </c>
      <c r="B1" s="74"/>
      <c r="C1" s="74"/>
      <c r="D1" s="74"/>
      <c r="E1" s="74"/>
      <c r="F1" s="74"/>
      <c r="G1" s="74"/>
      <c r="H1" s="74"/>
      <c r="I1" s="74"/>
    </row>
    <row r="2" spans="1:17" ht="175.5" customHeight="1">
      <c r="A2" s="34">
        <v>1</v>
      </c>
      <c r="B2" s="35"/>
      <c r="C2" s="36" t="s">
        <v>114</v>
      </c>
      <c r="D2" s="36"/>
      <c r="E2" s="36"/>
      <c r="F2" s="36"/>
      <c r="G2" s="36"/>
      <c r="H2" s="36"/>
      <c r="I2" s="36"/>
      <c r="J2" s="37"/>
      <c r="K2" s="37"/>
    </row>
    <row r="3" spans="1:17" s="82" customFormat="1" hidden="1">
      <c r="A3" s="75"/>
      <c r="B3" s="76"/>
      <c r="C3" s="77" t="s">
        <v>77</v>
      </c>
      <c r="D3" s="77"/>
      <c r="E3" s="77"/>
      <c r="F3" s="78"/>
      <c r="G3" s="79"/>
      <c r="H3" s="80"/>
      <c r="I3" s="78"/>
      <c r="J3" s="81"/>
      <c r="K3" s="81"/>
    </row>
    <row r="4" spans="1:17" ht="42.75" customHeight="1">
      <c r="A4" s="38"/>
      <c r="B4" s="35"/>
      <c r="C4" s="43" t="s">
        <v>78</v>
      </c>
      <c r="D4" s="44"/>
      <c r="E4" s="45"/>
      <c r="F4" s="39"/>
      <c r="G4" s="40"/>
      <c r="H4" s="41"/>
      <c r="I4" s="39"/>
      <c r="J4" s="42"/>
      <c r="K4" s="42"/>
    </row>
    <row r="5" spans="1:17">
      <c r="A5" s="38"/>
      <c r="B5" s="35"/>
      <c r="C5" s="46" t="s">
        <v>79</v>
      </c>
      <c r="D5" s="47"/>
      <c r="E5" s="45"/>
      <c r="F5" s="39"/>
      <c r="G5" s="40"/>
      <c r="H5" s="41"/>
      <c r="I5" s="39"/>
      <c r="J5" s="42"/>
      <c r="K5" s="42"/>
      <c r="M5" s="99" t="s">
        <v>113</v>
      </c>
      <c r="N5">
        <v>91.95</v>
      </c>
      <c r="O5" t="s">
        <v>111</v>
      </c>
      <c r="P5" t="s">
        <v>112</v>
      </c>
    </row>
    <row r="6" spans="1:17">
      <c r="A6" s="48"/>
      <c r="B6" s="49"/>
      <c r="C6" s="49"/>
      <c r="D6" s="50">
        <v>0.38</v>
      </c>
      <c r="E6" s="51" t="s">
        <v>80</v>
      </c>
      <c r="F6" s="57">
        <v>4220</v>
      </c>
      <c r="G6" s="52">
        <v>1</v>
      </c>
      <c r="H6" s="53" t="s">
        <v>81</v>
      </c>
      <c r="I6" s="54">
        <f>D6*F6</f>
        <v>1603.6</v>
      </c>
      <c r="J6" s="55"/>
      <c r="K6" s="55"/>
      <c r="M6" t="s">
        <v>119</v>
      </c>
      <c r="N6">
        <f>108.92+(25*16.34)+(10*13.62)</f>
        <v>653.61999999999989</v>
      </c>
      <c r="O6" t="s">
        <v>111</v>
      </c>
    </row>
    <row r="7" spans="1:17" ht="15.75" customHeight="1">
      <c r="A7" s="48"/>
      <c r="B7" s="49"/>
      <c r="C7" s="49"/>
      <c r="D7" s="50">
        <v>0.38</v>
      </c>
      <c r="E7" s="51" t="s">
        <v>82</v>
      </c>
      <c r="F7" s="57">
        <f>+N7</f>
        <v>745.56999999999994</v>
      </c>
      <c r="G7" s="52">
        <v>1</v>
      </c>
      <c r="H7" s="53" t="s">
        <v>83</v>
      </c>
      <c r="I7" s="54">
        <f t="shared" ref="I7:I15" si="0">D7*F7</f>
        <v>283.31659999999999</v>
      </c>
      <c r="J7" s="55"/>
      <c r="K7" s="55"/>
      <c r="M7" s="99" t="s">
        <v>118</v>
      </c>
      <c r="N7">
        <f>+N5+N6</f>
        <v>745.56999999999994</v>
      </c>
      <c r="O7" t="s">
        <v>83</v>
      </c>
      <c r="P7">
        <v>108.92</v>
      </c>
      <c r="Q7" t="s">
        <v>115</v>
      </c>
    </row>
    <row r="8" spans="1:17" ht="28.5">
      <c r="A8" s="48"/>
      <c r="B8" s="49"/>
      <c r="C8" s="49"/>
      <c r="D8" s="50">
        <v>0.76</v>
      </c>
      <c r="E8" s="51" t="s">
        <v>84</v>
      </c>
      <c r="F8" s="57">
        <v>1635</v>
      </c>
      <c r="G8" s="52">
        <v>1</v>
      </c>
      <c r="H8" s="53" t="s">
        <v>83</v>
      </c>
      <c r="I8" s="54">
        <f t="shared" si="0"/>
        <v>1242.5999999999999</v>
      </c>
      <c r="J8" s="55"/>
      <c r="K8" s="55"/>
      <c r="P8">
        <v>16.34</v>
      </c>
      <c r="Q8" t="s">
        <v>116</v>
      </c>
    </row>
    <row r="9" spans="1:17">
      <c r="A9" s="48"/>
      <c r="B9" s="49"/>
      <c r="C9" s="49"/>
      <c r="D9" s="50"/>
      <c r="E9" s="56" t="s">
        <v>85</v>
      </c>
      <c r="F9" s="57"/>
      <c r="G9" s="52"/>
      <c r="H9" s="53"/>
      <c r="I9" s="57"/>
      <c r="J9" s="55"/>
      <c r="K9" s="55"/>
      <c r="P9">
        <v>13.62</v>
      </c>
      <c r="Q9" t="s">
        <v>117</v>
      </c>
    </row>
    <row r="10" spans="1:17">
      <c r="A10" s="48"/>
      <c r="B10" s="49"/>
      <c r="C10" s="49"/>
      <c r="D10" s="58">
        <v>1</v>
      </c>
      <c r="E10" s="51" t="s">
        <v>86</v>
      </c>
      <c r="F10" s="67">
        <v>238.38</v>
      </c>
      <c r="G10" s="52">
        <v>1</v>
      </c>
      <c r="H10" s="53" t="s">
        <v>87</v>
      </c>
      <c r="I10" s="54">
        <f t="shared" si="0"/>
        <v>238.38</v>
      </c>
      <c r="J10" s="55"/>
      <c r="K10" s="55"/>
    </row>
    <row r="11" spans="1:17">
      <c r="A11" s="48"/>
      <c r="B11" s="49"/>
      <c r="C11" s="49"/>
      <c r="D11" s="58">
        <v>1</v>
      </c>
      <c r="E11" s="51" t="s">
        <v>88</v>
      </c>
      <c r="F11" s="67">
        <v>621.38</v>
      </c>
      <c r="G11" s="52">
        <v>1</v>
      </c>
      <c r="H11" s="53" t="s">
        <v>87</v>
      </c>
      <c r="I11" s="54">
        <f t="shared" si="0"/>
        <v>621.38</v>
      </c>
      <c r="J11" s="55"/>
      <c r="K11" s="55"/>
    </row>
    <row r="12" spans="1:17">
      <c r="A12" s="48"/>
      <c r="B12" s="49"/>
      <c r="C12" s="49"/>
      <c r="D12" s="50"/>
      <c r="E12" s="56" t="s">
        <v>89</v>
      </c>
      <c r="F12" s="57"/>
      <c r="G12" s="52"/>
      <c r="H12" s="53"/>
      <c r="I12" s="57"/>
      <c r="J12" s="55"/>
      <c r="K12" s="55"/>
    </row>
    <row r="13" spans="1:17">
      <c r="A13" s="48"/>
      <c r="B13" s="49"/>
      <c r="C13" s="49"/>
      <c r="D13" s="50">
        <v>0.1</v>
      </c>
      <c r="E13" s="51" t="s">
        <v>90</v>
      </c>
      <c r="F13" s="67">
        <v>840</v>
      </c>
      <c r="G13" s="52">
        <v>1</v>
      </c>
      <c r="H13" s="53" t="s">
        <v>91</v>
      </c>
      <c r="I13" s="54">
        <f t="shared" si="0"/>
        <v>84</v>
      </c>
      <c r="J13" s="55"/>
      <c r="K13" s="55"/>
    </row>
    <row r="14" spans="1:17" ht="15" customHeight="1">
      <c r="A14" s="48"/>
      <c r="B14" s="49"/>
      <c r="C14" s="49"/>
      <c r="D14" s="50">
        <v>0.2</v>
      </c>
      <c r="E14" s="51" t="s">
        <v>92</v>
      </c>
      <c r="F14" s="67">
        <v>730</v>
      </c>
      <c r="G14" s="52">
        <v>1</v>
      </c>
      <c r="H14" s="53" t="s">
        <v>91</v>
      </c>
      <c r="I14" s="54">
        <f t="shared" si="0"/>
        <v>146</v>
      </c>
      <c r="J14" s="55"/>
      <c r="K14" s="55"/>
    </row>
    <row r="15" spans="1:17">
      <c r="A15" s="48"/>
      <c r="B15" s="49"/>
      <c r="C15" s="49"/>
      <c r="D15" s="50">
        <v>3.45</v>
      </c>
      <c r="E15" s="51" t="s">
        <v>93</v>
      </c>
      <c r="F15" s="67">
        <v>680</v>
      </c>
      <c r="G15" s="52">
        <v>1</v>
      </c>
      <c r="H15" s="53" t="s">
        <v>91</v>
      </c>
      <c r="I15" s="54">
        <f t="shared" si="0"/>
        <v>2346</v>
      </c>
      <c r="J15" s="55"/>
      <c r="K15" s="55"/>
    </row>
    <row r="16" spans="1:17">
      <c r="A16" s="38"/>
      <c r="B16" s="35"/>
      <c r="C16" s="46" t="s">
        <v>94</v>
      </c>
      <c r="D16" s="47"/>
      <c r="E16" s="45"/>
      <c r="F16" s="39"/>
      <c r="G16" s="41"/>
      <c r="H16" s="41"/>
      <c r="I16" s="59">
        <f>SUM(I6:I15)</f>
        <v>6565.2766000000001</v>
      </c>
      <c r="J16" s="42"/>
      <c r="K16" s="42"/>
    </row>
    <row r="17" spans="1:12">
      <c r="A17" s="38"/>
      <c r="B17" s="35"/>
      <c r="C17" s="43"/>
      <c r="D17" s="60"/>
      <c r="E17" s="35"/>
      <c r="F17" s="61"/>
      <c r="G17" s="62"/>
      <c r="H17" s="62"/>
      <c r="I17" s="63"/>
      <c r="J17" s="42"/>
      <c r="K17" s="42"/>
    </row>
    <row r="18" spans="1:12" ht="33" customHeight="1">
      <c r="A18" s="38"/>
      <c r="B18" s="35"/>
      <c r="C18" s="64" t="s">
        <v>101</v>
      </c>
      <c r="D18" s="65"/>
      <c r="E18" s="66"/>
      <c r="F18" s="61"/>
      <c r="G18" s="62"/>
      <c r="H18" s="62"/>
      <c r="I18" s="63"/>
      <c r="J18" s="42"/>
      <c r="K18" s="42"/>
    </row>
    <row r="19" spans="1:12" ht="28.5">
      <c r="A19" s="48"/>
      <c r="B19" s="49"/>
      <c r="C19" s="51"/>
      <c r="D19" s="58">
        <f>0.526*2.5</f>
        <v>1.3149999999999999</v>
      </c>
      <c r="E19" s="51" t="s">
        <v>95</v>
      </c>
      <c r="F19" s="67">
        <f>F15</f>
        <v>680</v>
      </c>
      <c r="G19" s="53" t="s">
        <v>91</v>
      </c>
      <c r="H19" s="53"/>
      <c r="I19" s="54">
        <f t="shared" ref="I19:I21" si="1">D19*F19</f>
        <v>894.19999999999993</v>
      </c>
      <c r="J19" s="55"/>
      <c r="K19" s="55"/>
    </row>
    <row r="20" spans="1:12" ht="15" customHeight="1">
      <c r="A20" s="48"/>
      <c r="B20" s="49"/>
      <c r="C20" s="51"/>
      <c r="D20" s="58">
        <f>1*0.6</f>
        <v>0.6</v>
      </c>
      <c r="E20" s="51" t="s">
        <v>96</v>
      </c>
      <c r="F20" s="67">
        <f>F15</f>
        <v>680</v>
      </c>
      <c r="G20" s="53" t="s">
        <v>91</v>
      </c>
      <c r="H20" s="53"/>
      <c r="I20" s="54">
        <f t="shared" si="1"/>
        <v>408</v>
      </c>
      <c r="J20" s="55"/>
      <c r="K20" s="55"/>
    </row>
    <row r="21" spans="1:12" ht="15.75" customHeight="1">
      <c r="A21" s="48"/>
      <c r="B21" s="49"/>
      <c r="C21" s="51"/>
      <c r="D21" s="58">
        <f>ROUND(J23,3)*1.05</f>
        <v>0.25935000000000002</v>
      </c>
      <c r="E21" s="51" t="s">
        <v>102</v>
      </c>
      <c r="F21" s="57">
        <f>I16</f>
        <v>6565.2766000000001</v>
      </c>
      <c r="G21" s="53" t="s">
        <v>83</v>
      </c>
      <c r="H21" s="53"/>
      <c r="I21" s="54">
        <f t="shared" si="1"/>
        <v>1702.7044862100001</v>
      </c>
      <c r="J21" s="68">
        <f>ROUND((22/7)*0.3*0.3*2.5/4,3)</f>
        <v>0.17699999999999999</v>
      </c>
      <c r="K21" s="84">
        <f>+'Quantity Calculation'!D5</f>
        <v>0.17671458676442586</v>
      </c>
      <c r="L21" s="85"/>
    </row>
    <row r="22" spans="1:12">
      <c r="A22" s="48"/>
      <c r="B22" s="49"/>
      <c r="C22" s="51"/>
      <c r="D22" s="50"/>
      <c r="E22" s="51"/>
      <c r="F22" s="57"/>
      <c r="G22" s="69"/>
      <c r="H22" s="53"/>
      <c r="I22" s="70">
        <f>SUM(I19:I21)</f>
        <v>3004.90448621</v>
      </c>
      <c r="J22" s="68">
        <f>ROUND(1*1.33*(22/7)*0.3*0.3*0.3,3)</f>
        <v>0.113</v>
      </c>
      <c r="K22" s="84">
        <f>+'Quantity Calculation'!D6</f>
        <v>0.11309733552923254</v>
      </c>
      <c r="L22" s="84">
        <f>+'Quantity Calculation'!D7</f>
        <v>4.2411500823462206E-2</v>
      </c>
    </row>
    <row r="23" spans="1:12" ht="28.5">
      <c r="A23" s="48"/>
      <c r="B23" s="49"/>
      <c r="C23" s="71"/>
      <c r="D23" s="72">
        <v>0.13614999999999999</v>
      </c>
      <c r="E23" s="71" t="s">
        <v>97</v>
      </c>
      <c r="F23" s="57">
        <f>I22</f>
        <v>3004.90448621</v>
      </c>
      <c r="G23" s="69"/>
      <c r="H23" s="53"/>
      <c r="I23" s="54">
        <f>IF(G23="",D23*F23,(D23*F23/G23))</f>
        <v>409.11774579749147</v>
      </c>
      <c r="J23" s="68">
        <f>+K21+K22-L22</f>
        <v>0.24740042147019617</v>
      </c>
      <c r="K23" s="55"/>
    </row>
    <row r="24" spans="1:12" ht="42.75">
      <c r="A24" s="48"/>
      <c r="B24" s="49"/>
      <c r="C24" s="51"/>
      <c r="D24" s="58">
        <f>+Reinforcement!H9</f>
        <v>13.905656635962105</v>
      </c>
      <c r="E24" s="51" t="s">
        <v>75</v>
      </c>
      <c r="F24" s="57">
        <v>82.68</v>
      </c>
      <c r="G24" s="69" t="s">
        <v>74</v>
      </c>
      <c r="H24" s="53"/>
      <c r="I24" s="54">
        <f t="shared" ref="I24" si="2">D24*F24</f>
        <v>1149.7196906613469</v>
      </c>
      <c r="J24" s="68"/>
      <c r="K24" s="84"/>
      <c r="L24" s="84"/>
    </row>
    <row r="25" spans="1:12" ht="15.75" thickBot="1">
      <c r="A25" s="38"/>
      <c r="B25" s="35"/>
      <c r="C25" s="43"/>
      <c r="D25" s="44"/>
      <c r="E25" s="43" t="s">
        <v>98</v>
      </c>
      <c r="F25" s="39"/>
      <c r="G25" s="40"/>
      <c r="H25" s="41"/>
      <c r="I25" s="59">
        <f>SUM(I22:I24)</f>
        <v>4563.741922668838</v>
      </c>
      <c r="J25" s="42"/>
      <c r="K25" s="42"/>
    </row>
    <row r="26" spans="1:12" ht="15.75" thickBot="1">
      <c r="A26" s="38"/>
      <c r="B26" s="35"/>
      <c r="C26" s="43"/>
      <c r="D26" s="44"/>
      <c r="E26" s="45"/>
      <c r="F26" s="39"/>
      <c r="G26" s="40"/>
      <c r="H26" s="73" t="s">
        <v>99</v>
      </c>
      <c r="I26" s="83">
        <f>ROUND(I25,0)</f>
        <v>4564</v>
      </c>
      <c r="J26" s="42"/>
      <c r="K26" s="42"/>
    </row>
    <row r="28" spans="1:12" ht="42.75" customHeight="1"/>
    <row r="34" ht="15" customHeight="1"/>
    <row r="35" ht="15.75" customHeight="1"/>
    <row r="43" ht="42.75" customHeight="1"/>
    <row r="52" ht="42.75" customHeight="1"/>
    <row r="62" ht="42.75" customHeight="1"/>
    <row r="72" ht="15" customHeight="1"/>
    <row r="81" ht="42.75" customHeight="1"/>
    <row r="84" ht="15.75" customHeight="1"/>
    <row r="90" ht="42.75" customHeight="1"/>
    <row r="95" ht="15" customHeight="1"/>
    <row r="96" ht="15.75" customHeight="1"/>
    <row r="105" ht="42.75" customHeight="1"/>
    <row r="116" ht="15" customHeight="1"/>
    <row r="117" ht="15.75" customHeight="1"/>
    <row r="126" ht="42.75" customHeight="1"/>
    <row r="133" ht="15" customHeight="1"/>
    <row r="134" ht="15.75" customHeight="1"/>
    <row r="143" ht="42.75" customHeight="1"/>
    <row r="153" ht="42.75" customHeight="1"/>
    <row r="165" ht="42.75" customHeight="1"/>
    <row r="183" ht="42.75" customHeight="1"/>
    <row r="199" ht="57" customHeight="1"/>
    <row r="208" ht="42.75" customHeight="1"/>
    <row r="224" ht="42.75" customHeight="1"/>
    <row r="237" ht="42.75" customHeight="1"/>
    <row r="253" ht="57" customHeight="1"/>
    <row r="268" ht="42.75" customHeight="1"/>
    <row r="278" ht="42.75" customHeight="1"/>
    <row r="287" ht="15" customHeight="1"/>
    <row r="288" ht="15" customHeight="1"/>
    <row r="289" ht="15" customHeight="1"/>
    <row r="290" ht="15" customHeight="1"/>
    <row r="293" ht="15" customHeight="1"/>
    <row r="294" ht="42.75" customHeight="1"/>
    <row r="307" ht="15.75" customHeight="1"/>
    <row r="317" ht="42.75" customHeight="1"/>
    <row r="329" ht="15" customHeight="1"/>
    <row r="337" ht="42.75" customHeight="1"/>
    <row r="344" ht="15" customHeight="1"/>
    <row r="356" ht="57" customHeight="1"/>
    <row r="372" ht="15.75" customHeight="1"/>
    <row r="383" ht="15" customHeight="1"/>
    <row r="384" ht="15" customHeight="1"/>
    <row r="386" ht="15" customHeight="1"/>
    <row r="397" ht="15" customHeight="1"/>
    <row r="399" ht="15" customHeight="1"/>
  </sheetData>
  <mergeCells count="6">
    <mergeCell ref="C2:I2"/>
    <mergeCell ref="C3:E3"/>
    <mergeCell ref="C5:D5"/>
    <mergeCell ref="C16:D16"/>
    <mergeCell ref="C18:E18"/>
    <mergeCell ref="A1:I1"/>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dimension ref="A1:F2"/>
  <sheetViews>
    <sheetView showGridLines="0" view="pageBreakPreview" zoomScale="110" zoomScaleNormal="80" zoomScaleSheetLayoutView="110" workbookViewId="0">
      <pane ySplit="2" topLeftCell="A3" activePane="bottomLeft" state="frozen"/>
      <selection pane="bottomLeft" activeCell="G14" sqref="G14"/>
    </sheetView>
  </sheetViews>
  <sheetFormatPr defaultRowHeight="15"/>
  <cols>
    <col min="1" max="6" width="24" customWidth="1"/>
  </cols>
  <sheetData>
    <row r="1" spans="1:6" ht="24.95" customHeight="1">
      <c r="A1" s="32" t="s">
        <v>59</v>
      </c>
      <c r="B1" s="33"/>
      <c r="C1" s="33"/>
      <c r="D1" s="33"/>
      <c r="E1" s="33"/>
      <c r="F1" s="33"/>
    </row>
    <row r="2" spans="1:6" hidden="1"/>
  </sheetData>
  <mergeCells count="1">
    <mergeCell ref="A1:F1"/>
  </mergeCells>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Input Data</vt:lpstr>
      <vt:lpstr>Quantity Calculation</vt:lpstr>
      <vt:lpstr>Reinforcement</vt:lpstr>
      <vt:lpstr>Rate Analysis</vt:lpstr>
      <vt:lpstr>Estimate Summary</vt:lpstr>
      <vt:lpstr>DATA</vt:lpstr>
      <vt:lpstr>Schematic</vt:lpstr>
      <vt:lpstr>'Estimate Summary'!Print_Area</vt:lpstr>
      <vt:lpstr>'Input Data'!Print_Area</vt:lpstr>
      <vt:lpstr>'Rate Analysis'!Print_Area</vt:lpstr>
      <vt:lpstr>Reinforcement!Print_Area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Dinesh</cp:lastModifiedBy>
  <cp:lastPrinted>2026-08-06T17:02:17Z</cp:lastPrinted>
  <dcterms:created xsi:type="dcterms:W3CDTF">2026-08-06T15:31:02Z</dcterms:created>
  <dcterms:modified xsi:type="dcterms:W3CDTF">2026-08-07T07:26:41Z</dcterms:modified>
</cp:coreProperties>
</file>