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4" l="1"/>
  <c r="AA20" i="4" s="1"/>
  <c r="S21" i="4" l="1"/>
  <c r="AJ15" i="4" l="1"/>
  <c r="AL20" i="4"/>
  <c r="AJ27" i="4"/>
  <c r="AJ24" i="4"/>
  <c r="AL13" i="4"/>
  <c r="AA30" i="4"/>
  <c r="AA31" i="4"/>
  <c r="AA29" i="4"/>
  <c r="AA15" i="4"/>
  <c r="AC23" i="4" s="1"/>
  <c r="AC13" i="4"/>
  <c r="AL23" i="4" l="1"/>
  <c r="AJ9" i="4" s="1"/>
  <c r="AL26" i="4"/>
  <c r="AL5" i="4" s="1"/>
  <c r="AL6" i="4" s="1"/>
  <c r="AL4" i="4"/>
  <c r="AL3" i="4" s="1"/>
  <c r="AC28" i="4"/>
  <c r="AC33" i="4" l="1"/>
  <c r="AC5" i="4" s="1"/>
  <c r="AC6" i="4" s="1"/>
  <c r="AA9" i="4"/>
  <c r="AA21" i="4" l="1"/>
  <c r="AC18" i="4" s="1"/>
  <c r="AC4" i="4" s="1"/>
  <c r="AC3" i="4" l="1"/>
  <c r="C31" i="4"/>
  <c r="C32" i="4" s="1"/>
  <c r="E30" i="4" s="1"/>
  <c r="C22" i="4"/>
  <c r="C23" i="4" s="1"/>
  <c r="K17" i="4"/>
  <c r="M25" i="4" s="1"/>
  <c r="K21" i="4"/>
  <c r="C17" i="4"/>
  <c r="E25" i="4" s="1"/>
  <c r="S31" i="4" l="1"/>
  <c r="K22" i="4"/>
  <c r="K23" i="4" s="1"/>
  <c r="M20" i="4" s="1"/>
  <c r="K31" i="4"/>
  <c r="M14" i="4"/>
  <c r="E20" i="4"/>
  <c r="E5" i="4"/>
  <c r="S17" i="4"/>
  <c r="U25" i="4" s="1"/>
  <c r="E14" i="4"/>
  <c r="K32" i="4" l="1"/>
  <c r="M30" i="4" s="1"/>
  <c r="M4" i="4" s="1"/>
  <c r="M3" i="4" s="1"/>
  <c r="M5" i="4"/>
  <c r="S32" i="4"/>
  <c r="U30" i="4" s="1"/>
  <c r="U5" i="4"/>
  <c r="S22" i="4"/>
  <c r="S23" i="4" s="1"/>
  <c r="U20" i="4" s="1"/>
  <c r="U14" i="4"/>
  <c r="E4" i="4"/>
  <c r="E3" i="4" s="1"/>
  <c r="U4" i="4" l="1"/>
  <c r="U3" i="4" s="1"/>
</calcChain>
</file>

<file path=xl/sharedStrings.xml><?xml version="1.0" encoding="utf-8"?>
<sst xmlns="http://schemas.openxmlformats.org/spreadsheetml/2006/main" count="434" uniqueCount="134">
  <si>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</si>
  <si>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</si>
  <si>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</si>
  <si>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</si>
  <si>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</si>
  <si>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</si>
  <si>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</si>
  <si>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</si>
  <si>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</si>
  <si>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</si>
  <si>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</si>
  <si>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</si>
  <si>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</si>
  <si>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</si>
  <si>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</si>
  <si>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</si>
  <si>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</si>
  <si>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</si>
  <si>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</si>
  <si>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</si>
  <si>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</si>
  <si>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</si>
  <si>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</si>
  <si>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</si>
  <si>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</si>
  <si>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</si>
  <si>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</si>
  <si>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</si>
  <si>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9 months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</si>
  <si>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</si>
  <si>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</si>
  <si>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</si>
  <si>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</si>
  <si>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</si>
  <si>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</si>
  <si>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</si>
  <si>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</si>
  <si>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</si>
  <si>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</si>
  <si>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</si>
  <si>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</si>
  <si>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</si>
  <si>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</si>
  <si>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</si>
  <si>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</si>
  <si>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</si>
  <si>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</si>
  <si>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</si>
  <si>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</si>
  <si>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</si>
  <si>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</si>
  <si>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</si>
  <si>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</si>
  <si>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</si>
  <si>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</si>
  <si>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</si>
  <si>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</si>
  <si>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</si>
  <si>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</si>
  <si>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</si>
  <si>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</si>
  <si>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</si>
  <si>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</si>
  <si>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</si>
  <si>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</si>
  <si>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</si>
  <si>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</si>
  <si>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</si>
  <si>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Water saved (15 yrs)</t>
  </si>
  <si>
    <t>Life cycle cost (15 yrs)</t>
  </si>
  <si>
    <t>Water cost saved (15 yrs)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</si>
  <si>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</si>
  <si>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</si>
  <si>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</si>
  <si>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</si>
  <si>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</si>
  <si>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</si>
  <si>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</si>
  <si>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</si>
  <si>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</si>
  <si>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</si>
  <si>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</si>
  <si>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</si>
  <si>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</si>
  <si>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</si>
  <si>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</si>
  <si>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</si>
  <si>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</si>
  <si>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</si>
  <si>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</si>
  <si>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</si>
  <si>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</si>
  <si>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</si>
  <si>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</si>
  <si>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</si>
  <si>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</si>
  <si>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</si>
  <si>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</si>
  <si>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</si>
  <si>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</si>
  <si>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</si>
  <si>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</si>
  <si>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</si>
  <si>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</si>
  <si>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Water cost additional (20 yrs)</t>
  </si>
  <si>
    <t>UV bulb, sensor, pump, etc.</t>
  </si>
  <si>
    <t>Ltrs</t>
  </si>
  <si>
    <t>Dt: 30.4.2020.</t>
  </si>
  <si>
    <t>Water cost SAVED  (20 yrs)</t>
  </si>
  <si>
    <t>Rethink water Heater</t>
  </si>
  <si>
    <t xml:space="preserve">In 15 years water consumption </t>
  </si>
  <si>
    <t xml:space="preserve">Shower with 2.2 LPM flow </t>
  </si>
  <si>
    <t>Manual Bath using Bucket &amp; Mug</t>
  </si>
  <si>
    <t xml:space="preserve">Cost Exclusions:  Power  for pumping &amp; Sewage treatment. </t>
  </si>
  <si>
    <t>INR</t>
  </si>
  <si>
    <t>INR/unit</t>
  </si>
  <si>
    <t>INR/ltr</t>
  </si>
  <si>
    <t>INR/no</t>
  </si>
  <si>
    <t>INR/yr</t>
  </si>
  <si>
    <t>INR/month</t>
  </si>
  <si>
    <t>INR/5 yr</t>
  </si>
  <si>
    <t>INR/10 yr</t>
  </si>
  <si>
    <t>INR/7 yr</t>
  </si>
  <si>
    <t>Considered Average costs at India</t>
  </si>
  <si>
    <t>INR 20,250/- against re-Think heater</t>
  </si>
  <si>
    <t>Avg Life - Survey results</t>
  </si>
  <si>
    <t>INR 20,250/- to 2,02,500/-  as per usage</t>
  </si>
  <si>
    <t>INR 2,02,500/- against re-Think heater</t>
  </si>
  <si>
    <t>No Scaling</t>
  </si>
  <si>
    <r>
      <t xml:space="preserve">Family of 5 member, avg data of RETHINK System, For others </t>
    </r>
    <r>
      <rPr>
        <b/>
        <sz val="11"/>
        <color rgb="FF7030A0"/>
        <rFont val="Calibri"/>
        <family val="2"/>
        <scheme val="minor"/>
      </rPr>
      <t>ADD water cost between INR 20,250/-  to 2,02,500/-</t>
    </r>
  </si>
  <si>
    <t>Rethink  Bath</t>
  </si>
  <si>
    <t xml:space="preserve">To calculate  combine savings by all products. </t>
  </si>
  <si>
    <t>Rethink 1st  Reduces water usage, Then 2nd  Reuses the grey water</t>
  </si>
  <si>
    <t xml:space="preserve">The pay back is only few months across the planet.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</si>
</sst>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47" t="s">
        <v>56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4.55" x14ac:dyDescent="0.35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4.55" x14ac:dyDescent="0.35">
      <c r="H4" s="1">
        <v>6</v>
      </c>
      <c r="I4" s="1" t="s">
        <v>51</v>
      </c>
      <c r="J4" s="1" t="s">
        <v>53</v>
      </c>
      <c r="K4" s="1">
        <v>3.4</v>
      </c>
      <c r="L4" s="1" t="s">
        <v>52</v>
      </c>
      <c r="M4" s="1">
        <v>1000000</v>
      </c>
      <c r="N4" s="1" t="s">
        <v>53</v>
      </c>
      <c r="O4" s="2">
        <v>0.99999660000000001</v>
      </c>
      <c r="P4" s="1" t="s">
        <v>54</v>
      </c>
      <c r="Q4" s="1" t="s">
        <v>53</v>
      </c>
      <c r="R4" s="1">
        <v>1</v>
      </c>
      <c r="S4" s="1" t="s">
        <v>55</v>
      </c>
      <c r="T4" s="1">
        <v>250000</v>
      </c>
    </row>
    <row r="5" spans="8:20" ht="14.55" x14ac:dyDescent="0.35">
      <c r="H5" s="1">
        <v>5</v>
      </c>
      <c r="I5" s="1" t="s">
        <v>51</v>
      </c>
      <c r="J5" s="1" t="s">
        <v>53</v>
      </c>
      <c r="K5" s="1">
        <v>233</v>
      </c>
      <c r="L5" s="1" t="s">
        <v>52</v>
      </c>
      <c r="M5" s="1">
        <v>1000000</v>
      </c>
      <c r="N5" s="1" t="s">
        <v>53</v>
      </c>
      <c r="O5" s="2">
        <v>0.99976699999999996</v>
      </c>
      <c r="P5" s="1" t="s">
        <v>54</v>
      </c>
      <c r="Q5" s="1" t="s">
        <v>53</v>
      </c>
      <c r="R5" s="1">
        <v>1</v>
      </c>
      <c r="S5" s="1" t="s">
        <v>55</v>
      </c>
      <c r="T5" s="1">
        <v>4300</v>
      </c>
    </row>
    <row r="6" spans="8:20" ht="14.55" x14ac:dyDescent="0.35">
      <c r="H6" s="1">
        <v>4</v>
      </c>
      <c r="I6" s="1" t="s">
        <v>51</v>
      </c>
      <c r="J6" s="1" t="s">
        <v>53</v>
      </c>
      <c r="K6" s="1">
        <v>6210</v>
      </c>
      <c r="L6" s="1" t="s">
        <v>52</v>
      </c>
      <c r="M6" s="1">
        <v>1000000</v>
      </c>
      <c r="N6" s="1" t="s">
        <v>53</v>
      </c>
      <c r="O6" s="2">
        <v>0.99378999999999995</v>
      </c>
      <c r="P6" s="1" t="s">
        <v>54</v>
      </c>
      <c r="Q6" s="1" t="s">
        <v>53</v>
      </c>
      <c r="R6" s="1">
        <v>1</v>
      </c>
      <c r="S6" s="1" t="s">
        <v>55</v>
      </c>
      <c r="T6" s="1">
        <v>160</v>
      </c>
    </row>
    <row r="7" spans="8:20" ht="14.55" x14ac:dyDescent="0.35">
      <c r="H7" s="1">
        <v>3</v>
      </c>
      <c r="I7" s="1" t="s">
        <v>51</v>
      </c>
      <c r="J7" s="1" t="s">
        <v>53</v>
      </c>
      <c r="K7" s="1">
        <v>66807</v>
      </c>
      <c r="L7" s="1" t="s">
        <v>52</v>
      </c>
      <c r="M7" s="1">
        <v>1000000</v>
      </c>
      <c r="N7" s="1" t="s">
        <v>53</v>
      </c>
      <c r="O7" s="2">
        <v>0.93320000000000003</v>
      </c>
      <c r="P7" s="1" t="s">
        <v>54</v>
      </c>
      <c r="Q7" s="1" t="s">
        <v>53</v>
      </c>
      <c r="R7" s="1">
        <v>1</v>
      </c>
      <c r="S7" s="1" t="s">
        <v>55</v>
      </c>
      <c r="T7" s="1">
        <v>15</v>
      </c>
    </row>
    <row r="8" spans="8:20" ht="14.55" x14ac:dyDescent="0.35">
      <c r="H8" s="1">
        <v>2</v>
      </c>
      <c r="I8" s="1" t="s">
        <v>51</v>
      </c>
      <c r="J8" s="1" t="s">
        <v>53</v>
      </c>
      <c r="K8" s="1">
        <v>308537</v>
      </c>
      <c r="L8" s="1" t="s">
        <v>52</v>
      </c>
      <c r="M8" s="1">
        <v>1000000</v>
      </c>
      <c r="N8" s="1" t="s">
        <v>53</v>
      </c>
      <c r="O8" s="2">
        <v>0.69130000000000003</v>
      </c>
      <c r="P8" s="1" t="s">
        <v>54</v>
      </c>
      <c r="Q8" s="1" t="s">
        <v>53</v>
      </c>
      <c r="R8" s="1">
        <v>1</v>
      </c>
      <c r="S8" s="1" t="s">
        <v>55</v>
      </c>
      <c r="T8" s="1">
        <v>3</v>
      </c>
    </row>
    <row r="9" spans="8:20" ht="14.55" x14ac:dyDescent="0.35">
      <c r="H9" s="1">
        <v>1</v>
      </c>
      <c r="I9" s="1" t="s">
        <v>51</v>
      </c>
      <c r="J9" s="1" t="s">
        <v>53</v>
      </c>
      <c r="K9" s="1">
        <v>690000</v>
      </c>
      <c r="L9" s="1" t="s">
        <v>52</v>
      </c>
      <c r="M9" s="1">
        <v>1000000</v>
      </c>
      <c r="N9" s="1" t="s">
        <v>53</v>
      </c>
      <c r="O9" s="2">
        <v>0.30230000000000001</v>
      </c>
      <c r="P9" s="1" t="s">
        <v>54</v>
      </c>
      <c r="Q9" s="1" t="s">
        <v>53</v>
      </c>
      <c r="R9" s="1">
        <v>1</v>
      </c>
      <c r="S9" s="1" t="s">
        <v>55</v>
      </c>
      <c r="T9" s="1">
        <v>2</v>
      </c>
    </row>
    <row r="10" spans="8:20" ht="14.55" x14ac:dyDescent="0.35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4.55" x14ac:dyDescent="0.35">
      <c r="H11" s="48" t="s">
        <v>57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zoomScaleNormal="100" workbookViewId="0">
      <pane ySplit="1" topLeftCell="A23" activePane="bottomLeft" state="frozen"/>
      <selection pane="bottomLeft" activeCell="G44" sqref="G44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21875" style="5" bestFit="1" customWidth="1"/>
    <col min="5" max="5" width="6.7773437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2187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2187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95" x14ac:dyDescent="0.35">
      <c r="A1" s="95" t="s">
        <v>98</v>
      </c>
      <c r="B1" s="95"/>
      <c r="C1" s="95"/>
      <c r="D1" s="95"/>
      <c r="E1" s="95"/>
      <c r="F1" s="95"/>
      <c r="G1" s="95"/>
      <c r="H1" s="3"/>
      <c r="I1" s="108" t="s">
        <v>35</v>
      </c>
      <c r="J1" s="108"/>
      <c r="K1" s="108"/>
      <c r="L1" s="108"/>
      <c r="M1" s="108"/>
      <c r="N1" s="108"/>
      <c r="O1" s="108"/>
      <c r="Q1" s="109" t="s">
        <v>36</v>
      </c>
      <c r="R1" s="109"/>
      <c r="S1" s="109"/>
      <c r="T1" s="109"/>
      <c r="U1" s="109"/>
      <c r="V1" s="109"/>
      <c r="W1" s="109"/>
      <c r="Y1" s="95" t="s">
        <v>94</v>
      </c>
      <c r="Z1" s="95"/>
      <c r="AA1" s="95"/>
      <c r="AB1" s="95"/>
      <c r="AC1" s="95"/>
      <c r="AD1" s="95"/>
      <c r="AE1" s="95"/>
      <c r="AH1" s="95" t="s">
        <v>95</v>
      </c>
      <c r="AI1" s="95"/>
      <c r="AJ1" s="95"/>
      <c r="AK1" s="95"/>
      <c r="AL1" s="95"/>
      <c r="AM1" s="95"/>
      <c r="AN1" s="95"/>
    </row>
    <row r="2" spans="1:40" x14ac:dyDescent="0.3">
      <c r="A2" s="110" t="s">
        <v>111</v>
      </c>
      <c r="B2" s="66"/>
      <c r="C2" s="66"/>
      <c r="D2" s="66"/>
      <c r="E2" s="66"/>
      <c r="F2" s="66"/>
      <c r="G2" s="67"/>
      <c r="I2" s="110" t="s">
        <v>112</v>
      </c>
      <c r="J2" s="66"/>
      <c r="K2" s="66"/>
      <c r="L2" s="66"/>
      <c r="M2" s="66"/>
      <c r="N2" s="66"/>
      <c r="O2" s="67"/>
      <c r="Q2" s="110" t="s">
        <v>101</v>
      </c>
      <c r="R2" s="111"/>
      <c r="S2" s="111"/>
      <c r="T2" s="111"/>
      <c r="U2" s="111"/>
      <c r="V2" s="111"/>
      <c r="W2" s="112"/>
      <c r="Y2" s="96" t="s">
        <v>91</v>
      </c>
      <c r="Z2" s="66"/>
      <c r="AA2" s="66"/>
      <c r="AB2" s="66"/>
      <c r="AC2" s="66"/>
      <c r="AD2" s="66"/>
      <c r="AE2" s="67"/>
      <c r="AH2" s="96" t="s">
        <v>91</v>
      </c>
      <c r="AI2" s="66"/>
      <c r="AJ2" s="66"/>
      <c r="AK2" s="66"/>
      <c r="AL2" s="66"/>
      <c r="AM2" s="66"/>
      <c r="AN2" s="67"/>
    </row>
    <row r="3" spans="1:40" ht="14.55" customHeight="1" x14ac:dyDescent="0.3">
      <c r="A3" s="97" t="s">
        <v>49</v>
      </c>
      <c r="B3" s="98"/>
      <c r="C3" s="98"/>
      <c r="D3" s="99"/>
      <c r="E3" s="6">
        <f>E4/20</f>
        <v>5303</v>
      </c>
      <c r="F3" s="6" t="s">
        <v>114</v>
      </c>
      <c r="G3" s="113" t="s">
        <v>50</v>
      </c>
      <c r="I3" s="97" t="s">
        <v>49</v>
      </c>
      <c r="J3" s="98"/>
      <c r="K3" s="98"/>
      <c r="L3" s="99"/>
      <c r="M3" s="7">
        <f>M4/20</f>
        <v>8326.0714285714294</v>
      </c>
      <c r="N3" s="6" t="s">
        <v>114</v>
      </c>
      <c r="O3" s="54" t="s">
        <v>50</v>
      </c>
      <c r="Q3" s="97" t="s">
        <v>49</v>
      </c>
      <c r="R3" s="98"/>
      <c r="S3" s="98"/>
      <c r="T3" s="99"/>
      <c r="U3" s="6">
        <f>U4/20</f>
        <v>22550</v>
      </c>
      <c r="V3" s="6" t="s">
        <v>114</v>
      </c>
      <c r="W3" s="54" t="s">
        <v>50</v>
      </c>
      <c r="Y3" s="97" t="s">
        <v>49</v>
      </c>
      <c r="Z3" s="98"/>
      <c r="AA3" s="98"/>
      <c r="AB3" s="99"/>
      <c r="AC3" s="7">
        <f>AC4/AA15</f>
        <v>4735.4666666666662</v>
      </c>
      <c r="AD3" s="6" t="s">
        <v>114</v>
      </c>
      <c r="AE3" s="54" t="s">
        <v>129</v>
      </c>
      <c r="AH3" s="97" t="s">
        <v>83</v>
      </c>
      <c r="AI3" s="98"/>
      <c r="AJ3" s="98"/>
      <c r="AK3" s="99"/>
      <c r="AL3" s="7">
        <f>AL4/AJ15</f>
        <v>60</v>
      </c>
      <c r="AM3" s="6" t="s">
        <v>114</v>
      </c>
      <c r="AN3" s="54" t="s">
        <v>50</v>
      </c>
    </row>
    <row r="4" spans="1:40" s="8" customFormat="1" x14ac:dyDescent="0.3">
      <c r="A4" s="100" t="s">
        <v>20</v>
      </c>
      <c r="B4" s="98"/>
      <c r="C4" s="98"/>
      <c r="D4" s="99"/>
      <c r="E4" s="6">
        <f>E14+E20+E25+E30</f>
        <v>106060</v>
      </c>
      <c r="F4" s="6" t="s">
        <v>114</v>
      </c>
      <c r="G4" s="113"/>
      <c r="I4" s="100" t="s">
        <v>20</v>
      </c>
      <c r="J4" s="98"/>
      <c r="K4" s="98"/>
      <c r="L4" s="99"/>
      <c r="M4" s="6">
        <f>M14+M20+M25+M30</f>
        <v>166521.42857142858</v>
      </c>
      <c r="N4" s="6" t="s">
        <v>114</v>
      </c>
      <c r="O4" s="55"/>
      <c r="Q4" s="100" t="s">
        <v>20</v>
      </c>
      <c r="R4" s="98"/>
      <c r="S4" s="98"/>
      <c r="T4" s="99"/>
      <c r="U4" s="6">
        <f>U14+U20+U25+U30</f>
        <v>451000</v>
      </c>
      <c r="V4" s="6" t="s">
        <v>114</v>
      </c>
      <c r="W4" s="55"/>
      <c r="Y4" s="100" t="s">
        <v>69</v>
      </c>
      <c r="Z4" s="98"/>
      <c r="AA4" s="98"/>
      <c r="AB4" s="99"/>
      <c r="AC4" s="6">
        <f>AC13+AC18+AC23</f>
        <v>71032</v>
      </c>
      <c r="AD4" s="6" t="s">
        <v>114</v>
      </c>
      <c r="AE4" s="55"/>
      <c r="AH4" s="100" t="s">
        <v>87</v>
      </c>
      <c r="AI4" s="98"/>
      <c r="AJ4" s="98"/>
      <c r="AK4" s="99"/>
      <c r="AL4" s="6">
        <f>AL13+AL18+AL20</f>
        <v>600</v>
      </c>
      <c r="AM4" s="6" t="s">
        <v>114</v>
      </c>
      <c r="AN4" s="55"/>
    </row>
    <row r="5" spans="1:40" s="8" customFormat="1" x14ac:dyDescent="0.3">
      <c r="A5" s="58" t="s">
        <v>18</v>
      </c>
      <c r="B5" s="58"/>
      <c r="C5" s="58"/>
      <c r="D5" s="58"/>
      <c r="E5" s="6">
        <f>C31*20/1000</f>
        <v>270</v>
      </c>
      <c r="F5" s="6" t="s">
        <v>19</v>
      </c>
      <c r="G5" s="113"/>
      <c r="I5" s="58" t="s">
        <v>18</v>
      </c>
      <c r="J5" s="58"/>
      <c r="K5" s="58"/>
      <c r="L5" s="58"/>
      <c r="M5" s="6">
        <f>K31*20/1000</f>
        <v>405</v>
      </c>
      <c r="N5" s="6" t="s">
        <v>19</v>
      </c>
      <c r="O5" s="56"/>
      <c r="Q5" s="58" t="s">
        <v>18</v>
      </c>
      <c r="R5" s="58"/>
      <c r="S5" s="58"/>
      <c r="T5" s="58"/>
      <c r="U5" s="6">
        <f>S31*20/1000</f>
        <v>1620</v>
      </c>
      <c r="V5" s="6" t="s">
        <v>19</v>
      </c>
      <c r="W5" s="56"/>
      <c r="Y5" s="58" t="s">
        <v>68</v>
      </c>
      <c r="Z5" s="58"/>
      <c r="AA5" s="58"/>
      <c r="AB5" s="58"/>
      <c r="AC5" s="7">
        <f>AC33</f>
        <v>766.5</v>
      </c>
      <c r="AD5" s="6" t="s">
        <v>19</v>
      </c>
      <c r="AE5" s="55"/>
      <c r="AH5" s="58" t="s">
        <v>88</v>
      </c>
      <c r="AI5" s="58"/>
      <c r="AJ5" s="58"/>
      <c r="AK5" s="58"/>
      <c r="AL5" s="7">
        <f>AL23-AL26</f>
        <v>451.6875</v>
      </c>
      <c r="AM5" s="6" t="s">
        <v>19</v>
      </c>
      <c r="AN5" s="55"/>
    </row>
    <row r="6" spans="1:40" x14ac:dyDescent="0.3">
      <c r="A6" s="57" t="s">
        <v>108</v>
      </c>
      <c r="B6" s="58"/>
      <c r="C6" s="58"/>
      <c r="D6" s="58"/>
      <c r="E6" s="59" t="s">
        <v>126</v>
      </c>
      <c r="F6" s="60"/>
      <c r="G6" s="61"/>
      <c r="I6" s="57" t="s">
        <v>104</v>
      </c>
      <c r="J6" s="58"/>
      <c r="K6" s="58"/>
      <c r="L6" s="58"/>
      <c r="M6" s="59" t="s">
        <v>124</v>
      </c>
      <c r="N6" s="60"/>
      <c r="O6" s="61"/>
      <c r="Q6" s="57" t="s">
        <v>104</v>
      </c>
      <c r="R6" s="58"/>
      <c r="S6" s="58"/>
      <c r="T6" s="58"/>
      <c r="U6" s="59" t="s">
        <v>127</v>
      </c>
      <c r="V6" s="60"/>
      <c r="W6" s="61"/>
      <c r="Y6" s="57" t="s">
        <v>70</v>
      </c>
      <c r="Z6" s="58"/>
      <c r="AA6" s="58"/>
      <c r="AB6" s="58"/>
      <c r="AC6" s="7">
        <f>AC5*AA11*1000</f>
        <v>114975</v>
      </c>
      <c r="AD6" s="11" t="s">
        <v>114</v>
      </c>
      <c r="AE6" s="56"/>
      <c r="AH6" s="57" t="s">
        <v>89</v>
      </c>
      <c r="AI6" s="58"/>
      <c r="AJ6" s="58"/>
      <c r="AK6" s="58"/>
      <c r="AL6" s="7">
        <f>AL5*AJ11*1000</f>
        <v>67753.125</v>
      </c>
      <c r="AM6" s="11" t="s">
        <v>114</v>
      </c>
      <c r="AN6" s="56"/>
    </row>
    <row r="7" spans="1:40" ht="14.55" x14ac:dyDescent="0.35">
      <c r="A7" s="9">
        <v>1</v>
      </c>
      <c r="B7" s="9" t="s">
        <v>34</v>
      </c>
      <c r="C7" s="45">
        <v>20</v>
      </c>
      <c r="D7" s="10" t="s">
        <v>48</v>
      </c>
      <c r="E7" s="65"/>
      <c r="F7" s="66"/>
      <c r="G7" s="67"/>
      <c r="I7" s="9">
        <v>1</v>
      </c>
      <c r="J7" s="9" t="s">
        <v>34</v>
      </c>
      <c r="K7" s="45">
        <v>20</v>
      </c>
      <c r="L7" s="10" t="s">
        <v>48</v>
      </c>
      <c r="M7" s="65"/>
      <c r="N7" s="66"/>
      <c r="O7" s="67"/>
      <c r="Q7" s="9">
        <v>1</v>
      </c>
      <c r="R7" s="9" t="s">
        <v>34</v>
      </c>
      <c r="S7" s="45">
        <v>20</v>
      </c>
      <c r="T7" s="10" t="s">
        <v>48</v>
      </c>
      <c r="U7" s="65"/>
      <c r="V7" s="66"/>
      <c r="W7" s="67"/>
      <c r="Y7" s="9">
        <v>1</v>
      </c>
      <c r="Z7" s="9" t="s">
        <v>34</v>
      </c>
      <c r="AA7" s="45">
        <v>15</v>
      </c>
      <c r="AB7" s="10" t="s">
        <v>48</v>
      </c>
      <c r="AC7" s="68" t="s">
        <v>77</v>
      </c>
      <c r="AD7" s="71"/>
      <c r="AE7" s="72"/>
      <c r="AH7" s="9">
        <v>1</v>
      </c>
      <c r="AI7" s="9" t="s">
        <v>34</v>
      </c>
      <c r="AJ7" s="45">
        <v>10</v>
      </c>
      <c r="AK7" s="10" t="s">
        <v>48</v>
      </c>
      <c r="AL7" s="68" t="s">
        <v>77</v>
      </c>
      <c r="AM7" s="71"/>
      <c r="AN7" s="72"/>
    </row>
    <row r="8" spans="1:40" ht="14.55" x14ac:dyDescent="0.35">
      <c r="A8" s="9">
        <v>2</v>
      </c>
      <c r="B8" s="9" t="s">
        <v>25</v>
      </c>
      <c r="C8" s="45">
        <v>5</v>
      </c>
      <c r="D8" s="10" t="s">
        <v>44</v>
      </c>
      <c r="E8" s="68" t="s">
        <v>47</v>
      </c>
      <c r="F8" s="71"/>
      <c r="G8" s="72"/>
      <c r="I8" s="9">
        <v>2</v>
      </c>
      <c r="J8" s="9" t="s">
        <v>25</v>
      </c>
      <c r="K8" s="45">
        <v>5</v>
      </c>
      <c r="L8" s="10" t="s">
        <v>44</v>
      </c>
      <c r="M8" s="68" t="s">
        <v>47</v>
      </c>
      <c r="N8" s="71"/>
      <c r="O8" s="72"/>
      <c r="Q8" s="9">
        <v>2</v>
      </c>
      <c r="R8" s="9" t="s">
        <v>25</v>
      </c>
      <c r="S8" s="45">
        <v>5</v>
      </c>
      <c r="T8" s="10" t="s">
        <v>44</v>
      </c>
      <c r="U8" s="68" t="s">
        <v>47</v>
      </c>
      <c r="V8" s="71"/>
      <c r="W8" s="72"/>
      <c r="Y8" s="9">
        <v>2</v>
      </c>
      <c r="Z8" s="9" t="s">
        <v>25</v>
      </c>
      <c r="AA8" s="45">
        <v>5</v>
      </c>
      <c r="AB8" s="10" t="s">
        <v>44</v>
      </c>
      <c r="AC8" s="68" t="s">
        <v>47</v>
      </c>
      <c r="AD8" s="71"/>
      <c r="AE8" s="72"/>
      <c r="AH8" s="9">
        <v>2</v>
      </c>
      <c r="AI8" s="9" t="s">
        <v>25</v>
      </c>
      <c r="AJ8" s="45">
        <v>5</v>
      </c>
      <c r="AK8" s="10" t="s">
        <v>44</v>
      </c>
      <c r="AL8" s="68" t="s">
        <v>47</v>
      </c>
      <c r="AM8" s="71"/>
      <c r="AN8" s="72"/>
    </row>
    <row r="9" spans="1:40" ht="14.55" x14ac:dyDescent="0.35">
      <c r="A9" s="9">
        <v>3</v>
      </c>
      <c r="B9" s="9" t="s">
        <v>29</v>
      </c>
      <c r="C9" s="45">
        <v>270</v>
      </c>
      <c r="D9" s="10" t="s">
        <v>46</v>
      </c>
      <c r="E9" s="68" t="s">
        <v>28</v>
      </c>
      <c r="F9" s="71"/>
      <c r="G9" s="72"/>
      <c r="I9" s="9">
        <v>3</v>
      </c>
      <c r="J9" s="9" t="s">
        <v>29</v>
      </c>
      <c r="K9" s="45">
        <v>270</v>
      </c>
      <c r="L9" s="10" t="s">
        <v>46</v>
      </c>
      <c r="M9" s="68" t="s">
        <v>28</v>
      </c>
      <c r="N9" s="71"/>
      <c r="O9" s="72"/>
      <c r="Q9" s="9">
        <v>3</v>
      </c>
      <c r="R9" s="9" t="s">
        <v>29</v>
      </c>
      <c r="S9" s="45">
        <v>270</v>
      </c>
      <c r="T9" s="10" t="s">
        <v>46</v>
      </c>
      <c r="U9" s="68" t="s">
        <v>28</v>
      </c>
      <c r="V9" s="71"/>
      <c r="W9" s="72"/>
      <c r="Y9" s="9">
        <v>3</v>
      </c>
      <c r="Z9" s="9" t="s">
        <v>58</v>
      </c>
      <c r="AA9" s="9">
        <f>AC28</f>
        <v>1095</v>
      </c>
      <c r="AB9" s="10" t="s">
        <v>59</v>
      </c>
      <c r="AC9" s="68" t="s">
        <v>92</v>
      </c>
      <c r="AD9" s="71"/>
      <c r="AE9" s="72"/>
      <c r="AH9" s="9">
        <v>3</v>
      </c>
      <c r="AI9" s="9" t="s">
        <v>58</v>
      </c>
      <c r="AJ9" s="46">
        <f>AL23</f>
        <v>547.5</v>
      </c>
      <c r="AK9" s="10" t="s">
        <v>59</v>
      </c>
      <c r="AL9" s="68" t="s">
        <v>90</v>
      </c>
      <c r="AM9" s="71"/>
      <c r="AN9" s="72"/>
    </row>
    <row r="10" spans="1:40" ht="14.55" x14ac:dyDescent="0.35">
      <c r="A10" s="9">
        <v>4</v>
      </c>
      <c r="B10" s="9" t="s">
        <v>30</v>
      </c>
      <c r="C10" s="45">
        <v>10</v>
      </c>
      <c r="D10" s="10" t="s">
        <v>45</v>
      </c>
      <c r="E10" s="68" t="s">
        <v>99</v>
      </c>
      <c r="F10" s="69"/>
      <c r="G10" s="70"/>
      <c r="I10" s="9">
        <v>4</v>
      </c>
      <c r="J10" s="9" t="s">
        <v>71</v>
      </c>
      <c r="K10" s="45">
        <v>15</v>
      </c>
      <c r="L10" s="10" t="s">
        <v>45</v>
      </c>
      <c r="M10" s="68" t="s">
        <v>100</v>
      </c>
      <c r="N10" s="69"/>
      <c r="O10" s="70"/>
      <c r="Q10" s="9">
        <v>4</v>
      </c>
      <c r="R10" s="9" t="s">
        <v>30</v>
      </c>
      <c r="S10" s="45">
        <v>60</v>
      </c>
      <c r="T10" s="10" t="s">
        <v>45</v>
      </c>
      <c r="U10" s="68" t="s">
        <v>102</v>
      </c>
      <c r="V10" s="69"/>
      <c r="W10" s="70"/>
      <c r="Y10" s="9">
        <v>4</v>
      </c>
      <c r="Z10" s="9" t="s">
        <v>26</v>
      </c>
      <c r="AA10" s="45">
        <v>8</v>
      </c>
      <c r="AB10" s="10" t="s">
        <v>115</v>
      </c>
      <c r="AC10" s="88"/>
      <c r="AD10" s="69"/>
      <c r="AE10" s="70"/>
      <c r="AH10" s="9">
        <v>4</v>
      </c>
      <c r="AI10" s="9" t="s">
        <v>26</v>
      </c>
      <c r="AJ10" s="45">
        <v>9</v>
      </c>
      <c r="AK10" s="10" t="s">
        <v>115</v>
      </c>
      <c r="AL10" s="88"/>
      <c r="AM10" s="69"/>
      <c r="AN10" s="70"/>
    </row>
    <row r="11" spans="1:40" ht="14.55" x14ac:dyDescent="0.35">
      <c r="A11" s="9">
        <v>5</v>
      </c>
      <c r="B11" s="9" t="s">
        <v>26</v>
      </c>
      <c r="C11" s="45">
        <v>8</v>
      </c>
      <c r="D11" s="10" t="s">
        <v>115</v>
      </c>
      <c r="E11" s="68"/>
      <c r="F11" s="69"/>
      <c r="G11" s="70"/>
      <c r="I11" s="9">
        <v>5</v>
      </c>
      <c r="J11" s="9" t="s">
        <v>26</v>
      </c>
      <c r="K11" s="45">
        <v>8</v>
      </c>
      <c r="L11" s="10" t="s">
        <v>115</v>
      </c>
      <c r="M11" s="68"/>
      <c r="N11" s="69"/>
      <c r="O11" s="70"/>
      <c r="Q11" s="9">
        <v>5</v>
      </c>
      <c r="R11" s="9" t="s">
        <v>26</v>
      </c>
      <c r="S11" s="45">
        <v>8</v>
      </c>
      <c r="T11" s="10" t="s">
        <v>115</v>
      </c>
      <c r="U11" s="68"/>
      <c r="V11" s="69"/>
      <c r="W11" s="70"/>
      <c r="Y11" s="9">
        <v>5</v>
      </c>
      <c r="Z11" s="9" t="s">
        <v>31</v>
      </c>
      <c r="AA11" s="45">
        <v>0.15</v>
      </c>
      <c r="AB11" s="10" t="s">
        <v>116</v>
      </c>
      <c r="AC11" s="68" t="s">
        <v>32</v>
      </c>
      <c r="AD11" s="69"/>
      <c r="AE11" s="70"/>
      <c r="AH11" s="9">
        <v>5</v>
      </c>
      <c r="AI11" s="9" t="s">
        <v>31</v>
      </c>
      <c r="AJ11" s="45">
        <v>0.15</v>
      </c>
      <c r="AK11" s="10" t="s">
        <v>116</v>
      </c>
      <c r="AL11" s="68" t="s">
        <v>32</v>
      </c>
      <c r="AM11" s="69"/>
      <c r="AN11" s="70"/>
    </row>
    <row r="12" spans="1:40" ht="14.55" x14ac:dyDescent="0.35">
      <c r="A12" s="9">
        <v>6</v>
      </c>
      <c r="B12" s="9" t="s">
        <v>31</v>
      </c>
      <c r="C12" s="45">
        <v>0.15</v>
      </c>
      <c r="D12" s="10" t="s">
        <v>116</v>
      </c>
      <c r="E12" s="68" t="s">
        <v>32</v>
      </c>
      <c r="F12" s="69"/>
      <c r="G12" s="70"/>
      <c r="I12" s="9">
        <v>6</v>
      </c>
      <c r="J12" s="9" t="s">
        <v>31</v>
      </c>
      <c r="K12" s="45">
        <v>0.15</v>
      </c>
      <c r="L12" s="10" t="s">
        <v>116</v>
      </c>
      <c r="M12" s="68" t="s">
        <v>32</v>
      </c>
      <c r="N12" s="69"/>
      <c r="O12" s="70"/>
      <c r="Q12" s="9">
        <v>6</v>
      </c>
      <c r="R12" s="9" t="s">
        <v>31</v>
      </c>
      <c r="S12" s="45">
        <v>0.15</v>
      </c>
      <c r="T12" s="10" t="s">
        <v>116</v>
      </c>
      <c r="U12" s="68" t="s">
        <v>32</v>
      </c>
      <c r="V12" s="69"/>
      <c r="W12" s="70"/>
      <c r="Y12" s="65"/>
      <c r="Z12" s="66"/>
      <c r="AA12" s="66"/>
      <c r="AB12" s="66"/>
      <c r="AC12" s="66"/>
      <c r="AD12" s="66"/>
      <c r="AE12" s="67"/>
      <c r="AF12" s="13"/>
      <c r="AG12" s="13"/>
      <c r="AH12" s="65"/>
      <c r="AI12" s="66"/>
      <c r="AJ12" s="66"/>
      <c r="AK12" s="66"/>
      <c r="AL12" s="66"/>
      <c r="AM12" s="66"/>
      <c r="AN12" s="67"/>
    </row>
    <row r="13" spans="1:40" s="13" customFormat="1" ht="14.55" x14ac:dyDescent="0.35">
      <c r="A13" s="65"/>
      <c r="B13" s="66"/>
      <c r="C13" s="66"/>
      <c r="D13" s="66"/>
      <c r="E13" s="66"/>
      <c r="F13" s="66"/>
      <c r="G13" s="67"/>
      <c r="I13" s="65"/>
      <c r="J13" s="66"/>
      <c r="K13" s="66"/>
      <c r="L13" s="66"/>
      <c r="M13" s="66"/>
      <c r="N13" s="66"/>
      <c r="O13" s="67"/>
      <c r="Q13" s="65"/>
      <c r="R13" s="66"/>
      <c r="S13" s="66"/>
      <c r="T13" s="66"/>
      <c r="U13" s="66"/>
      <c r="V13" s="66"/>
      <c r="W13" s="67"/>
      <c r="Y13" s="12" t="s">
        <v>8</v>
      </c>
      <c r="Z13" s="89" t="s">
        <v>2</v>
      </c>
      <c r="AA13" s="90"/>
      <c r="AB13" s="91"/>
      <c r="AC13" s="12">
        <f>(AA14+AA16)</f>
        <v>28000</v>
      </c>
      <c r="AD13" s="12" t="s">
        <v>114</v>
      </c>
      <c r="AE13" s="12" t="s">
        <v>62</v>
      </c>
      <c r="AF13" s="5"/>
      <c r="AG13" s="5"/>
      <c r="AH13" s="12" t="s">
        <v>8</v>
      </c>
      <c r="AI13" s="89" t="s">
        <v>2</v>
      </c>
      <c r="AJ13" s="90"/>
      <c r="AK13" s="91"/>
      <c r="AL13" s="12">
        <f>(AJ14+AJ16)</f>
        <v>500</v>
      </c>
      <c r="AM13" s="12" t="s">
        <v>114</v>
      </c>
      <c r="AN13" s="12" t="s">
        <v>81</v>
      </c>
    </row>
    <row r="14" spans="1:40" ht="14.55" x14ac:dyDescent="0.35">
      <c r="A14" s="12" t="s">
        <v>8</v>
      </c>
      <c r="B14" s="89" t="s">
        <v>2</v>
      </c>
      <c r="C14" s="90"/>
      <c r="D14" s="91"/>
      <c r="E14" s="12">
        <f>C15*C17+C18*C17</f>
        <v>27000</v>
      </c>
      <c r="F14" s="12" t="s">
        <v>114</v>
      </c>
      <c r="G14" s="12" t="s">
        <v>14</v>
      </c>
      <c r="I14" s="14" t="s">
        <v>8</v>
      </c>
      <c r="J14" s="114" t="s">
        <v>2</v>
      </c>
      <c r="K14" s="115"/>
      <c r="L14" s="116"/>
      <c r="M14" s="15">
        <f>K15*K17+K18*K17</f>
        <v>24285.714285714286</v>
      </c>
      <c r="N14" s="14" t="s">
        <v>114</v>
      </c>
      <c r="O14" s="14" t="s">
        <v>14</v>
      </c>
      <c r="Q14" s="16" t="s">
        <v>8</v>
      </c>
      <c r="R14" s="117" t="s">
        <v>2</v>
      </c>
      <c r="S14" s="69"/>
      <c r="T14" s="70"/>
      <c r="U14" s="16">
        <f>S15*S17+S18*S17</f>
        <v>26000</v>
      </c>
      <c r="V14" s="16" t="s">
        <v>114</v>
      </c>
      <c r="W14" s="16" t="s">
        <v>14</v>
      </c>
      <c r="Y14" s="23"/>
      <c r="Z14" s="17" t="s">
        <v>7</v>
      </c>
      <c r="AA14" s="45">
        <v>27000</v>
      </c>
      <c r="AB14" s="18" t="s">
        <v>114</v>
      </c>
      <c r="AC14" s="76"/>
      <c r="AD14" s="69"/>
      <c r="AE14" s="70"/>
      <c r="AH14" s="23"/>
      <c r="AI14" s="17" t="s">
        <v>7</v>
      </c>
      <c r="AJ14" s="45">
        <v>450</v>
      </c>
      <c r="AK14" s="18" t="s">
        <v>114</v>
      </c>
      <c r="AL14" s="76"/>
      <c r="AM14" s="69"/>
      <c r="AN14" s="70"/>
    </row>
    <row r="15" spans="1:40" x14ac:dyDescent="0.3">
      <c r="A15" s="73"/>
      <c r="B15" s="17" t="s">
        <v>7</v>
      </c>
      <c r="C15" s="45">
        <v>26000</v>
      </c>
      <c r="D15" s="18" t="s">
        <v>114</v>
      </c>
      <c r="E15" s="76"/>
      <c r="F15" s="69"/>
      <c r="G15" s="70"/>
      <c r="I15" s="122"/>
      <c r="J15" s="19" t="s">
        <v>7</v>
      </c>
      <c r="K15" s="45">
        <v>7000</v>
      </c>
      <c r="L15" s="20" t="s">
        <v>114</v>
      </c>
      <c r="M15" s="118"/>
      <c r="N15" s="119"/>
      <c r="O15" s="120"/>
      <c r="Q15" s="132"/>
      <c r="R15" s="21" t="s">
        <v>7</v>
      </c>
      <c r="S15" s="45">
        <v>11000</v>
      </c>
      <c r="T15" s="22" t="s">
        <v>114</v>
      </c>
      <c r="U15" s="92"/>
      <c r="V15" s="69"/>
      <c r="W15" s="70"/>
      <c r="Y15" s="25"/>
      <c r="Z15" s="17" t="s">
        <v>3</v>
      </c>
      <c r="AA15" s="26">
        <f>AA7</f>
        <v>15</v>
      </c>
      <c r="AB15" s="18" t="s">
        <v>4</v>
      </c>
      <c r="AC15" s="76"/>
      <c r="AD15" s="69"/>
      <c r="AE15" s="70"/>
      <c r="AH15" s="25"/>
      <c r="AI15" s="17" t="s">
        <v>3</v>
      </c>
      <c r="AJ15" s="26">
        <f>AJ7</f>
        <v>10</v>
      </c>
      <c r="AK15" s="18" t="s">
        <v>4</v>
      </c>
      <c r="AL15" s="76"/>
      <c r="AM15" s="69"/>
      <c r="AN15" s="70"/>
    </row>
    <row r="16" spans="1:40" x14ac:dyDescent="0.3">
      <c r="A16" s="74"/>
      <c r="B16" s="17" t="s">
        <v>3</v>
      </c>
      <c r="C16" s="45">
        <v>20</v>
      </c>
      <c r="D16" s="18" t="s">
        <v>4</v>
      </c>
      <c r="E16" s="76" t="s">
        <v>125</v>
      </c>
      <c r="F16" s="77"/>
      <c r="G16" s="78"/>
      <c r="I16" s="123"/>
      <c r="J16" s="19" t="s">
        <v>3</v>
      </c>
      <c r="K16" s="45">
        <v>7</v>
      </c>
      <c r="L16" s="20" t="s">
        <v>4</v>
      </c>
      <c r="M16" s="118" t="s">
        <v>38</v>
      </c>
      <c r="N16" s="119"/>
      <c r="O16" s="120"/>
      <c r="Q16" s="133"/>
      <c r="R16" s="21" t="s">
        <v>3</v>
      </c>
      <c r="S16" s="45">
        <v>10</v>
      </c>
      <c r="T16" s="22" t="s">
        <v>4</v>
      </c>
      <c r="U16" s="92" t="s">
        <v>38</v>
      </c>
      <c r="V16" s="93"/>
      <c r="W16" s="94"/>
      <c r="Y16" s="27"/>
      <c r="Z16" s="17" t="s">
        <v>6</v>
      </c>
      <c r="AA16" s="45">
        <v>1000</v>
      </c>
      <c r="AB16" s="18" t="s">
        <v>117</v>
      </c>
      <c r="AC16" s="76" t="s">
        <v>23</v>
      </c>
      <c r="AD16" s="69"/>
      <c r="AE16" s="70"/>
      <c r="AH16" s="27"/>
      <c r="AI16" s="17" t="s">
        <v>6</v>
      </c>
      <c r="AJ16" s="45">
        <v>50</v>
      </c>
      <c r="AK16" s="18" t="s">
        <v>117</v>
      </c>
      <c r="AL16" s="76" t="s">
        <v>86</v>
      </c>
      <c r="AM16" s="69"/>
      <c r="AN16" s="70"/>
    </row>
    <row r="17" spans="1:41" x14ac:dyDescent="0.3">
      <c r="A17" s="74"/>
      <c r="B17" s="17" t="s">
        <v>5</v>
      </c>
      <c r="C17" s="18">
        <f>20/C16</f>
        <v>1</v>
      </c>
      <c r="D17" s="18" t="s">
        <v>44</v>
      </c>
      <c r="E17" s="76" t="s">
        <v>33</v>
      </c>
      <c r="F17" s="77"/>
      <c r="G17" s="78"/>
      <c r="I17" s="123"/>
      <c r="J17" s="19" t="s">
        <v>5</v>
      </c>
      <c r="K17" s="24">
        <f>20/K16</f>
        <v>2.8571428571428572</v>
      </c>
      <c r="L17" s="20" t="s">
        <v>44</v>
      </c>
      <c r="M17" s="118" t="s">
        <v>33</v>
      </c>
      <c r="N17" s="69"/>
      <c r="O17" s="70"/>
      <c r="Q17" s="133"/>
      <c r="R17" s="21" t="s">
        <v>5</v>
      </c>
      <c r="S17" s="22">
        <f>20/S16</f>
        <v>2</v>
      </c>
      <c r="T17" s="22" t="s">
        <v>44</v>
      </c>
      <c r="U17" s="92" t="s">
        <v>33</v>
      </c>
      <c r="V17" s="69"/>
      <c r="W17" s="70"/>
      <c r="Y17" s="79"/>
      <c r="Z17" s="80"/>
      <c r="AA17" s="80"/>
      <c r="AB17" s="80"/>
      <c r="AC17" s="80"/>
      <c r="AD17" s="80"/>
      <c r="AE17" s="81"/>
      <c r="AH17" s="79"/>
      <c r="AI17" s="80"/>
      <c r="AJ17" s="80"/>
      <c r="AK17" s="80"/>
      <c r="AL17" s="80"/>
      <c r="AM17" s="80"/>
      <c r="AN17" s="81"/>
    </row>
    <row r="18" spans="1:41" x14ac:dyDescent="0.3">
      <c r="A18" s="75"/>
      <c r="B18" s="17" t="s">
        <v>6</v>
      </c>
      <c r="C18" s="45">
        <v>1000</v>
      </c>
      <c r="D18" s="18" t="s">
        <v>117</v>
      </c>
      <c r="E18" s="76" t="s">
        <v>23</v>
      </c>
      <c r="F18" s="69"/>
      <c r="G18" s="70"/>
      <c r="I18" s="124"/>
      <c r="J18" s="19" t="s">
        <v>6</v>
      </c>
      <c r="K18" s="45">
        <v>1500</v>
      </c>
      <c r="L18" s="20" t="s">
        <v>117</v>
      </c>
      <c r="M18" s="118" t="s">
        <v>23</v>
      </c>
      <c r="N18" s="69"/>
      <c r="O18" s="70"/>
      <c r="Q18" s="134"/>
      <c r="R18" s="21" t="s">
        <v>6</v>
      </c>
      <c r="S18" s="45">
        <v>2000</v>
      </c>
      <c r="T18" s="22" t="s">
        <v>117</v>
      </c>
      <c r="U18" s="92" t="s">
        <v>23</v>
      </c>
      <c r="V18" s="69"/>
      <c r="W18" s="70"/>
      <c r="Y18" s="28" t="s">
        <v>9</v>
      </c>
      <c r="Z18" s="62" t="s">
        <v>0</v>
      </c>
      <c r="AA18" s="63"/>
      <c r="AB18" s="64"/>
      <c r="AC18" s="28">
        <f>AA21*20</f>
        <v>28032.000000000007</v>
      </c>
      <c r="AD18" s="28" t="s">
        <v>114</v>
      </c>
      <c r="AE18" s="12" t="s">
        <v>62</v>
      </c>
      <c r="AF18" s="29"/>
      <c r="AG18" s="29"/>
      <c r="AH18" s="28" t="s">
        <v>9</v>
      </c>
      <c r="AI18" s="62" t="s">
        <v>0</v>
      </c>
      <c r="AJ18" s="63"/>
      <c r="AK18" s="64"/>
      <c r="AL18" s="28">
        <v>0</v>
      </c>
      <c r="AM18" s="28" t="s">
        <v>114</v>
      </c>
      <c r="AN18" s="12" t="s">
        <v>81</v>
      </c>
    </row>
    <row r="19" spans="1:41" s="29" customFormat="1" x14ac:dyDescent="0.3">
      <c r="A19" s="79"/>
      <c r="B19" s="80"/>
      <c r="C19" s="80"/>
      <c r="D19" s="80"/>
      <c r="E19" s="80"/>
      <c r="F19" s="80"/>
      <c r="G19" s="81"/>
      <c r="I19" s="125"/>
      <c r="J19" s="126"/>
      <c r="K19" s="126"/>
      <c r="L19" s="126"/>
      <c r="M19" s="126"/>
      <c r="N19" s="126"/>
      <c r="O19" s="127"/>
      <c r="Q19" s="129"/>
      <c r="R19" s="130"/>
      <c r="S19" s="130"/>
      <c r="T19" s="130"/>
      <c r="U19" s="130"/>
      <c r="V19" s="130"/>
      <c r="W19" s="131"/>
      <c r="Y19" s="73"/>
      <c r="Z19" s="17" t="s">
        <v>12</v>
      </c>
      <c r="AA19" s="45">
        <f>0.2*3*80%</f>
        <v>0.48000000000000009</v>
      </c>
      <c r="AB19" s="18" t="s">
        <v>63</v>
      </c>
      <c r="AC19" s="105" t="s">
        <v>64</v>
      </c>
      <c r="AD19" s="106"/>
      <c r="AE19" s="107"/>
      <c r="AF19" s="5"/>
      <c r="AG19" s="5"/>
      <c r="AH19" s="79"/>
      <c r="AI19" s="80"/>
      <c r="AJ19" s="80"/>
      <c r="AK19" s="80"/>
      <c r="AL19" s="80"/>
      <c r="AM19" s="80"/>
      <c r="AN19" s="81"/>
    </row>
    <row r="20" spans="1:41" x14ac:dyDescent="0.3">
      <c r="A20" s="28" t="s">
        <v>9</v>
      </c>
      <c r="B20" s="62" t="s">
        <v>0</v>
      </c>
      <c r="C20" s="63"/>
      <c r="D20" s="64"/>
      <c r="E20" s="28">
        <f>C23*20</f>
        <v>34560</v>
      </c>
      <c r="F20" s="28" t="s">
        <v>114</v>
      </c>
      <c r="G20" s="28" t="s">
        <v>14</v>
      </c>
      <c r="I20" s="30" t="s">
        <v>9</v>
      </c>
      <c r="J20" s="121" t="s">
        <v>0</v>
      </c>
      <c r="K20" s="69"/>
      <c r="L20" s="70"/>
      <c r="M20" s="30">
        <f>K23*20</f>
        <v>61199.999999999993</v>
      </c>
      <c r="N20" s="30" t="s">
        <v>114</v>
      </c>
      <c r="O20" s="30" t="s">
        <v>14</v>
      </c>
      <c r="Q20" s="31" t="s">
        <v>9</v>
      </c>
      <c r="R20" s="128" t="s">
        <v>0</v>
      </c>
      <c r="S20" s="69"/>
      <c r="T20" s="70"/>
      <c r="U20" s="31">
        <f>S23*20</f>
        <v>152999.99999999997</v>
      </c>
      <c r="V20" s="31" t="s">
        <v>114</v>
      </c>
      <c r="W20" s="31" t="s">
        <v>14</v>
      </c>
      <c r="Y20" s="74"/>
      <c r="Z20" s="17" t="s">
        <v>12</v>
      </c>
      <c r="AA20" s="32">
        <f>AA19*365</f>
        <v>175.20000000000005</v>
      </c>
      <c r="AB20" s="18" t="s">
        <v>40</v>
      </c>
      <c r="AC20" s="76" t="s">
        <v>39</v>
      </c>
      <c r="AD20" s="69"/>
      <c r="AE20" s="70"/>
      <c r="AH20" s="28" t="s">
        <v>10</v>
      </c>
      <c r="AI20" s="62" t="s">
        <v>1</v>
      </c>
      <c r="AJ20" s="63"/>
      <c r="AK20" s="64"/>
      <c r="AL20" s="28">
        <f>AJ21*2</f>
        <v>100</v>
      </c>
      <c r="AM20" s="28" t="s">
        <v>114</v>
      </c>
      <c r="AN20" s="12" t="s">
        <v>81</v>
      </c>
    </row>
    <row r="21" spans="1:41" x14ac:dyDescent="0.3">
      <c r="A21" s="73"/>
      <c r="B21" s="17" t="s">
        <v>12</v>
      </c>
      <c r="C21" s="45">
        <v>0.16</v>
      </c>
      <c r="D21" s="18" t="s">
        <v>21</v>
      </c>
      <c r="E21" s="105" t="s">
        <v>96</v>
      </c>
      <c r="F21" s="106"/>
      <c r="G21" s="107"/>
      <c r="I21" s="122"/>
      <c r="J21" s="19" t="s">
        <v>12</v>
      </c>
      <c r="K21" s="45">
        <f>2*85%</f>
        <v>1.7</v>
      </c>
      <c r="L21" s="20" t="s">
        <v>13</v>
      </c>
      <c r="M21" s="135" t="s">
        <v>97</v>
      </c>
      <c r="N21" s="136"/>
      <c r="O21" s="137"/>
      <c r="Q21" s="132"/>
      <c r="R21" s="21" t="s">
        <v>12</v>
      </c>
      <c r="S21" s="45">
        <f>5*85%</f>
        <v>4.25</v>
      </c>
      <c r="T21" s="22" t="s">
        <v>13</v>
      </c>
      <c r="U21" s="139" t="s">
        <v>97</v>
      </c>
      <c r="V21" s="140"/>
      <c r="W21" s="141"/>
      <c r="Y21" s="75"/>
      <c r="Z21" s="17" t="s">
        <v>12</v>
      </c>
      <c r="AA21" s="32">
        <f>AA20*AA10</f>
        <v>1401.6000000000004</v>
      </c>
      <c r="AB21" s="18" t="s">
        <v>118</v>
      </c>
      <c r="AC21" s="76" t="s">
        <v>37</v>
      </c>
      <c r="AD21" s="69"/>
      <c r="AE21" s="70"/>
      <c r="AH21" s="23"/>
      <c r="AI21" s="17" t="s">
        <v>11</v>
      </c>
      <c r="AJ21" s="45">
        <v>50</v>
      </c>
      <c r="AK21" s="18" t="s">
        <v>114</v>
      </c>
      <c r="AL21" s="76" t="s">
        <v>80</v>
      </c>
      <c r="AM21" s="77"/>
      <c r="AN21" s="78"/>
    </row>
    <row r="22" spans="1:41" x14ac:dyDescent="0.3">
      <c r="A22" s="74"/>
      <c r="B22" s="17" t="s">
        <v>12</v>
      </c>
      <c r="C22" s="32">
        <f>C21/10*10*C8*C9</f>
        <v>216</v>
      </c>
      <c r="D22" s="18" t="s">
        <v>40</v>
      </c>
      <c r="E22" s="76" t="s">
        <v>39</v>
      </c>
      <c r="F22" s="69"/>
      <c r="G22" s="70"/>
      <c r="I22" s="123"/>
      <c r="J22" s="19" t="s">
        <v>12</v>
      </c>
      <c r="K22" s="33">
        <f>K21/60*K8*10*K9</f>
        <v>382.49999999999994</v>
      </c>
      <c r="L22" s="20" t="s">
        <v>40</v>
      </c>
      <c r="M22" s="135" t="s">
        <v>39</v>
      </c>
      <c r="N22" s="136"/>
      <c r="O22" s="137"/>
      <c r="Q22" s="133"/>
      <c r="R22" s="21" t="s">
        <v>12</v>
      </c>
      <c r="S22" s="34">
        <f>S21/60*S8*10*S9</f>
        <v>956.24999999999989</v>
      </c>
      <c r="T22" s="22" t="s">
        <v>40</v>
      </c>
      <c r="U22" s="139" t="s">
        <v>39</v>
      </c>
      <c r="V22" s="140"/>
      <c r="W22" s="141"/>
      <c r="Y22" s="79"/>
      <c r="Z22" s="80"/>
      <c r="AA22" s="80"/>
      <c r="AB22" s="80"/>
      <c r="AC22" s="80"/>
      <c r="AD22" s="80"/>
      <c r="AE22" s="81"/>
      <c r="AH22" s="79"/>
      <c r="AI22" s="80"/>
      <c r="AJ22" s="80"/>
      <c r="AK22" s="80"/>
      <c r="AL22" s="80"/>
      <c r="AM22" s="80"/>
      <c r="AN22" s="81"/>
    </row>
    <row r="23" spans="1:41" x14ac:dyDescent="0.3">
      <c r="A23" s="75"/>
      <c r="B23" s="17" t="s">
        <v>12</v>
      </c>
      <c r="C23" s="32">
        <f>C22*C11</f>
        <v>1728</v>
      </c>
      <c r="D23" s="18" t="s">
        <v>118</v>
      </c>
      <c r="E23" s="76" t="s">
        <v>37</v>
      </c>
      <c r="F23" s="69"/>
      <c r="G23" s="70"/>
      <c r="I23" s="124"/>
      <c r="J23" s="19" t="s">
        <v>12</v>
      </c>
      <c r="K23" s="20">
        <f>K22*8</f>
        <v>3059.9999999999995</v>
      </c>
      <c r="L23" s="20" t="s">
        <v>118</v>
      </c>
      <c r="M23" s="118" t="s">
        <v>37</v>
      </c>
      <c r="N23" s="69"/>
      <c r="O23" s="70"/>
      <c r="Q23" s="134"/>
      <c r="R23" s="21" t="s">
        <v>12</v>
      </c>
      <c r="S23" s="22">
        <f>S22*8</f>
        <v>7649.9999999999991</v>
      </c>
      <c r="T23" s="22" t="s">
        <v>118</v>
      </c>
      <c r="U23" s="139" t="s">
        <v>37</v>
      </c>
      <c r="V23" s="140"/>
      <c r="W23" s="141"/>
      <c r="Y23" s="28" t="s">
        <v>10</v>
      </c>
      <c r="Z23" s="62" t="s">
        <v>1</v>
      </c>
      <c r="AA23" s="63"/>
      <c r="AB23" s="64"/>
      <c r="AC23" s="28">
        <f>(AA24*12*AA15)+(AA25+AA26)*3</f>
        <v>15000</v>
      </c>
      <c r="AD23" s="28" t="s">
        <v>114</v>
      </c>
      <c r="AE23" s="12" t="s">
        <v>62</v>
      </c>
      <c r="AF23" s="29"/>
      <c r="AG23" s="29"/>
      <c r="AH23" s="36" t="s">
        <v>16</v>
      </c>
      <c r="AI23" s="82" t="s">
        <v>93</v>
      </c>
      <c r="AJ23" s="83"/>
      <c r="AK23" s="84"/>
      <c r="AL23" s="37">
        <f>AJ24*AJ15</f>
        <v>547.5</v>
      </c>
      <c r="AM23" s="36" t="s">
        <v>19</v>
      </c>
      <c r="AN23" s="38" t="s">
        <v>81</v>
      </c>
    </row>
    <row r="24" spans="1:41" s="29" customFormat="1" x14ac:dyDescent="0.3">
      <c r="A24" s="79"/>
      <c r="B24" s="80"/>
      <c r="C24" s="80"/>
      <c r="D24" s="80"/>
      <c r="E24" s="80"/>
      <c r="F24" s="80"/>
      <c r="G24" s="81"/>
      <c r="I24" s="125"/>
      <c r="J24" s="126"/>
      <c r="K24" s="126"/>
      <c r="L24" s="126"/>
      <c r="M24" s="126"/>
      <c r="N24" s="126"/>
      <c r="O24" s="127"/>
      <c r="Q24" s="129"/>
      <c r="R24" s="130"/>
      <c r="S24" s="130"/>
      <c r="T24" s="130"/>
      <c r="U24" s="130"/>
      <c r="V24" s="130"/>
      <c r="W24" s="131"/>
      <c r="Y24" s="73"/>
      <c r="Z24" s="17" t="s">
        <v>11</v>
      </c>
      <c r="AA24" s="45">
        <v>50</v>
      </c>
      <c r="AB24" s="18" t="s">
        <v>119</v>
      </c>
      <c r="AC24" s="18" t="s">
        <v>66</v>
      </c>
      <c r="AD24" s="18">
        <v>2</v>
      </c>
      <c r="AE24" s="18" t="s">
        <v>65</v>
      </c>
      <c r="AF24" s="5"/>
      <c r="AG24" s="5"/>
      <c r="AH24" s="39"/>
      <c r="AI24" s="40" t="s">
        <v>60</v>
      </c>
      <c r="AJ24" s="41">
        <f>(2*15*5*365)/1000</f>
        <v>54.75</v>
      </c>
      <c r="AK24" s="42" t="s">
        <v>19</v>
      </c>
      <c r="AL24" s="85" t="s">
        <v>85</v>
      </c>
      <c r="AM24" s="86"/>
      <c r="AN24" s="87"/>
    </row>
    <row r="25" spans="1:41" x14ac:dyDescent="0.3">
      <c r="A25" s="28" t="s">
        <v>10</v>
      </c>
      <c r="B25" s="62" t="s">
        <v>1</v>
      </c>
      <c r="C25" s="63"/>
      <c r="D25" s="64"/>
      <c r="E25" s="28">
        <f>C28*C17+C27*C17</f>
        <v>4000</v>
      </c>
      <c r="F25" s="28" t="s">
        <v>114</v>
      </c>
      <c r="G25" s="28" t="s">
        <v>14</v>
      </c>
      <c r="I25" s="30" t="s">
        <v>10</v>
      </c>
      <c r="J25" s="121" t="s">
        <v>1</v>
      </c>
      <c r="K25" s="69"/>
      <c r="L25" s="70"/>
      <c r="M25" s="35">
        <f>K26*4+K27*K17+K28*K17</f>
        <v>20285.714285714286</v>
      </c>
      <c r="N25" s="30" t="s">
        <v>114</v>
      </c>
      <c r="O25" s="30" t="s">
        <v>14</v>
      </c>
      <c r="Q25" s="31" t="s">
        <v>10</v>
      </c>
      <c r="R25" s="128" t="s">
        <v>1</v>
      </c>
      <c r="S25" s="69"/>
      <c r="T25" s="70"/>
      <c r="U25" s="31">
        <f>S26*4+S27*S17+S28*3</f>
        <v>29000</v>
      </c>
      <c r="V25" s="31" t="s">
        <v>114</v>
      </c>
      <c r="W25" s="31" t="s">
        <v>14</v>
      </c>
      <c r="Y25" s="74"/>
      <c r="Z25" s="17" t="s">
        <v>15</v>
      </c>
      <c r="AA25" s="45">
        <v>500</v>
      </c>
      <c r="AB25" s="18" t="s">
        <v>120</v>
      </c>
      <c r="AC25" s="18" t="s">
        <v>67</v>
      </c>
      <c r="AD25" s="18">
        <v>3</v>
      </c>
      <c r="AE25" s="18" t="s">
        <v>79</v>
      </c>
      <c r="AH25" s="79"/>
      <c r="AI25" s="80"/>
      <c r="AJ25" s="80"/>
      <c r="AK25" s="80"/>
      <c r="AL25" s="80"/>
      <c r="AM25" s="80"/>
      <c r="AN25" s="81"/>
    </row>
    <row r="26" spans="1:41" x14ac:dyDescent="0.3">
      <c r="A26" s="73"/>
      <c r="B26" s="17" t="s">
        <v>11</v>
      </c>
      <c r="C26" s="45">
        <v>0</v>
      </c>
      <c r="D26" s="18"/>
      <c r="E26" s="138" t="s">
        <v>128</v>
      </c>
      <c r="F26" s="80"/>
      <c r="G26" s="81"/>
      <c r="I26" s="122"/>
      <c r="J26" s="19" t="s">
        <v>11</v>
      </c>
      <c r="K26" s="45">
        <v>1500</v>
      </c>
      <c r="L26" s="20" t="s">
        <v>117</v>
      </c>
      <c r="M26" s="118" t="s">
        <v>41</v>
      </c>
      <c r="N26" s="69"/>
      <c r="O26" s="70"/>
      <c r="Q26" s="132"/>
      <c r="R26" s="21" t="s">
        <v>11</v>
      </c>
      <c r="S26" s="45">
        <v>2500</v>
      </c>
      <c r="T26" s="22" t="s">
        <v>117</v>
      </c>
      <c r="U26" s="92" t="s">
        <v>41</v>
      </c>
      <c r="V26" s="93"/>
      <c r="W26" s="94"/>
      <c r="Y26" s="75"/>
      <c r="Z26" s="17" t="s">
        <v>22</v>
      </c>
      <c r="AA26" s="45">
        <v>1500</v>
      </c>
      <c r="AB26" s="18" t="s">
        <v>120</v>
      </c>
      <c r="AC26" s="18" t="s">
        <v>67</v>
      </c>
      <c r="AD26" s="18">
        <v>3</v>
      </c>
      <c r="AE26" s="18" t="s">
        <v>105</v>
      </c>
      <c r="AH26" s="28" t="s">
        <v>76</v>
      </c>
      <c r="AI26" s="62" t="s">
        <v>82</v>
      </c>
      <c r="AJ26" s="63"/>
      <c r="AK26" s="64"/>
      <c r="AL26" s="43">
        <f>AJ27*AJ15</f>
        <v>95.8125</v>
      </c>
      <c r="AM26" s="28" t="s">
        <v>19</v>
      </c>
      <c r="AN26" s="12" t="s">
        <v>81</v>
      </c>
    </row>
    <row r="27" spans="1:41" x14ac:dyDescent="0.3">
      <c r="A27" s="74"/>
      <c r="B27" s="17" t="s">
        <v>15</v>
      </c>
      <c r="C27" s="45">
        <v>500</v>
      </c>
      <c r="D27" s="18" t="s">
        <v>121</v>
      </c>
      <c r="E27" s="76" t="s">
        <v>24</v>
      </c>
      <c r="F27" s="77"/>
      <c r="G27" s="78"/>
      <c r="I27" s="123"/>
      <c r="J27" s="19" t="s">
        <v>15</v>
      </c>
      <c r="K27" s="45">
        <v>1500</v>
      </c>
      <c r="L27" s="20" t="s">
        <v>117</v>
      </c>
      <c r="M27" s="118" t="s">
        <v>42</v>
      </c>
      <c r="N27" s="69"/>
      <c r="O27" s="70"/>
      <c r="Q27" s="133"/>
      <c r="R27" s="21" t="s">
        <v>15</v>
      </c>
      <c r="S27" s="45">
        <v>2000</v>
      </c>
      <c r="T27" s="22" t="s">
        <v>117</v>
      </c>
      <c r="U27" s="92" t="s">
        <v>42</v>
      </c>
      <c r="V27" s="93"/>
      <c r="W27" s="94"/>
      <c r="Y27" s="79"/>
      <c r="Z27" s="80"/>
      <c r="AA27" s="80"/>
      <c r="AB27" s="80"/>
      <c r="AC27" s="80"/>
      <c r="AD27" s="80"/>
      <c r="AE27" s="81"/>
      <c r="AG27" s="29"/>
      <c r="AH27" s="27"/>
      <c r="AI27" s="17" t="s">
        <v>60</v>
      </c>
      <c r="AJ27" s="32">
        <f>(0.35*15*5*365)/1000</f>
        <v>9.5812500000000007</v>
      </c>
      <c r="AK27" s="18" t="s">
        <v>19</v>
      </c>
      <c r="AL27" s="76" t="s">
        <v>84</v>
      </c>
      <c r="AM27" s="69"/>
      <c r="AN27" s="70"/>
    </row>
    <row r="28" spans="1:41" x14ac:dyDescent="0.3">
      <c r="A28" s="75"/>
      <c r="B28" s="17" t="s">
        <v>22</v>
      </c>
      <c r="C28" s="45">
        <v>3500</v>
      </c>
      <c r="D28" s="18" t="s">
        <v>121</v>
      </c>
      <c r="E28" s="76" t="s">
        <v>24</v>
      </c>
      <c r="F28" s="77"/>
      <c r="G28" s="78"/>
      <c r="I28" s="124"/>
      <c r="J28" s="19" t="s">
        <v>22</v>
      </c>
      <c r="K28" s="45">
        <v>3500</v>
      </c>
      <c r="L28" s="20" t="s">
        <v>122</v>
      </c>
      <c r="M28" s="118" t="s">
        <v>43</v>
      </c>
      <c r="N28" s="69"/>
      <c r="O28" s="70"/>
      <c r="Q28" s="134"/>
      <c r="R28" s="21" t="s">
        <v>22</v>
      </c>
      <c r="S28" s="45">
        <v>5000</v>
      </c>
      <c r="T28" s="22" t="s">
        <v>122</v>
      </c>
      <c r="U28" s="92" t="s">
        <v>43</v>
      </c>
      <c r="V28" s="93"/>
      <c r="W28" s="94"/>
      <c r="Y28" s="28" t="s">
        <v>16</v>
      </c>
      <c r="Z28" s="62" t="s">
        <v>109</v>
      </c>
      <c r="AA28" s="63"/>
      <c r="AB28" s="64"/>
      <c r="AC28" s="28">
        <f>(AA29+AA30+AA31)*AA15</f>
        <v>1095</v>
      </c>
      <c r="AD28" s="28" t="s">
        <v>19</v>
      </c>
      <c r="AE28" s="12" t="s">
        <v>110</v>
      </c>
      <c r="AF28" s="29"/>
      <c r="AH28" s="101" t="s">
        <v>113</v>
      </c>
      <c r="AI28" s="80"/>
      <c r="AJ28" s="80"/>
      <c r="AK28" s="80"/>
      <c r="AL28" s="80"/>
      <c r="AM28" s="80"/>
      <c r="AN28" s="81"/>
      <c r="AO28" s="29"/>
    </row>
    <row r="29" spans="1:41" s="29" customFormat="1" x14ac:dyDescent="0.3">
      <c r="A29" s="79"/>
      <c r="B29" s="80"/>
      <c r="C29" s="80"/>
      <c r="D29" s="80"/>
      <c r="E29" s="80"/>
      <c r="F29" s="80"/>
      <c r="G29" s="81"/>
      <c r="I29" s="125"/>
      <c r="J29" s="126"/>
      <c r="K29" s="126"/>
      <c r="L29" s="126"/>
      <c r="M29" s="126"/>
      <c r="N29" s="126"/>
      <c r="O29" s="127"/>
      <c r="Q29" s="129"/>
      <c r="R29" s="130"/>
      <c r="S29" s="130"/>
      <c r="T29" s="130"/>
      <c r="U29" s="130"/>
      <c r="V29" s="130"/>
      <c r="W29" s="131"/>
      <c r="Y29" s="73"/>
      <c r="Z29" s="17" t="s">
        <v>130</v>
      </c>
      <c r="AA29" s="32">
        <f>(10*2*5*365)/1000</f>
        <v>36.5</v>
      </c>
      <c r="AB29" s="18" t="s">
        <v>19</v>
      </c>
      <c r="AC29" s="76" t="s">
        <v>73</v>
      </c>
      <c r="AD29" s="69"/>
      <c r="AE29" s="70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62" t="s">
        <v>17</v>
      </c>
      <c r="C30" s="63"/>
      <c r="D30" s="64"/>
      <c r="E30" s="28">
        <f>C32*C7</f>
        <v>40500</v>
      </c>
      <c r="F30" s="28" t="s">
        <v>114</v>
      </c>
      <c r="G30" s="28" t="s">
        <v>14</v>
      </c>
      <c r="I30" s="30" t="s">
        <v>16</v>
      </c>
      <c r="J30" s="121" t="s">
        <v>17</v>
      </c>
      <c r="K30" s="69"/>
      <c r="L30" s="70"/>
      <c r="M30" s="30">
        <f>K32*K7</f>
        <v>60750</v>
      </c>
      <c r="N30" s="30" t="s">
        <v>114</v>
      </c>
      <c r="O30" s="30" t="s">
        <v>14</v>
      </c>
      <c r="Q30" s="31" t="s">
        <v>16</v>
      </c>
      <c r="R30" s="128" t="s">
        <v>17</v>
      </c>
      <c r="S30" s="69"/>
      <c r="T30" s="70"/>
      <c r="U30" s="31">
        <f>S32*S7</f>
        <v>243000</v>
      </c>
      <c r="V30" s="31" t="s">
        <v>114</v>
      </c>
      <c r="W30" s="31" t="s">
        <v>14</v>
      </c>
      <c r="Y30" s="75"/>
      <c r="Z30" s="17" t="s">
        <v>60</v>
      </c>
      <c r="AA30" s="32">
        <f>(6*5*365)/1000</f>
        <v>10.95</v>
      </c>
      <c r="AB30" s="18" t="s">
        <v>19</v>
      </c>
      <c r="AC30" s="76" t="s">
        <v>74</v>
      </c>
      <c r="AD30" s="69"/>
      <c r="AE30" s="70"/>
      <c r="AI30" s="29" t="s">
        <v>103</v>
      </c>
    </row>
    <row r="31" spans="1:41" x14ac:dyDescent="0.3">
      <c r="A31" s="73"/>
      <c r="B31" s="17" t="s">
        <v>27</v>
      </c>
      <c r="C31" s="32">
        <f>C10*C8*C9</f>
        <v>13500</v>
      </c>
      <c r="D31" s="18" t="s">
        <v>106</v>
      </c>
      <c r="E31" s="76" t="s">
        <v>39</v>
      </c>
      <c r="F31" s="69"/>
      <c r="G31" s="70"/>
      <c r="I31" s="122"/>
      <c r="J31" s="19" t="s">
        <v>27</v>
      </c>
      <c r="K31" s="33">
        <f>K10*K8*K9</f>
        <v>20250</v>
      </c>
      <c r="L31" s="20" t="s">
        <v>106</v>
      </c>
      <c r="M31" s="118" t="s">
        <v>39</v>
      </c>
      <c r="N31" s="119"/>
      <c r="O31" s="120"/>
      <c r="Q31" s="132"/>
      <c r="R31" s="21" t="s">
        <v>27</v>
      </c>
      <c r="S31" s="34">
        <f>S10*S8*S9</f>
        <v>81000</v>
      </c>
      <c r="T31" s="22" t="s">
        <v>106</v>
      </c>
      <c r="U31" s="92" t="s">
        <v>39</v>
      </c>
      <c r="V31" s="93"/>
      <c r="W31" s="94"/>
      <c r="Y31" s="44"/>
      <c r="Z31" s="17" t="s">
        <v>61</v>
      </c>
      <c r="AA31" s="32">
        <f>70*365/1000</f>
        <v>25.55</v>
      </c>
      <c r="AB31" s="18" t="s">
        <v>19</v>
      </c>
      <c r="AC31" s="76" t="s">
        <v>72</v>
      </c>
      <c r="AD31" s="69"/>
      <c r="AE31" s="70"/>
    </row>
    <row r="32" spans="1:41" x14ac:dyDescent="0.3">
      <c r="A32" s="75"/>
      <c r="B32" s="17" t="s">
        <v>37</v>
      </c>
      <c r="C32" s="18">
        <f>C31*C12</f>
        <v>2025</v>
      </c>
      <c r="D32" s="18" t="s">
        <v>114</v>
      </c>
      <c r="E32" s="76" t="s">
        <v>39</v>
      </c>
      <c r="F32" s="69"/>
      <c r="G32" s="70"/>
      <c r="I32" s="124"/>
      <c r="J32" s="19" t="s">
        <v>37</v>
      </c>
      <c r="K32" s="33">
        <f>K31*K12</f>
        <v>3037.5</v>
      </c>
      <c r="L32" s="20" t="s">
        <v>114</v>
      </c>
      <c r="M32" s="118" t="s">
        <v>39</v>
      </c>
      <c r="N32" s="119"/>
      <c r="O32" s="120"/>
      <c r="Q32" s="134"/>
      <c r="R32" s="21" t="s">
        <v>37</v>
      </c>
      <c r="S32" s="22">
        <f>S31*S12</f>
        <v>12150</v>
      </c>
      <c r="T32" s="22" t="s">
        <v>114</v>
      </c>
      <c r="U32" s="92" t="s">
        <v>39</v>
      </c>
      <c r="V32" s="93"/>
      <c r="W32" s="94"/>
      <c r="Y32" s="79"/>
      <c r="Z32" s="80"/>
      <c r="AA32" s="80"/>
      <c r="AB32" s="80"/>
      <c r="AC32" s="80"/>
      <c r="AD32" s="80"/>
      <c r="AE32" s="81"/>
    </row>
    <row r="33" spans="1:31" ht="14.55" x14ac:dyDescent="0.35">
      <c r="A33" s="101" t="s">
        <v>113</v>
      </c>
      <c r="B33" s="80"/>
      <c r="C33" s="80"/>
      <c r="D33" s="80"/>
      <c r="E33" s="80"/>
      <c r="F33" s="80"/>
      <c r="G33" s="81"/>
      <c r="I33" s="125"/>
      <c r="J33" s="126"/>
      <c r="K33" s="126"/>
      <c r="L33" s="126"/>
      <c r="M33" s="126"/>
      <c r="N33" s="126"/>
      <c r="O33" s="127"/>
      <c r="Q33" s="129"/>
      <c r="R33" s="130"/>
      <c r="S33" s="130"/>
      <c r="T33" s="130"/>
      <c r="U33" s="130"/>
      <c r="V33" s="130"/>
      <c r="W33" s="131"/>
      <c r="Y33" s="28" t="s">
        <v>76</v>
      </c>
      <c r="Z33" s="62" t="s">
        <v>75</v>
      </c>
      <c r="AA33" s="63"/>
      <c r="AB33" s="64"/>
      <c r="AC33" s="43">
        <f>AC28*0.7</f>
        <v>766.5</v>
      </c>
      <c r="AD33" s="28" t="s">
        <v>19</v>
      </c>
      <c r="AE33" s="12" t="s">
        <v>62</v>
      </c>
    </row>
    <row r="34" spans="1:31" ht="14.55" x14ac:dyDescent="0.35">
      <c r="Y34" s="102" t="s">
        <v>78</v>
      </c>
      <c r="Z34" s="103"/>
      <c r="AA34" s="103"/>
      <c r="AB34" s="103"/>
      <c r="AC34" s="103"/>
      <c r="AD34" s="103"/>
      <c r="AE34" s="104"/>
    </row>
    <row r="35" spans="1:31" x14ac:dyDescent="0.3">
      <c r="B35" s="29" t="s">
        <v>103</v>
      </c>
      <c r="J35" s="29" t="s">
        <v>103</v>
      </c>
      <c r="R35" s="29" t="s">
        <v>103</v>
      </c>
      <c r="Y35" s="101" t="s">
        <v>113</v>
      </c>
      <c r="Z35" s="80"/>
      <c r="AA35" s="80"/>
      <c r="AB35" s="80"/>
      <c r="AC35" s="80"/>
      <c r="AD35" s="80"/>
      <c r="AE35" s="81"/>
    </row>
    <row r="37" spans="1:31" x14ac:dyDescent="0.3">
      <c r="B37" s="5" t="s">
        <v>107</v>
      </c>
      <c r="C37" s="53" t="s">
        <v>123</v>
      </c>
      <c r="D37" s="53"/>
      <c r="E37" s="53"/>
      <c r="F37" s="53"/>
      <c r="G37" s="53"/>
      <c r="Z37" s="29" t="s">
        <v>103</v>
      </c>
    </row>
    <row r="38" spans="1:31" x14ac:dyDescent="0.3">
      <c r="B38" s="52" t="s">
        <v>132</v>
      </c>
      <c r="C38" s="52"/>
      <c r="D38" s="52"/>
      <c r="E38" s="52"/>
      <c r="F38" s="52"/>
      <c r="G38" s="52"/>
    </row>
    <row r="39" spans="1:31" x14ac:dyDescent="0.3">
      <c r="C39" s="53"/>
      <c r="D39" s="53"/>
      <c r="E39" s="53"/>
      <c r="F39" s="53"/>
      <c r="G39" s="53"/>
    </row>
    <row r="40" spans="1:31" x14ac:dyDescent="0.3">
      <c r="B40" s="52" t="s">
        <v>131</v>
      </c>
      <c r="C40" s="52"/>
      <c r="D40" s="52"/>
      <c r="E40" s="52"/>
      <c r="F40" s="52"/>
      <c r="G40" s="52"/>
    </row>
    <row r="42" spans="1:31" x14ac:dyDescent="0.3">
      <c r="B42" s="52" t="s">
        <v>133</v>
      </c>
      <c r="C42" s="52"/>
      <c r="D42" s="52"/>
      <c r="E42" s="52"/>
      <c r="F42" s="52"/>
      <c r="G42" s="52"/>
    </row>
  </sheetData>
  <mergeCells count="187">
    <mergeCell ref="B40:G40"/>
    <mergeCell ref="B42:G42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  <mergeCell ref="A29:G29"/>
    <mergeCell ref="A21:A23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M17:O17"/>
    <mergeCell ref="J20:L20"/>
    <mergeCell ref="R20:T20"/>
    <mergeCell ref="I15:I18"/>
    <mergeCell ref="M15:O15"/>
    <mergeCell ref="M23:O23"/>
    <mergeCell ref="I19:O19"/>
    <mergeCell ref="Q19:W19"/>
    <mergeCell ref="Q15:Q18"/>
    <mergeCell ref="M22:O22"/>
    <mergeCell ref="M18:O18"/>
    <mergeCell ref="U18:W18"/>
    <mergeCell ref="U17:W17"/>
    <mergeCell ref="M16:O16"/>
    <mergeCell ref="M7:O7"/>
    <mergeCell ref="M8:O8"/>
    <mergeCell ref="M9:O9"/>
    <mergeCell ref="M10:O10"/>
    <mergeCell ref="M11:O11"/>
    <mergeCell ref="M12:O12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B38:G38"/>
    <mergeCell ref="C37:G37"/>
    <mergeCell ref="C39:G39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2020-05-02T09:57:33Z</dcterms:modified>
</cp:coreProperties>
</file>