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workbookProtection workbookPassword="8B06" lockStructure="1"/>
  <bookViews>
    <workbookView xWindow="-108" yWindow="-108" windowWidth="19416" windowHeight="10536" activeTab="1"/>
  </bookViews>
  <sheets>
    <sheet name="six sigma" sheetId="2" r:id="rId1"/>
    <sheet name="comparison - display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9" i="4" l="1"/>
  <c r="AA20" i="4" s="1"/>
  <c r="S21" i="4" l="1"/>
  <c r="AJ15" i="4" l="1"/>
  <c r="AL20" i="4"/>
  <c r="AJ27" i="4"/>
  <c r="AJ24" i="4"/>
  <c r="AL13" i="4"/>
  <c r="AA30" i="4"/>
  <c r="AA31" i="4"/>
  <c r="AA29" i="4"/>
  <c r="AA15" i="4"/>
  <c r="AC23" i="4" s="1"/>
  <c r="AC13" i="4"/>
  <c r="AL23" i="4" l="1"/>
  <c r="AJ9" i="4" s="1"/>
  <c r="AL26" i="4"/>
  <c r="AL5" i="4" s="1"/>
  <c r="AL6" i="4" s="1"/>
  <c r="AL4" i="4"/>
  <c r="AL3" i="4" s="1"/>
  <c r="AC28" i="4"/>
  <c r="AC33" i="4" l="1"/>
  <c r="AC5" i="4" s="1"/>
  <c r="AC6" i="4" s="1"/>
  <c r="AA9" i="4"/>
  <c r="AA21" i="4" l="1"/>
  <c r="AC18" i="4" s="1"/>
  <c r="AC4" i="4" s="1"/>
  <c r="AC3" i="4" l="1"/>
  <c r="C31" i="4"/>
  <c r="C32" i="4" s="1"/>
  <c r="E30" i="4" s="1"/>
  <c r="C22" i="4"/>
  <c r="C23" i="4" s="1"/>
  <c r="K17" i="4"/>
  <c r="M25" i="4" s="1"/>
  <c r="K21" i="4"/>
  <c r="C17" i="4"/>
  <c r="E25" i="4" s="1"/>
  <c r="S31" i="4" l="1"/>
  <c r="K22" i="4"/>
  <c r="K23" i="4" s="1"/>
  <c r="M20" i="4" s="1"/>
  <c r="K31" i="4"/>
  <c r="M14" i="4"/>
  <c r="E20" i="4"/>
  <c r="E5" i="4"/>
  <c r="S17" i="4"/>
  <c r="U25" i="4" s="1"/>
  <c r="E14" i="4"/>
  <c r="K32" i="4" l="1"/>
  <c r="M30" i="4" s="1"/>
  <c r="M4" i="4" s="1"/>
  <c r="M3" i="4" s="1"/>
  <c r="M5" i="4"/>
  <c r="S32" i="4"/>
  <c r="U30" i="4" s="1"/>
  <c r="U5" i="4"/>
  <c r="S22" i="4"/>
  <c r="S23" i="4" s="1"/>
  <c r="U20" i="4" s="1"/>
  <c r="U14" i="4"/>
  <c r="E4" i="4"/>
  <c r="E3" i="4" s="1"/>
  <c r="U4" i="4" l="1"/>
  <c r="U3" i="4" s="1"/>
</calcChain>
</file>

<file path=xl/sharedStrings.xml><?xml version="1.0" encoding="utf-8"?>
<sst xmlns="http://schemas.openxmlformats.org/spreadsheetml/2006/main" count="432" uniqueCount="134">
  <si>
    <t>Operation</t>
  </si>
  <si>
    <t>Maintenance</t>
  </si>
  <si>
    <t>Equipment</t>
  </si>
  <si>
    <t>Life</t>
  </si>
  <si>
    <t>years</t>
  </si>
  <si>
    <t>No of eqpt</t>
  </si>
  <si>
    <t>Installation</t>
  </si>
  <si>
    <t>Capital</t>
  </si>
  <si>
    <t>A</t>
  </si>
  <si>
    <t>B</t>
  </si>
  <si>
    <t>C</t>
  </si>
  <si>
    <t>Cleaning</t>
  </si>
  <si>
    <t>Power</t>
  </si>
  <si>
    <t>kw/hr</t>
  </si>
  <si>
    <t>In 20 yrs</t>
  </si>
  <si>
    <t>Fittings</t>
  </si>
  <si>
    <t>D</t>
  </si>
  <si>
    <t>Water</t>
  </si>
  <si>
    <t>Water consumption (20 yrs)</t>
  </si>
  <si>
    <t>KL</t>
  </si>
  <si>
    <t>Life cycle cost (20 yrs)</t>
  </si>
  <si>
    <t>kwh/bath</t>
  </si>
  <si>
    <t>Spares</t>
  </si>
  <si>
    <t>Plumber + electrician + fittings</t>
  </si>
  <si>
    <t>11th year parts replacement</t>
  </si>
  <si>
    <t>Family</t>
  </si>
  <si>
    <t>Power cost</t>
  </si>
  <si>
    <t>Usage</t>
  </si>
  <si>
    <t>Gyeser Usage</t>
  </si>
  <si>
    <t>Shower Bath</t>
  </si>
  <si>
    <t>Water cost</t>
  </si>
  <si>
    <t>Municipality + borewell</t>
  </si>
  <si>
    <t>In 20 years life span</t>
  </si>
  <si>
    <t>Life cycle</t>
  </si>
  <si>
    <t>Conventional water Gyeser -2 kw, 3 Ltr</t>
  </si>
  <si>
    <t>Conventional water Gyeser - 5 kw, 10 Ltr</t>
  </si>
  <si>
    <t>Cost</t>
  </si>
  <si>
    <t>Avg life - survey results</t>
  </si>
  <si>
    <t>Annual Consumption</t>
  </si>
  <si>
    <t>units</t>
  </si>
  <si>
    <t>Every 3 yr (descaling + coil + element)</t>
  </si>
  <si>
    <t>Every Gyeser replacement</t>
  </si>
  <si>
    <t>Eevry 7 yr (handle+mixture+shower)</t>
  </si>
  <si>
    <t>No</t>
  </si>
  <si>
    <t>Ltr/No</t>
  </si>
  <si>
    <t>Days</t>
  </si>
  <si>
    <t>Members</t>
  </si>
  <si>
    <t>Yr</t>
  </si>
  <si>
    <t>Total annual cost</t>
  </si>
  <si>
    <t>For a Family of 5 member, with avg data as below:</t>
  </si>
  <si>
    <t>sigma</t>
  </si>
  <si>
    <t>defects per</t>
  </si>
  <si>
    <t>=</t>
  </si>
  <si>
    <t>quality</t>
  </si>
  <si>
    <t>error in</t>
  </si>
  <si>
    <t>reThink water heater on six-sigma rating</t>
  </si>
  <si>
    <t>reThink water heater has not failed single time in 100000 operations............&amp; counting</t>
  </si>
  <si>
    <t>Water used</t>
  </si>
  <si>
    <t>Ltr</t>
  </si>
  <si>
    <t>Wash basin</t>
  </si>
  <si>
    <t>Washing m/c</t>
  </si>
  <si>
    <t>In 15 years</t>
  </si>
  <si>
    <t>kwh/day</t>
  </si>
  <si>
    <t>0.2 Kwh power, @ avg 3 hr/day</t>
  </si>
  <si>
    <t>Fortnightly cleaning</t>
  </si>
  <si>
    <t>per mon</t>
  </si>
  <si>
    <t>In Life</t>
  </si>
  <si>
    <t>Water saved (15 yrs)</t>
  </si>
  <si>
    <t>Life cycle cost (15 yrs)</t>
  </si>
  <si>
    <t>Water cost saved (15 yrs)</t>
  </si>
  <si>
    <t>Bath</t>
  </si>
  <si>
    <t>Cons @ 70 L x 365</t>
  </si>
  <si>
    <t>Cons @ 10 L x 2 time/day x 5 person x 365</t>
  </si>
  <si>
    <t>Cons @ 6 L/day x 5 person x 365</t>
  </si>
  <si>
    <t>Recycled water - for flush</t>
  </si>
  <si>
    <t>E</t>
  </si>
  <si>
    <t>Expected life,</t>
  </si>
  <si>
    <t>@ 70% collection, storage, possiblity, etc. with 1 set of GREY WATER SYSTEM</t>
  </si>
  <si>
    <t>PU tube, connector, grill, etc.</t>
  </si>
  <si>
    <t>Plumber cost - Once in 5 yr (extreme)</t>
  </si>
  <si>
    <t>In 10 years</t>
  </si>
  <si>
    <t>Water consumption - reThink tap</t>
  </si>
  <si>
    <t>Total annual cost (additional)</t>
  </si>
  <si>
    <t>Cons @ 0.25-0.35 L/Min x 15 min/day x 365</t>
  </si>
  <si>
    <t>Cons @ 2-3 L/Min x 15 min/day x 5 x 365</t>
  </si>
  <si>
    <t>Plumber (tap cleaning + tip fixing)</t>
  </si>
  <si>
    <t>Life cycle cost additional (10 yrs)</t>
  </si>
  <si>
    <t>Water saved (10 yrs)</t>
  </si>
  <si>
    <t>Water cost saved (10 yrs)</t>
  </si>
  <si>
    <t xml:space="preserve"> hand wash </t>
  </si>
  <si>
    <t>Only water saving volume &amp;  cost considered</t>
  </si>
  <si>
    <t>Bath + hand wash + washing m/c + RO rejects</t>
  </si>
  <si>
    <t>Water Usage - normal tap</t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</si>
  <si>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Grey Water Reuse System</t>
    </r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</si>
  <si>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Universal Tap Connector</t>
    </r>
  </si>
  <si>
    <t>Avg cons of 1000 trial - 98% efficiency</t>
  </si>
  <si>
    <t>@ 85% efficiency</t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</si>
  <si>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Instant water heater - 5.5 kw</t>
    </r>
  </si>
  <si>
    <t>Avg 5 ~ 8 min/bath</t>
  </si>
  <si>
    <t>Avg 5 min/bath</t>
  </si>
  <si>
    <t>Shower with 8 ~ 12 LPM flow</t>
  </si>
  <si>
    <t>Avg 5 ~ 8  min/bath</t>
  </si>
  <si>
    <t>Please enter data in black colored shells</t>
  </si>
  <si>
    <t>UV bulb, sensor, pump, etc.</t>
  </si>
  <si>
    <t>Ltrs</t>
  </si>
  <si>
    <t>Dt: 30.4.2020.</t>
  </si>
  <si>
    <t>Rethink water Heater</t>
  </si>
  <si>
    <t xml:space="preserve">In 15 years water consumption </t>
  </si>
  <si>
    <t xml:space="preserve">Shower with 2.2 LPM flow </t>
  </si>
  <si>
    <t>Manual Bath using Bucket &amp; Mug</t>
  </si>
  <si>
    <t>AED</t>
  </si>
  <si>
    <t>AED/unit</t>
  </si>
  <si>
    <t>AED/ltr</t>
  </si>
  <si>
    <t>AED/no</t>
  </si>
  <si>
    <t>AED/yr</t>
  </si>
  <si>
    <t>AED/month</t>
  </si>
  <si>
    <t>AED/5 yr</t>
  </si>
  <si>
    <t>AED/10 yr</t>
  </si>
  <si>
    <t>AED/7 yr</t>
  </si>
  <si>
    <t>Considered Avrage costs at Abudhabi UAE</t>
  </si>
  <si>
    <t xml:space="preserve">Cost Exclusions:  Power  for pumping &amp; Sewage treatment. </t>
  </si>
  <si>
    <r>
      <t xml:space="preserve">For a Family of 5 member, avg data of RETHINK Water heater, For others ADD water cost between </t>
    </r>
    <r>
      <rPr>
        <b/>
        <sz val="11"/>
        <color rgb="FF7030A0"/>
        <rFont val="Calibri"/>
        <family val="2"/>
        <scheme val="minor"/>
      </rPr>
      <t>AED 1,080/-  to 10,800/-</t>
    </r>
  </si>
  <si>
    <t>Rethink 1st  Reduces water usage, Then 2nd  Reuses the grey water</t>
  </si>
  <si>
    <t xml:space="preserve">To calculate  combine savings by all products. </t>
  </si>
  <si>
    <t xml:space="preserve">The pay back is only few months across the planet. </t>
  </si>
  <si>
    <t>Water cost SAVED  (20 yrs) AED</t>
  </si>
  <si>
    <t>6,716/-  For a Family of 5 member, with avg data as below:</t>
  </si>
  <si>
    <t>95,789/- For a Family of 5 member, with avg data as below:</t>
  </si>
  <si>
    <t>Water cost additional (20 yrs) AED</t>
  </si>
  <si>
    <t>89,073/- against re-Think heater</t>
  </si>
  <si>
    <t>1 Year</t>
  </si>
  <si>
    <t>2,43,236/- For a Family of 5 member, with avg data as below:</t>
  </si>
  <si>
    <t>2,36,520/- against re-Think heater</t>
  </si>
  <si>
    <t>89,073/-  to  2,36,520/-  as per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</si>
</sst>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%"/>
    <numFmt numFmtId="166" formatCode="0.0000000%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20"/>
      <color theme="1"/>
      <name val="Rockwell Extra Bold"/>
      <family val="1"/>
    </font>
    <font>
      <b/>
      <i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1" xfId="0" applyBorder="1"/>
    <xf numFmtId="165" fontId="0" fillId="0" borderId="1" xfId="0" applyNumberFormat="1" applyBorder="1"/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1" fontId="3" fillId="6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5" fillId="6" borderId="1" xfId="0" applyFont="1" applyFill="1" applyBorder="1" applyAlignment="1" applyProtection="1">
      <alignment vertical="center"/>
      <protection hidden="1"/>
    </xf>
    <xf numFmtId="2" fontId="3" fillId="6" borderId="1" xfId="0" applyNumberFormat="1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vertical="center"/>
      <protection hidden="1"/>
    </xf>
    <xf numFmtId="1" fontId="6" fillId="3" borderId="1" xfId="0" applyNumberFormat="1" applyFont="1" applyFill="1" applyBorder="1" applyAlignment="1" applyProtection="1">
      <alignment vertical="center"/>
      <protection hidden="1"/>
    </xf>
    <xf numFmtId="0" fontId="6" fillId="4" borderId="1" xfId="0" applyFont="1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right"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3" borderId="1" xfId="0" applyFill="1" applyBorder="1" applyAlignment="1" applyProtection="1">
      <alignment horizontal="right"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4" borderId="1" xfId="0" applyFill="1" applyBorder="1" applyAlignment="1" applyProtection="1">
      <alignment horizontal="right" vertical="center"/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164" fontId="0" fillId="3" borderId="1" xfId="0" applyNumberFormat="1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2" fillId="4" borderId="1" xfId="0" applyFont="1" applyFill="1" applyBorder="1" applyAlignment="1" applyProtection="1">
      <alignment vertical="center"/>
      <protection hidden="1"/>
    </xf>
    <xf numFmtId="1" fontId="0" fillId="2" borderId="1" xfId="0" applyNumberFormat="1" applyFill="1" applyBorder="1" applyAlignment="1" applyProtection="1">
      <alignment vertical="center"/>
      <protection hidden="1"/>
    </xf>
    <xf numFmtId="1" fontId="0" fillId="3" borderId="1" xfId="0" applyNumberFormat="1" applyFill="1" applyBorder="1" applyAlignment="1" applyProtection="1">
      <alignment vertical="center"/>
      <protection hidden="1"/>
    </xf>
    <xf numFmtId="1" fontId="0" fillId="4" borderId="1" xfId="0" applyNumberFormat="1" applyFill="1" applyBorder="1" applyAlignment="1" applyProtection="1">
      <alignment vertical="center"/>
      <protection hidden="1"/>
    </xf>
    <xf numFmtId="1" fontId="2" fillId="3" borderId="1" xfId="0" applyNumberFormat="1" applyFont="1" applyFill="1" applyBorder="1" applyAlignment="1" applyProtection="1">
      <alignment vertical="center"/>
      <protection hidden="1"/>
    </xf>
    <xf numFmtId="0" fontId="2" fillId="7" borderId="1" xfId="0" applyFont="1" applyFill="1" applyBorder="1" applyAlignment="1" applyProtection="1">
      <alignment vertical="center"/>
      <protection hidden="1"/>
    </xf>
    <xf numFmtId="1" fontId="2" fillId="7" borderId="1" xfId="0" applyNumberFormat="1" applyFont="1" applyFill="1" applyBorder="1" applyAlignment="1" applyProtection="1">
      <alignment vertical="center"/>
      <protection hidden="1"/>
    </xf>
    <xf numFmtId="0" fontId="6" fillId="7" borderId="1" xfId="0" applyFont="1" applyFill="1" applyBorder="1" applyAlignment="1" applyProtection="1">
      <alignment vertical="center"/>
      <protection hidden="1"/>
    </xf>
    <xf numFmtId="0" fontId="0" fillId="7" borderId="6" xfId="0" applyFill="1" applyBorder="1" applyAlignment="1" applyProtection="1">
      <alignment vertical="center"/>
      <protection hidden="1"/>
    </xf>
    <xf numFmtId="0" fontId="0" fillId="7" borderId="1" xfId="0" applyFill="1" applyBorder="1" applyAlignment="1" applyProtection="1">
      <alignment horizontal="right" vertical="center"/>
      <protection hidden="1"/>
    </xf>
    <xf numFmtId="1" fontId="0" fillId="7" borderId="1" xfId="0" applyNumberFormat="1" applyFill="1" applyBorder="1" applyAlignment="1" applyProtection="1">
      <alignment vertical="center"/>
      <protection hidden="1"/>
    </xf>
    <xf numFmtId="0" fontId="0" fillId="7" borderId="1" xfId="0" applyFill="1" applyBorder="1" applyAlignment="1" applyProtection="1">
      <alignment vertical="center"/>
      <protection hidden="1"/>
    </xf>
    <xf numFmtId="1" fontId="2" fillId="2" borderId="1" xfId="0" applyNumberFormat="1" applyFont="1" applyFill="1" applyBorder="1" applyAlignment="1" applyProtection="1">
      <alignment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vertical="center"/>
      <protection locked="0"/>
    </xf>
    <xf numFmtId="1" fontId="6" fillId="6" borderId="1" xfId="0" applyNumberFormat="1" applyFont="1" applyFill="1" applyBorder="1" applyAlignment="1" applyProtection="1">
      <alignment vertical="center"/>
      <protection hidden="1"/>
    </xf>
    <xf numFmtId="0" fontId="9" fillId="0" borderId="1" xfId="0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0" xfId="0" applyFont="1" applyAlignment="1">
      <alignment horizontal="center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left" vertical="center"/>
      <protection hidden="1"/>
    </xf>
    <xf numFmtId="0" fontId="0" fillId="4" borderId="8" xfId="0" applyFill="1" applyBorder="1" applyAlignment="1" applyProtection="1">
      <alignment horizontal="left" vertical="center"/>
      <protection hidden="1"/>
    </xf>
    <xf numFmtId="0" fontId="0" fillId="4" borderId="9" xfId="0" applyFill="1" applyBorder="1" applyAlignment="1" applyProtection="1">
      <alignment horizontal="left" vertical="center"/>
      <protection hidden="1"/>
    </xf>
    <xf numFmtId="0" fontId="0" fillId="4" borderId="7" xfId="0" quotePrefix="1" applyFill="1" applyBorder="1" applyAlignment="1" applyProtection="1">
      <alignment horizontal="left" vertical="center"/>
      <protection hidden="1"/>
    </xf>
    <xf numFmtId="0" fontId="0" fillId="4" borderId="8" xfId="0" quotePrefix="1" applyFill="1" applyBorder="1" applyAlignment="1" applyProtection="1">
      <alignment horizontal="left" vertical="center"/>
      <protection hidden="1"/>
    </xf>
    <xf numFmtId="0" fontId="0" fillId="4" borderId="9" xfId="0" quotePrefix="1" applyFill="1" applyBorder="1" applyAlignment="1" applyProtection="1">
      <alignment horizontal="left" vertical="center"/>
      <protection hidden="1"/>
    </xf>
    <xf numFmtId="0" fontId="0" fillId="4" borderId="5" xfId="0" applyFill="1" applyBorder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left" vertical="center"/>
      <protection hidden="1"/>
    </xf>
    <xf numFmtId="0" fontId="0" fillId="3" borderId="8" xfId="0" applyFill="1" applyBorder="1" applyAlignment="1" applyProtection="1">
      <alignment horizontal="left" vertical="center"/>
      <protection hidden="1"/>
    </xf>
    <xf numFmtId="0" fontId="0" fillId="3" borderId="9" xfId="0" applyFill="1" applyBorder="1" applyAlignment="1" applyProtection="1">
      <alignment horizontal="left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7" xfId="0" quotePrefix="1" applyFill="1" applyBorder="1" applyAlignment="1" applyProtection="1">
      <alignment horizontal="left" vertical="center"/>
      <protection hidden="1"/>
    </xf>
    <xf numFmtId="0" fontId="0" fillId="2" borderId="8" xfId="0" quotePrefix="1" applyFill="1" applyBorder="1" applyAlignment="1" applyProtection="1">
      <alignment horizontal="left" vertical="center"/>
      <protection hidden="1"/>
    </xf>
    <xf numFmtId="0" fontId="0" fillId="2" borderId="9" xfId="0" quotePrefix="1" applyFill="1" applyBorder="1" applyAlignment="1" applyProtection="1">
      <alignment horizontal="left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left" vertical="center"/>
      <protection hidden="1"/>
    </xf>
    <xf numFmtId="0" fontId="0" fillId="2" borderId="8" xfId="0" applyFill="1" applyBorder="1" applyAlignment="1" applyProtection="1">
      <alignment horizontal="left" vertical="center"/>
      <protection hidden="1"/>
    </xf>
    <xf numFmtId="0" fontId="0" fillId="2" borderId="9" xfId="0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3" borderId="7" xfId="0" applyFont="1" applyFill="1" applyBorder="1" applyAlignment="1" applyProtection="1">
      <alignment horizontal="left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3" borderId="7" xfId="0" quotePrefix="1" applyFill="1" applyBorder="1" applyAlignment="1" applyProtection="1">
      <alignment horizontal="left" vertical="center"/>
      <protection hidden="1"/>
    </xf>
    <xf numFmtId="0" fontId="0" fillId="3" borderId="8" xfId="0" quotePrefix="1" applyFill="1" applyBorder="1" applyAlignment="1" applyProtection="1">
      <alignment horizontal="left" vertical="center"/>
      <protection hidden="1"/>
    </xf>
    <xf numFmtId="0" fontId="0" fillId="3" borderId="9" xfId="0" quotePrefix="1" applyFill="1" applyBorder="1" applyAlignment="1" applyProtection="1">
      <alignment horizontal="left" vertical="center"/>
      <protection hidden="1"/>
    </xf>
    <xf numFmtId="0" fontId="5" fillId="6" borderId="7" xfId="0" applyFont="1" applyFill="1" applyBorder="1" applyAlignment="1" applyProtection="1">
      <alignment horizontal="center" vertical="center"/>
      <protection hidden="1"/>
    </xf>
    <xf numFmtId="0" fontId="5" fillId="6" borderId="8" xfId="0" applyFont="1" applyFill="1" applyBorder="1" applyAlignment="1" applyProtection="1">
      <alignment horizontal="center" vertical="center"/>
      <protection hidden="1"/>
    </xf>
    <xf numFmtId="0" fontId="5" fillId="6" borderId="9" xfId="0" applyFont="1" applyFill="1" applyBorder="1" applyAlignment="1" applyProtection="1">
      <alignment horizontal="center" vertical="center"/>
      <protection hidden="1"/>
    </xf>
    <xf numFmtId="0" fontId="5" fillId="6" borderId="7" xfId="0" applyFont="1" applyFill="1" applyBorder="1" applyAlignment="1" applyProtection="1">
      <alignment horizontal="left" vertical="center"/>
      <protection hidden="1"/>
    </xf>
    <xf numFmtId="0" fontId="5" fillId="6" borderId="8" xfId="0" applyFont="1" applyFill="1" applyBorder="1" applyAlignment="1" applyProtection="1">
      <alignment horizontal="left" vertical="center"/>
      <protection hidden="1"/>
    </xf>
    <xf numFmtId="0" fontId="5" fillId="6" borderId="9" xfId="0" applyFont="1" applyFill="1" applyBorder="1" applyAlignment="1" applyProtection="1">
      <alignment horizontal="left" vertical="center"/>
      <protection hidden="1"/>
    </xf>
    <xf numFmtId="0" fontId="6" fillId="2" borderId="7" xfId="0" applyFont="1" applyFill="1" applyBorder="1" applyAlignment="1" applyProtection="1">
      <alignment horizontal="left" vertical="center"/>
      <protection hidden="1"/>
    </xf>
    <xf numFmtId="0" fontId="6" fillId="2" borderId="8" xfId="0" applyFont="1" applyFill="1" applyBorder="1" applyAlignment="1" applyProtection="1">
      <alignment horizontal="left" vertical="center"/>
      <protection hidden="1"/>
    </xf>
    <xf numFmtId="0" fontId="6" fillId="2" borderId="9" xfId="0" applyFont="1" applyFill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6" fillId="3" borderId="8" xfId="0" applyFont="1" applyFill="1" applyBorder="1" applyAlignment="1" applyProtection="1">
      <alignment horizontal="left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6" fillId="4" borderId="7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6" fillId="6" borderId="7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left" vertical="center"/>
      <protection hidden="1"/>
    </xf>
    <xf numFmtId="0" fontId="3" fillId="6" borderId="3" xfId="0" applyFont="1" applyFill="1" applyBorder="1" applyAlignment="1" applyProtection="1">
      <alignment horizontal="left" vertical="center"/>
      <protection hidden="1"/>
    </xf>
    <xf numFmtId="0" fontId="3" fillId="6" borderId="4" xfId="0" applyFont="1" applyFill="1" applyBorder="1" applyAlignment="1" applyProtection="1">
      <alignment horizontal="left" vertical="center"/>
      <protection hidden="1"/>
    </xf>
    <xf numFmtId="0" fontId="6" fillId="6" borderId="8" xfId="0" applyFont="1" applyFill="1" applyBorder="1" applyAlignment="1" applyProtection="1">
      <alignment horizontal="center" vertical="center"/>
      <protection hidden="1"/>
    </xf>
    <xf numFmtId="0" fontId="6" fillId="6" borderId="9" xfId="0" applyFont="1" applyFill="1" applyBorder="1" applyAlignment="1" applyProtection="1">
      <alignment horizontal="center" vertical="center"/>
      <protection hidden="1"/>
    </xf>
    <xf numFmtId="0" fontId="14" fillId="6" borderId="2" xfId="0" applyFont="1" applyFill="1" applyBorder="1" applyAlignment="1" applyProtection="1">
      <alignment horizontal="left" vertical="center"/>
      <protection hidden="1"/>
    </xf>
    <xf numFmtId="0" fontId="3" fillId="6" borderId="1" xfId="0" applyFont="1" applyFill="1" applyBorder="1" applyAlignment="1" applyProtection="1">
      <alignment horizontal="left" vertical="center" wrapText="1"/>
      <protection hidden="1"/>
    </xf>
    <xf numFmtId="0" fontId="3" fillId="6" borderId="5" xfId="0" applyFont="1" applyFill="1" applyBorder="1" applyAlignment="1" applyProtection="1">
      <alignment horizontal="left" vertical="center" wrapText="1"/>
      <protection hidden="1"/>
    </xf>
    <xf numFmtId="0" fontId="3" fillId="6" borderId="10" xfId="0" applyFont="1" applyFill="1" applyBorder="1" applyAlignment="1" applyProtection="1">
      <alignment horizontal="left" vertical="center" wrapText="1"/>
      <protection hidden="1"/>
    </xf>
    <xf numFmtId="0" fontId="3" fillId="6" borderId="6" xfId="0" applyFont="1" applyFill="1" applyBorder="1" applyAlignment="1" applyProtection="1">
      <alignment horizontal="left" vertical="center" wrapText="1"/>
      <protection hidden="1"/>
    </xf>
    <xf numFmtId="0" fontId="14" fillId="6" borderId="1" xfId="0" applyFont="1" applyFill="1" applyBorder="1" applyAlignment="1" applyProtection="1">
      <alignment horizontal="left" vertical="center"/>
      <protection hidden="1"/>
    </xf>
    <xf numFmtId="0" fontId="3" fillId="6" borderId="1" xfId="0" applyFont="1" applyFill="1" applyBorder="1" applyAlignment="1" applyProtection="1">
      <alignment horizontal="left" vertical="center"/>
      <protection hidden="1"/>
    </xf>
    <xf numFmtId="0" fontId="11" fillId="6" borderId="7" xfId="0" applyFont="1" applyFill="1" applyBorder="1" applyAlignment="1" applyProtection="1">
      <alignment horizontal="left" vertical="center"/>
      <protection hidden="1"/>
    </xf>
    <xf numFmtId="0" fontId="11" fillId="6" borderId="7" xfId="0" applyFont="1" applyFill="1" applyBorder="1" applyAlignment="1" applyProtection="1">
      <alignment horizontal="center" vertical="center"/>
      <protection hidden="1"/>
    </xf>
    <xf numFmtId="0" fontId="2" fillId="2" borderId="7" xfId="0" quotePrefix="1" applyFont="1" applyFill="1" applyBorder="1" applyAlignment="1" applyProtection="1">
      <alignment horizontal="left" vertical="center"/>
      <protection hidden="1"/>
    </xf>
    <xf numFmtId="0" fontId="2" fillId="2" borderId="8" xfId="0" quotePrefix="1" applyFont="1" applyFill="1" applyBorder="1" applyAlignment="1" applyProtection="1">
      <alignment horizontal="left" vertical="center"/>
      <protection hidden="1"/>
    </xf>
    <xf numFmtId="0" fontId="2" fillId="2" borderId="9" xfId="0" quotePrefix="1" applyFont="1" applyFill="1" applyBorder="1" applyAlignment="1" applyProtection="1">
      <alignment horizontal="left" vertical="center"/>
      <protection hidden="1"/>
    </xf>
    <xf numFmtId="0" fontId="2" fillId="7" borderId="7" xfId="0" applyFont="1" applyFill="1" applyBorder="1" applyAlignment="1" applyProtection="1">
      <alignment horizontal="left" vertical="center"/>
      <protection hidden="1"/>
    </xf>
    <xf numFmtId="0" fontId="2" fillId="7" borderId="8" xfId="0" applyFont="1" applyFill="1" applyBorder="1" applyAlignment="1" applyProtection="1">
      <alignment horizontal="left" vertical="center"/>
      <protection hidden="1"/>
    </xf>
    <xf numFmtId="0" fontId="2" fillId="7" borderId="9" xfId="0" applyFont="1" applyFill="1" applyBorder="1" applyAlignment="1" applyProtection="1">
      <alignment horizontal="left" vertical="center"/>
      <protection hidden="1"/>
    </xf>
    <xf numFmtId="0" fontId="0" fillId="7" borderId="7" xfId="0" applyFill="1" applyBorder="1" applyAlignment="1" applyProtection="1">
      <alignment horizontal="left" vertical="center"/>
      <protection hidden="1"/>
    </xf>
    <xf numFmtId="0" fontId="0" fillId="7" borderId="8" xfId="0" applyFill="1" applyBorder="1" applyAlignment="1" applyProtection="1">
      <alignment horizontal="left" vertical="center"/>
      <protection hidden="1"/>
    </xf>
    <xf numFmtId="0" fontId="0" fillId="7" borderId="9" xfId="0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6" borderId="11" xfId="0" applyFont="1" applyFill="1" applyBorder="1" applyAlignment="1" applyProtection="1">
      <alignment horizontal="left" vertical="center"/>
      <protection hidden="1"/>
    </xf>
    <xf numFmtId="0" fontId="13" fillId="6" borderId="13" xfId="0" applyFont="1" applyFill="1" applyBorder="1" applyAlignment="1" applyProtection="1">
      <alignment horizontal="left" vertical="center"/>
      <protection hidden="1"/>
    </xf>
    <xf numFmtId="0" fontId="13" fillId="6" borderId="12" xfId="0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1</xdr:row>
      <xdr:rowOff>63500</xdr:rowOff>
    </xdr:from>
    <xdr:to>
      <xdr:col>5</xdr:col>
      <xdr:colOff>152400</xdr:colOff>
      <xdr:row>10</xdr:row>
      <xdr:rowOff>102085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18634EEB-AD6D-4BCA-91BB-65B5934F9C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511" t="23705" r="19010" b="16141"/>
        <a:stretch/>
      </xdr:blipFill>
      <xdr:spPr>
        <a:xfrm>
          <a:off x="704849" y="247650"/>
          <a:ext cx="2495551" cy="1778485"/>
        </a:xfrm>
        <a:prstGeom prst="rect">
          <a:avLst/>
        </a:prstGeom>
        <a:ln w="127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1</xdr:col>
      <xdr:colOff>101600</xdr:colOff>
      <xdr:row>11</xdr:row>
      <xdr:rowOff>58106</xdr:rowOff>
    </xdr:from>
    <xdr:to>
      <xdr:col>5</xdr:col>
      <xdr:colOff>152400</xdr:colOff>
      <xdr:row>21</xdr:row>
      <xdr:rowOff>73341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B4ECD96C-E104-41C4-ACA1-1C3A0EFE90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102" t="22946" r="18518" b="12898"/>
        <a:stretch/>
      </xdr:blipFill>
      <xdr:spPr>
        <a:xfrm>
          <a:off x="711200" y="2166306"/>
          <a:ext cx="2489200" cy="1856735"/>
        </a:xfrm>
        <a:prstGeom prst="rect">
          <a:avLst/>
        </a:prstGeom>
        <a:ln w="127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T11"/>
  <sheetViews>
    <sheetView workbookViewId="0">
      <selection activeCell="S5" sqref="S5"/>
    </sheetView>
  </sheetViews>
  <sheetFormatPr defaultRowHeight="14.4" x14ac:dyDescent="0.3"/>
  <cols>
    <col min="8" max="8" width="1.77734375" bestFit="1" customWidth="1"/>
    <col min="9" max="9" width="5.6640625" bestFit="1" customWidth="1"/>
    <col min="10" max="10" width="1.77734375" bestFit="1" customWidth="1"/>
    <col min="11" max="11" width="6.77734375" bestFit="1" customWidth="1"/>
    <col min="12" max="12" width="10.109375" bestFit="1" customWidth="1"/>
    <col min="13" max="13" width="7.77734375" bestFit="1" customWidth="1"/>
    <col min="14" max="14" width="1.77734375" bestFit="1" customWidth="1"/>
    <col min="15" max="15" width="9.77734375" bestFit="1" customWidth="1"/>
    <col min="16" max="16" width="6.44140625" bestFit="1" customWidth="1"/>
    <col min="17" max="18" width="1.77734375" bestFit="1" customWidth="1"/>
    <col min="19" max="19" width="7.109375" bestFit="1" customWidth="1"/>
    <col min="20" max="20" width="6.77734375" bestFit="1" customWidth="1"/>
  </cols>
  <sheetData>
    <row r="2" spans="8:20" ht="21" x14ac:dyDescent="0.5">
      <c r="H2" s="47" t="s">
        <v>55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8:20" ht="14.55" x14ac:dyDescent="0.35">
      <c r="H3" s="49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1"/>
    </row>
    <row r="4" spans="8:20" ht="14.55" x14ac:dyDescent="0.35">
      <c r="H4" s="1">
        <v>6</v>
      </c>
      <c r="I4" s="1" t="s">
        <v>50</v>
      </c>
      <c r="J4" s="1" t="s">
        <v>52</v>
      </c>
      <c r="K4" s="1">
        <v>3.4</v>
      </c>
      <c r="L4" s="1" t="s">
        <v>51</v>
      </c>
      <c r="M4" s="1">
        <v>1000000</v>
      </c>
      <c r="N4" s="1" t="s">
        <v>52</v>
      </c>
      <c r="O4" s="2">
        <v>0.99999660000000001</v>
      </c>
      <c r="P4" s="1" t="s">
        <v>53</v>
      </c>
      <c r="Q4" s="1" t="s">
        <v>52</v>
      </c>
      <c r="R4" s="1">
        <v>1</v>
      </c>
      <c r="S4" s="1" t="s">
        <v>54</v>
      </c>
      <c r="T4" s="1">
        <v>250000</v>
      </c>
    </row>
    <row r="5" spans="8:20" ht="14.55" x14ac:dyDescent="0.35">
      <c r="H5" s="1">
        <v>5</v>
      </c>
      <c r="I5" s="1" t="s">
        <v>50</v>
      </c>
      <c r="J5" s="1" t="s">
        <v>52</v>
      </c>
      <c r="K5" s="1">
        <v>233</v>
      </c>
      <c r="L5" s="1" t="s">
        <v>51</v>
      </c>
      <c r="M5" s="1">
        <v>1000000</v>
      </c>
      <c r="N5" s="1" t="s">
        <v>52</v>
      </c>
      <c r="O5" s="2">
        <v>0.99976699999999996</v>
      </c>
      <c r="P5" s="1" t="s">
        <v>53</v>
      </c>
      <c r="Q5" s="1" t="s">
        <v>52</v>
      </c>
      <c r="R5" s="1">
        <v>1</v>
      </c>
      <c r="S5" s="1" t="s">
        <v>54</v>
      </c>
      <c r="T5" s="1">
        <v>4300</v>
      </c>
    </row>
    <row r="6" spans="8:20" ht="14.55" x14ac:dyDescent="0.35">
      <c r="H6" s="1">
        <v>4</v>
      </c>
      <c r="I6" s="1" t="s">
        <v>50</v>
      </c>
      <c r="J6" s="1" t="s">
        <v>52</v>
      </c>
      <c r="K6" s="1">
        <v>6210</v>
      </c>
      <c r="L6" s="1" t="s">
        <v>51</v>
      </c>
      <c r="M6" s="1">
        <v>1000000</v>
      </c>
      <c r="N6" s="1" t="s">
        <v>52</v>
      </c>
      <c r="O6" s="2">
        <v>0.99378999999999995</v>
      </c>
      <c r="P6" s="1" t="s">
        <v>53</v>
      </c>
      <c r="Q6" s="1" t="s">
        <v>52</v>
      </c>
      <c r="R6" s="1">
        <v>1</v>
      </c>
      <c r="S6" s="1" t="s">
        <v>54</v>
      </c>
      <c r="T6" s="1">
        <v>160</v>
      </c>
    </row>
    <row r="7" spans="8:20" ht="14.55" x14ac:dyDescent="0.35">
      <c r="H7" s="1">
        <v>3</v>
      </c>
      <c r="I7" s="1" t="s">
        <v>50</v>
      </c>
      <c r="J7" s="1" t="s">
        <v>52</v>
      </c>
      <c r="K7" s="1">
        <v>66807</v>
      </c>
      <c r="L7" s="1" t="s">
        <v>51</v>
      </c>
      <c r="M7" s="1">
        <v>1000000</v>
      </c>
      <c r="N7" s="1" t="s">
        <v>52</v>
      </c>
      <c r="O7" s="2">
        <v>0.93320000000000003</v>
      </c>
      <c r="P7" s="1" t="s">
        <v>53</v>
      </c>
      <c r="Q7" s="1" t="s">
        <v>52</v>
      </c>
      <c r="R7" s="1">
        <v>1</v>
      </c>
      <c r="S7" s="1" t="s">
        <v>54</v>
      </c>
      <c r="T7" s="1">
        <v>15</v>
      </c>
    </row>
    <row r="8" spans="8:20" ht="14.55" x14ac:dyDescent="0.35">
      <c r="H8" s="1">
        <v>2</v>
      </c>
      <c r="I8" s="1" t="s">
        <v>50</v>
      </c>
      <c r="J8" s="1" t="s">
        <v>52</v>
      </c>
      <c r="K8" s="1">
        <v>308537</v>
      </c>
      <c r="L8" s="1" t="s">
        <v>51</v>
      </c>
      <c r="M8" s="1">
        <v>1000000</v>
      </c>
      <c r="N8" s="1" t="s">
        <v>52</v>
      </c>
      <c r="O8" s="2">
        <v>0.69130000000000003</v>
      </c>
      <c r="P8" s="1" t="s">
        <v>53</v>
      </c>
      <c r="Q8" s="1" t="s">
        <v>52</v>
      </c>
      <c r="R8" s="1">
        <v>1</v>
      </c>
      <c r="S8" s="1" t="s">
        <v>54</v>
      </c>
      <c r="T8" s="1">
        <v>3</v>
      </c>
    </row>
    <row r="9" spans="8:20" ht="14.55" x14ac:dyDescent="0.35">
      <c r="H9" s="1">
        <v>1</v>
      </c>
      <c r="I9" s="1" t="s">
        <v>50</v>
      </c>
      <c r="J9" s="1" t="s">
        <v>52</v>
      </c>
      <c r="K9" s="1">
        <v>690000</v>
      </c>
      <c r="L9" s="1" t="s">
        <v>51</v>
      </c>
      <c r="M9" s="1">
        <v>1000000</v>
      </c>
      <c r="N9" s="1" t="s">
        <v>52</v>
      </c>
      <c r="O9" s="2">
        <v>0.30230000000000001</v>
      </c>
      <c r="P9" s="1" t="s">
        <v>53</v>
      </c>
      <c r="Q9" s="1" t="s">
        <v>52</v>
      </c>
      <c r="R9" s="1">
        <v>1</v>
      </c>
      <c r="S9" s="1" t="s">
        <v>54</v>
      </c>
      <c r="T9" s="1">
        <v>2</v>
      </c>
    </row>
    <row r="10" spans="8:20" ht="14.55" x14ac:dyDescent="0.35"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1"/>
    </row>
    <row r="11" spans="8:20" ht="14.55" x14ac:dyDescent="0.35">
      <c r="H11" s="48" t="s">
        <v>56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</sheetData>
  <mergeCells count="4">
    <mergeCell ref="H2:T2"/>
    <mergeCell ref="H11:T11"/>
    <mergeCell ref="H3:T3"/>
    <mergeCell ref="H10:T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tabSelected="1" zoomScaleNormal="100" workbookViewId="0">
      <pane ySplit="1" topLeftCell="A2" activePane="bottomLeft" state="frozen"/>
      <selection pane="bottomLeft" activeCell="E6" sqref="E6:G6"/>
    </sheetView>
  </sheetViews>
  <sheetFormatPr defaultColWidth="8.77734375" defaultRowHeight="14.4" x14ac:dyDescent="0.3"/>
  <cols>
    <col min="1" max="1" width="2.33203125" style="5" bestFit="1" customWidth="1"/>
    <col min="2" max="2" width="12.77734375" style="5" bestFit="1" customWidth="1"/>
    <col min="3" max="3" width="6.5546875" style="5" bestFit="1" customWidth="1"/>
    <col min="4" max="4" width="9.21875" style="5" bestFit="1" customWidth="1"/>
    <col min="5" max="5" width="6.77734375" style="5" bestFit="1" customWidth="1"/>
    <col min="6" max="6" width="2.77734375" style="5" bestFit="1" customWidth="1"/>
    <col min="7" max="7" width="24.21875" style="5" bestFit="1" customWidth="1"/>
    <col min="8" max="8" width="1.77734375" style="5" customWidth="1"/>
    <col min="9" max="9" width="2.33203125" style="5" bestFit="1" customWidth="1"/>
    <col min="10" max="10" width="12.77734375" style="5" bestFit="1" customWidth="1"/>
    <col min="11" max="11" width="7.6640625" style="5" bestFit="1" customWidth="1"/>
    <col min="12" max="12" width="9.109375" style="5" bestFit="1" customWidth="1"/>
    <col min="13" max="13" width="7.6640625" style="5" bestFit="1" customWidth="1"/>
    <col min="14" max="14" width="3.109375" style="5" bestFit="1" customWidth="1"/>
    <col min="15" max="15" width="24.21875" style="5" bestFit="1" customWidth="1"/>
    <col min="16" max="16" width="1.6640625" style="5" customWidth="1"/>
    <col min="17" max="17" width="2.33203125" style="5" bestFit="1" customWidth="1"/>
    <col min="18" max="18" width="12.77734375" style="5" bestFit="1" customWidth="1"/>
    <col min="19" max="19" width="6.5546875" style="5" bestFit="1" customWidth="1"/>
    <col min="20" max="20" width="9.109375" style="5" bestFit="1" customWidth="1"/>
    <col min="21" max="21" width="7.6640625" style="5" bestFit="1" customWidth="1"/>
    <col min="22" max="22" width="3.109375" style="5" bestFit="1" customWidth="1"/>
    <col min="23" max="23" width="24.21875" style="5" bestFit="1" customWidth="1"/>
    <col min="24" max="24" width="1.77734375" style="5" customWidth="1"/>
    <col min="25" max="25" width="2.33203125" style="5" bestFit="1" customWidth="1"/>
    <col min="26" max="26" width="12.77734375" style="5" bestFit="1" customWidth="1"/>
    <col min="27" max="27" width="6.5546875" style="5" bestFit="1" customWidth="1"/>
    <col min="28" max="28" width="9.21875" style="5" bestFit="1" customWidth="1"/>
    <col min="29" max="29" width="8.21875" style="5" bestFit="1" customWidth="1"/>
    <col min="30" max="30" width="4.6640625" style="5" bestFit="1" customWidth="1"/>
    <col min="31" max="31" width="29.21875" style="5" customWidth="1"/>
    <col min="32" max="33" width="1.88671875" style="5" customWidth="1"/>
    <col min="34" max="34" width="2.33203125" style="5" bestFit="1" customWidth="1"/>
    <col min="35" max="35" width="12.77734375" style="5" bestFit="1" customWidth="1"/>
    <col min="36" max="36" width="6.5546875" style="5" bestFit="1" customWidth="1"/>
    <col min="37" max="37" width="9.21875" style="5" bestFit="1" customWidth="1"/>
    <col min="38" max="38" width="8.21875" style="5" bestFit="1" customWidth="1"/>
    <col min="39" max="39" width="4.6640625" style="5" bestFit="1" customWidth="1"/>
    <col min="40" max="40" width="29.21875" style="5" customWidth="1"/>
    <col min="41" max="41" width="1.88671875" style="5" customWidth="1"/>
    <col min="42" max="16384" width="8.77734375" style="5"/>
  </cols>
  <sheetData>
    <row r="1" spans="1:40" s="4" customFormat="1" ht="25.95" x14ac:dyDescent="0.35">
      <c r="A1" s="110" t="s">
        <v>97</v>
      </c>
      <c r="B1" s="110"/>
      <c r="C1" s="110"/>
      <c r="D1" s="110"/>
      <c r="E1" s="110"/>
      <c r="F1" s="110"/>
      <c r="G1" s="110"/>
      <c r="H1" s="3"/>
      <c r="I1" s="111" t="s">
        <v>34</v>
      </c>
      <c r="J1" s="111"/>
      <c r="K1" s="111"/>
      <c r="L1" s="111"/>
      <c r="M1" s="111"/>
      <c r="N1" s="111"/>
      <c r="O1" s="111"/>
      <c r="Q1" s="112" t="s">
        <v>35</v>
      </c>
      <c r="R1" s="112"/>
      <c r="S1" s="112"/>
      <c r="T1" s="112"/>
      <c r="U1" s="112"/>
      <c r="V1" s="112"/>
      <c r="W1" s="112"/>
      <c r="Y1" s="110" t="s">
        <v>93</v>
      </c>
      <c r="Z1" s="110"/>
      <c r="AA1" s="110"/>
      <c r="AB1" s="110"/>
      <c r="AC1" s="110"/>
      <c r="AD1" s="110"/>
      <c r="AE1" s="110"/>
      <c r="AH1" s="110" t="s">
        <v>94</v>
      </c>
      <c r="AI1" s="110"/>
      <c r="AJ1" s="110"/>
      <c r="AK1" s="110"/>
      <c r="AL1" s="110"/>
      <c r="AM1" s="110"/>
      <c r="AN1" s="110"/>
    </row>
    <row r="2" spans="1:40" x14ac:dyDescent="0.3">
      <c r="A2" s="113" t="s">
        <v>108</v>
      </c>
      <c r="B2" s="98"/>
      <c r="C2" s="98"/>
      <c r="D2" s="98"/>
      <c r="E2" s="98"/>
      <c r="F2" s="98"/>
      <c r="G2" s="99"/>
      <c r="I2" s="113" t="s">
        <v>109</v>
      </c>
      <c r="J2" s="98"/>
      <c r="K2" s="98"/>
      <c r="L2" s="98"/>
      <c r="M2" s="98"/>
      <c r="N2" s="98"/>
      <c r="O2" s="99"/>
      <c r="Q2" s="113" t="s">
        <v>100</v>
      </c>
      <c r="R2" s="117"/>
      <c r="S2" s="117"/>
      <c r="T2" s="117"/>
      <c r="U2" s="117"/>
      <c r="V2" s="117"/>
      <c r="W2" s="118"/>
      <c r="Y2" s="127" t="s">
        <v>90</v>
      </c>
      <c r="Z2" s="98"/>
      <c r="AA2" s="98"/>
      <c r="AB2" s="98"/>
      <c r="AC2" s="98"/>
      <c r="AD2" s="98"/>
      <c r="AE2" s="99"/>
      <c r="AH2" s="127" t="s">
        <v>90</v>
      </c>
      <c r="AI2" s="98"/>
      <c r="AJ2" s="98"/>
      <c r="AK2" s="98"/>
      <c r="AL2" s="98"/>
      <c r="AM2" s="98"/>
      <c r="AN2" s="99"/>
    </row>
    <row r="3" spans="1:40" ht="14.55" customHeight="1" x14ac:dyDescent="0.3">
      <c r="A3" s="119" t="s">
        <v>48</v>
      </c>
      <c r="B3" s="115"/>
      <c r="C3" s="115"/>
      <c r="D3" s="116"/>
      <c r="E3" s="6">
        <f>E4/20</f>
        <v>319.84000000000003</v>
      </c>
      <c r="F3" s="6" t="s">
        <v>110</v>
      </c>
      <c r="G3" s="120" t="s">
        <v>126</v>
      </c>
      <c r="I3" s="119" t="s">
        <v>48</v>
      </c>
      <c r="J3" s="115"/>
      <c r="K3" s="115"/>
      <c r="L3" s="116"/>
      <c r="M3" s="7">
        <f>M4/20</f>
        <v>4561.3809523809514</v>
      </c>
      <c r="N3" s="6" t="s">
        <v>110</v>
      </c>
      <c r="O3" s="121" t="s">
        <v>127</v>
      </c>
      <c r="Q3" s="119" t="s">
        <v>48</v>
      </c>
      <c r="R3" s="115"/>
      <c r="S3" s="115"/>
      <c r="T3" s="116"/>
      <c r="U3" s="6">
        <f>U4/20</f>
        <v>11582.666666666664</v>
      </c>
      <c r="V3" s="6" t="s">
        <v>110</v>
      </c>
      <c r="W3" s="121" t="s">
        <v>131</v>
      </c>
      <c r="Y3" s="119" t="s">
        <v>48</v>
      </c>
      <c r="Z3" s="115"/>
      <c r="AA3" s="115"/>
      <c r="AB3" s="116"/>
      <c r="AC3" s="7">
        <f>AC4/AA15</f>
        <v>343.072</v>
      </c>
      <c r="AD3" s="6" t="s">
        <v>110</v>
      </c>
      <c r="AE3" s="121" t="s">
        <v>121</v>
      </c>
      <c r="AH3" s="119" t="s">
        <v>82</v>
      </c>
      <c r="AI3" s="115"/>
      <c r="AJ3" s="115"/>
      <c r="AK3" s="116"/>
      <c r="AL3" s="7">
        <f>AL4/AJ15</f>
        <v>9.5</v>
      </c>
      <c r="AM3" s="6" t="s">
        <v>110</v>
      </c>
      <c r="AN3" s="121" t="s">
        <v>49</v>
      </c>
    </row>
    <row r="4" spans="1:40" s="8" customFormat="1" x14ac:dyDescent="0.3">
      <c r="A4" s="114" t="s">
        <v>20</v>
      </c>
      <c r="B4" s="115"/>
      <c r="C4" s="115"/>
      <c r="D4" s="116"/>
      <c r="E4" s="6">
        <f>E14+E20+E25+E30</f>
        <v>6396.8</v>
      </c>
      <c r="F4" s="6" t="s">
        <v>110</v>
      </c>
      <c r="G4" s="120"/>
      <c r="I4" s="114" t="s">
        <v>20</v>
      </c>
      <c r="J4" s="115"/>
      <c r="K4" s="115"/>
      <c r="L4" s="116"/>
      <c r="M4" s="6">
        <f>M14+M20+M25+M30</f>
        <v>91227.619047619024</v>
      </c>
      <c r="N4" s="6" t="s">
        <v>110</v>
      </c>
      <c r="O4" s="122"/>
      <c r="Q4" s="114" t="s">
        <v>20</v>
      </c>
      <c r="R4" s="115"/>
      <c r="S4" s="115"/>
      <c r="T4" s="116"/>
      <c r="U4" s="6">
        <f>U14+U20+U25+U30</f>
        <v>231653.33333333328</v>
      </c>
      <c r="V4" s="6" t="s">
        <v>110</v>
      </c>
      <c r="W4" s="122"/>
      <c r="Y4" s="114" t="s">
        <v>68</v>
      </c>
      <c r="Z4" s="115"/>
      <c r="AA4" s="115"/>
      <c r="AB4" s="116"/>
      <c r="AC4" s="6">
        <f>AC13+AC18+AC23</f>
        <v>5146.08</v>
      </c>
      <c r="AD4" s="6" t="s">
        <v>110</v>
      </c>
      <c r="AE4" s="122"/>
      <c r="AH4" s="114" t="s">
        <v>86</v>
      </c>
      <c r="AI4" s="115"/>
      <c r="AJ4" s="115"/>
      <c r="AK4" s="116"/>
      <c r="AL4" s="6">
        <f>AL13+AL18+AL20</f>
        <v>95</v>
      </c>
      <c r="AM4" s="6" t="s">
        <v>110</v>
      </c>
      <c r="AN4" s="122"/>
    </row>
    <row r="5" spans="1:40" s="8" customFormat="1" x14ac:dyDescent="0.3">
      <c r="A5" s="125" t="s">
        <v>18</v>
      </c>
      <c r="B5" s="125"/>
      <c r="C5" s="125"/>
      <c r="D5" s="125"/>
      <c r="E5" s="6">
        <f>C31*20/1000</f>
        <v>365</v>
      </c>
      <c r="F5" s="6" t="s">
        <v>19</v>
      </c>
      <c r="G5" s="120"/>
      <c r="I5" s="125" t="s">
        <v>18</v>
      </c>
      <c r="J5" s="125"/>
      <c r="K5" s="125"/>
      <c r="L5" s="125"/>
      <c r="M5" s="6">
        <f>K31*20/1000</f>
        <v>547.5</v>
      </c>
      <c r="N5" s="6" t="s">
        <v>19</v>
      </c>
      <c r="O5" s="123"/>
      <c r="Q5" s="125" t="s">
        <v>18</v>
      </c>
      <c r="R5" s="125"/>
      <c r="S5" s="125"/>
      <c r="T5" s="125"/>
      <c r="U5" s="6">
        <f>S31*20/1000</f>
        <v>2190</v>
      </c>
      <c r="V5" s="6" t="s">
        <v>19</v>
      </c>
      <c r="W5" s="123"/>
      <c r="Y5" s="125" t="s">
        <v>67</v>
      </c>
      <c r="Z5" s="125"/>
      <c r="AA5" s="125"/>
      <c r="AB5" s="125"/>
      <c r="AC5" s="7">
        <f>AC33</f>
        <v>766.5</v>
      </c>
      <c r="AD5" s="6" t="s">
        <v>19</v>
      </c>
      <c r="AE5" s="122"/>
      <c r="AH5" s="125" t="s">
        <v>87</v>
      </c>
      <c r="AI5" s="125"/>
      <c r="AJ5" s="125"/>
      <c r="AK5" s="125"/>
      <c r="AL5" s="7">
        <f>AL23-AL26</f>
        <v>451.6875</v>
      </c>
      <c r="AM5" s="6" t="s">
        <v>19</v>
      </c>
      <c r="AN5" s="122"/>
    </row>
    <row r="6" spans="1:40" x14ac:dyDescent="0.3">
      <c r="A6" s="124" t="s">
        <v>125</v>
      </c>
      <c r="B6" s="125"/>
      <c r="C6" s="125"/>
      <c r="D6" s="125"/>
      <c r="E6" s="138" t="s">
        <v>133</v>
      </c>
      <c r="F6" s="139"/>
      <c r="G6" s="140"/>
      <c r="I6" s="124" t="s">
        <v>128</v>
      </c>
      <c r="J6" s="125"/>
      <c r="K6" s="125"/>
      <c r="L6" s="125"/>
      <c r="M6" s="138" t="s">
        <v>129</v>
      </c>
      <c r="N6" s="139"/>
      <c r="O6" s="140"/>
      <c r="Q6" s="124" t="s">
        <v>128</v>
      </c>
      <c r="R6" s="125"/>
      <c r="S6" s="125"/>
      <c r="T6" s="125"/>
      <c r="U6" s="138" t="s">
        <v>132</v>
      </c>
      <c r="V6" s="139"/>
      <c r="W6" s="140"/>
      <c r="Y6" s="124" t="s">
        <v>69</v>
      </c>
      <c r="Z6" s="125"/>
      <c r="AA6" s="125"/>
      <c r="AB6" s="125"/>
      <c r="AC6" s="7">
        <f>AC5*AA11*1000</f>
        <v>6132.0000000000009</v>
      </c>
      <c r="AD6" s="11" t="s">
        <v>110</v>
      </c>
      <c r="AE6" s="123"/>
      <c r="AH6" s="124" t="s">
        <v>88</v>
      </c>
      <c r="AI6" s="125"/>
      <c r="AJ6" s="125"/>
      <c r="AK6" s="125"/>
      <c r="AL6" s="7">
        <f>AL5*AJ11*1000</f>
        <v>3613.5</v>
      </c>
      <c r="AM6" s="11" t="s">
        <v>110</v>
      </c>
      <c r="AN6" s="123"/>
    </row>
    <row r="7" spans="1:40" ht="14.55" x14ac:dyDescent="0.35">
      <c r="A7" s="9">
        <v>1</v>
      </c>
      <c r="B7" s="9" t="s">
        <v>33</v>
      </c>
      <c r="C7" s="45">
        <v>20</v>
      </c>
      <c r="D7" s="10" t="s">
        <v>47</v>
      </c>
      <c r="E7" s="97"/>
      <c r="F7" s="98"/>
      <c r="G7" s="99"/>
      <c r="I7" s="9">
        <v>1</v>
      </c>
      <c r="J7" s="9" t="s">
        <v>33</v>
      </c>
      <c r="K7" s="45">
        <v>20</v>
      </c>
      <c r="L7" s="10" t="s">
        <v>47</v>
      </c>
      <c r="M7" s="97"/>
      <c r="N7" s="98"/>
      <c r="O7" s="99"/>
      <c r="Q7" s="9">
        <v>1</v>
      </c>
      <c r="R7" s="9" t="s">
        <v>33</v>
      </c>
      <c r="S7" s="45">
        <v>20</v>
      </c>
      <c r="T7" s="10" t="s">
        <v>47</v>
      </c>
      <c r="U7" s="97"/>
      <c r="V7" s="98"/>
      <c r="W7" s="99"/>
      <c r="Y7" s="9">
        <v>1</v>
      </c>
      <c r="Z7" s="9" t="s">
        <v>33</v>
      </c>
      <c r="AA7" s="45">
        <v>15</v>
      </c>
      <c r="AB7" s="10" t="s">
        <v>47</v>
      </c>
      <c r="AC7" s="100" t="s">
        <v>76</v>
      </c>
      <c r="AD7" s="101"/>
      <c r="AE7" s="102"/>
      <c r="AH7" s="9">
        <v>1</v>
      </c>
      <c r="AI7" s="9" t="s">
        <v>33</v>
      </c>
      <c r="AJ7" s="45">
        <v>10</v>
      </c>
      <c r="AK7" s="10" t="s">
        <v>47</v>
      </c>
      <c r="AL7" s="100" t="s">
        <v>76</v>
      </c>
      <c r="AM7" s="101"/>
      <c r="AN7" s="102"/>
    </row>
    <row r="8" spans="1:40" ht="14.55" x14ac:dyDescent="0.35">
      <c r="A8" s="9">
        <v>2</v>
      </c>
      <c r="B8" s="9" t="s">
        <v>25</v>
      </c>
      <c r="C8" s="45">
        <v>5</v>
      </c>
      <c r="D8" s="10" t="s">
        <v>43</v>
      </c>
      <c r="E8" s="100" t="s">
        <v>46</v>
      </c>
      <c r="F8" s="101"/>
      <c r="G8" s="102"/>
      <c r="I8" s="9">
        <v>2</v>
      </c>
      <c r="J8" s="9" t="s">
        <v>25</v>
      </c>
      <c r="K8" s="45">
        <v>5</v>
      </c>
      <c r="L8" s="10" t="s">
        <v>43</v>
      </c>
      <c r="M8" s="100" t="s">
        <v>46</v>
      </c>
      <c r="N8" s="101"/>
      <c r="O8" s="102"/>
      <c r="Q8" s="9">
        <v>2</v>
      </c>
      <c r="R8" s="9" t="s">
        <v>25</v>
      </c>
      <c r="S8" s="45">
        <v>5</v>
      </c>
      <c r="T8" s="10" t="s">
        <v>43</v>
      </c>
      <c r="U8" s="100" t="s">
        <v>46</v>
      </c>
      <c r="V8" s="101"/>
      <c r="W8" s="102"/>
      <c r="Y8" s="9">
        <v>2</v>
      </c>
      <c r="Z8" s="9" t="s">
        <v>25</v>
      </c>
      <c r="AA8" s="45">
        <v>5</v>
      </c>
      <c r="AB8" s="10" t="s">
        <v>43</v>
      </c>
      <c r="AC8" s="100" t="s">
        <v>46</v>
      </c>
      <c r="AD8" s="101"/>
      <c r="AE8" s="102"/>
      <c r="AH8" s="9">
        <v>2</v>
      </c>
      <c r="AI8" s="9" t="s">
        <v>25</v>
      </c>
      <c r="AJ8" s="45">
        <v>5</v>
      </c>
      <c r="AK8" s="10" t="s">
        <v>43</v>
      </c>
      <c r="AL8" s="100" t="s">
        <v>46</v>
      </c>
      <c r="AM8" s="101"/>
      <c r="AN8" s="102"/>
    </row>
    <row r="9" spans="1:40" ht="14.55" x14ac:dyDescent="0.35">
      <c r="A9" s="9">
        <v>3</v>
      </c>
      <c r="B9" s="9" t="s">
        <v>28</v>
      </c>
      <c r="C9" s="45">
        <v>365</v>
      </c>
      <c r="D9" s="10" t="s">
        <v>45</v>
      </c>
      <c r="E9" s="100" t="s">
        <v>130</v>
      </c>
      <c r="F9" s="101"/>
      <c r="G9" s="102"/>
      <c r="I9" s="9">
        <v>3</v>
      </c>
      <c r="J9" s="9" t="s">
        <v>28</v>
      </c>
      <c r="K9" s="45">
        <v>365</v>
      </c>
      <c r="L9" s="10" t="s">
        <v>45</v>
      </c>
      <c r="M9" s="100" t="s">
        <v>130</v>
      </c>
      <c r="N9" s="101"/>
      <c r="O9" s="102"/>
      <c r="Q9" s="9">
        <v>3</v>
      </c>
      <c r="R9" s="9" t="s">
        <v>28</v>
      </c>
      <c r="S9" s="45">
        <v>365</v>
      </c>
      <c r="T9" s="10" t="s">
        <v>45</v>
      </c>
      <c r="U9" s="100" t="s">
        <v>130</v>
      </c>
      <c r="V9" s="101"/>
      <c r="W9" s="102"/>
      <c r="Y9" s="9">
        <v>3</v>
      </c>
      <c r="Z9" s="9" t="s">
        <v>57</v>
      </c>
      <c r="AA9" s="9">
        <f>AC28</f>
        <v>1095</v>
      </c>
      <c r="AB9" s="10" t="s">
        <v>58</v>
      </c>
      <c r="AC9" s="100" t="s">
        <v>91</v>
      </c>
      <c r="AD9" s="101"/>
      <c r="AE9" s="102"/>
      <c r="AH9" s="9">
        <v>3</v>
      </c>
      <c r="AI9" s="9" t="s">
        <v>57</v>
      </c>
      <c r="AJ9" s="46">
        <f>AL23</f>
        <v>547.5</v>
      </c>
      <c r="AK9" s="10" t="s">
        <v>58</v>
      </c>
      <c r="AL9" s="100" t="s">
        <v>89</v>
      </c>
      <c r="AM9" s="101"/>
      <c r="AN9" s="102"/>
    </row>
    <row r="10" spans="1:40" ht="14.55" x14ac:dyDescent="0.35">
      <c r="A10" s="9">
        <v>4</v>
      </c>
      <c r="B10" s="9" t="s">
        <v>29</v>
      </c>
      <c r="C10" s="45">
        <v>10</v>
      </c>
      <c r="D10" s="10" t="s">
        <v>44</v>
      </c>
      <c r="E10" s="100" t="s">
        <v>98</v>
      </c>
      <c r="F10" s="66"/>
      <c r="G10" s="67"/>
      <c r="I10" s="9">
        <v>4</v>
      </c>
      <c r="J10" s="9" t="s">
        <v>70</v>
      </c>
      <c r="K10" s="45">
        <v>15</v>
      </c>
      <c r="L10" s="10" t="s">
        <v>44</v>
      </c>
      <c r="M10" s="100" t="s">
        <v>99</v>
      </c>
      <c r="N10" s="66"/>
      <c r="O10" s="67"/>
      <c r="Q10" s="9">
        <v>4</v>
      </c>
      <c r="R10" s="9" t="s">
        <v>29</v>
      </c>
      <c r="S10" s="45">
        <v>60</v>
      </c>
      <c r="T10" s="10" t="s">
        <v>44</v>
      </c>
      <c r="U10" s="100" t="s">
        <v>101</v>
      </c>
      <c r="V10" s="66"/>
      <c r="W10" s="67"/>
      <c r="Y10" s="9">
        <v>4</v>
      </c>
      <c r="Z10" s="9" t="s">
        <v>26</v>
      </c>
      <c r="AA10" s="45">
        <v>0.27</v>
      </c>
      <c r="AB10" s="10" t="s">
        <v>111</v>
      </c>
      <c r="AC10" s="126"/>
      <c r="AD10" s="66"/>
      <c r="AE10" s="67"/>
      <c r="AH10" s="9">
        <v>4</v>
      </c>
      <c r="AI10" s="9" t="s">
        <v>26</v>
      </c>
      <c r="AJ10" s="45">
        <v>0.27</v>
      </c>
      <c r="AK10" s="10" t="s">
        <v>111</v>
      </c>
      <c r="AL10" s="126"/>
      <c r="AM10" s="66"/>
      <c r="AN10" s="67"/>
    </row>
    <row r="11" spans="1:40" ht="14.55" x14ac:dyDescent="0.35">
      <c r="A11" s="9">
        <v>5</v>
      </c>
      <c r="B11" s="9" t="s">
        <v>26</v>
      </c>
      <c r="C11" s="45">
        <v>0.27</v>
      </c>
      <c r="D11" s="10" t="s">
        <v>111</v>
      </c>
      <c r="E11" s="100"/>
      <c r="F11" s="66"/>
      <c r="G11" s="67"/>
      <c r="I11" s="9">
        <v>5</v>
      </c>
      <c r="J11" s="9" t="s">
        <v>26</v>
      </c>
      <c r="K11" s="45">
        <v>0.27</v>
      </c>
      <c r="L11" s="10" t="s">
        <v>111</v>
      </c>
      <c r="M11" s="100"/>
      <c r="N11" s="66"/>
      <c r="O11" s="67"/>
      <c r="Q11" s="9">
        <v>5</v>
      </c>
      <c r="R11" s="9" t="s">
        <v>26</v>
      </c>
      <c r="S11" s="45">
        <v>0.27</v>
      </c>
      <c r="T11" s="10" t="s">
        <v>111</v>
      </c>
      <c r="U11" s="100"/>
      <c r="V11" s="66"/>
      <c r="W11" s="67"/>
      <c r="Y11" s="9">
        <v>5</v>
      </c>
      <c r="Z11" s="9" t="s">
        <v>30</v>
      </c>
      <c r="AA11" s="45">
        <v>8.0000000000000002E-3</v>
      </c>
      <c r="AB11" s="10" t="s">
        <v>112</v>
      </c>
      <c r="AC11" s="100" t="s">
        <v>31</v>
      </c>
      <c r="AD11" s="66"/>
      <c r="AE11" s="67"/>
      <c r="AH11" s="9">
        <v>5</v>
      </c>
      <c r="AI11" s="9" t="s">
        <v>30</v>
      </c>
      <c r="AJ11" s="45">
        <v>8.0000000000000002E-3</v>
      </c>
      <c r="AK11" s="10" t="s">
        <v>112</v>
      </c>
      <c r="AL11" s="100" t="s">
        <v>31</v>
      </c>
      <c r="AM11" s="66"/>
      <c r="AN11" s="67"/>
    </row>
    <row r="12" spans="1:40" ht="14.55" x14ac:dyDescent="0.35">
      <c r="A12" s="9">
        <v>6</v>
      </c>
      <c r="B12" s="9" t="s">
        <v>30</v>
      </c>
      <c r="C12" s="45">
        <v>8.0000000000000002E-3</v>
      </c>
      <c r="D12" s="10" t="s">
        <v>112</v>
      </c>
      <c r="E12" s="100" t="s">
        <v>31</v>
      </c>
      <c r="F12" s="66"/>
      <c r="G12" s="67"/>
      <c r="I12" s="9">
        <v>6</v>
      </c>
      <c r="J12" s="9" t="s">
        <v>30</v>
      </c>
      <c r="K12" s="45">
        <v>8.0000000000000002E-3</v>
      </c>
      <c r="L12" s="10" t="s">
        <v>112</v>
      </c>
      <c r="M12" s="100" t="s">
        <v>31</v>
      </c>
      <c r="N12" s="66"/>
      <c r="O12" s="67"/>
      <c r="Q12" s="9">
        <v>6</v>
      </c>
      <c r="R12" s="9" t="s">
        <v>30</v>
      </c>
      <c r="S12" s="45">
        <v>8.0000000000000002E-3</v>
      </c>
      <c r="T12" s="10" t="s">
        <v>112</v>
      </c>
      <c r="U12" s="100" t="s">
        <v>31</v>
      </c>
      <c r="V12" s="66"/>
      <c r="W12" s="67"/>
      <c r="Y12" s="97"/>
      <c r="Z12" s="98"/>
      <c r="AA12" s="98"/>
      <c r="AB12" s="98"/>
      <c r="AC12" s="98"/>
      <c r="AD12" s="98"/>
      <c r="AE12" s="99"/>
      <c r="AF12" s="13"/>
      <c r="AG12" s="13"/>
      <c r="AH12" s="97"/>
      <c r="AI12" s="98"/>
      <c r="AJ12" s="98"/>
      <c r="AK12" s="98"/>
      <c r="AL12" s="98"/>
      <c r="AM12" s="98"/>
      <c r="AN12" s="99"/>
    </row>
    <row r="13" spans="1:40" s="13" customFormat="1" ht="14.55" x14ac:dyDescent="0.35">
      <c r="A13" s="97"/>
      <c r="B13" s="98"/>
      <c r="C13" s="98"/>
      <c r="D13" s="98"/>
      <c r="E13" s="98"/>
      <c r="F13" s="98"/>
      <c r="G13" s="99"/>
      <c r="I13" s="97"/>
      <c r="J13" s="98"/>
      <c r="K13" s="98"/>
      <c r="L13" s="98"/>
      <c r="M13" s="98"/>
      <c r="N13" s="98"/>
      <c r="O13" s="99"/>
      <c r="Q13" s="97"/>
      <c r="R13" s="98"/>
      <c r="S13" s="98"/>
      <c r="T13" s="98"/>
      <c r="U13" s="98"/>
      <c r="V13" s="98"/>
      <c r="W13" s="99"/>
      <c r="Y13" s="12" t="s">
        <v>8</v>
      </c>
      <c r="Z13" s="103" t="s">
        <v>2</v>
      </c>
      <c r="AA13" s="104"/>
      <c r="AB13" s="105"/>
      <c r="AC13" s="12">
        <f>(AA14+AA16)</f>
        <v>1800</v>
      </c>
      <c r="AD13" s="12" t="s">
        <v>110</v>
      </c>
      <c r="AE13" s="12" t="s">
        <v>61</v>
      </c>
      <c r="AF13" s="5"/>
      <c r="AG13" s="5"/>
      <c r="AH13" s="12" t="s">
        <v>8</v>
      </c>
      <c r="AI13" s="103" t="s">
        <v>2</v>
      </c>
      <c r="AJ13" s="104"/>
      <c r="AK13" s="105"/>
      <c r="AL13" s="12">
        <f>(AJ14+AJ16)</f>
        <v>55</v>
      </c>
      <c r="AM13" s="12" t="s">
        <v>110</v>
      </c>
      <c r="AN13" s="12" t="s">
        <v>80</v>
      </c>
    </row>
    <row r="14" spans="1:40" ht="14.55" x14ac:dyDescent="0.35">
      <c r="A14" s="12" t="s">
        <v>8</v>
      </c>
      <c r="B14" s="103" t="s">
        <v>2</v>
      </c>
      <c r="C14" s="104"/>
      <c r="D14" s="105"/>
      <c r="E14" s="12">
        <f>C15*C17+C18*C17</f>
        <v>1400</v>
      </c>
      <c r="F14" s="12" t="s">
        <v>110</v>
      </c>
      <c r="G14" s="12" t="s">
        <v>14</v>
      </c>
      <c r="I14" s="14" t="s">
        <v>8</v>
      </c>
      <c r="J14" s="106" t="s">
        <v>2</v>
      </c>
      <c r="K14" s="107"/>
      <c r="L14" s="108"/>
      <c r="M14" s="15">
        <f>K15*K17+K18*K17</f>
        <v>2142.8571428571427</v>
      </c>
      <c r="N14" s="14" t="s">
        <v>110</v>
      </c>
      <c r="O14" s="14" t="s">
        <v>14</v>
      </c>
      <c r="Q14" s="16" t="s">
        <v>8</v>
      </c>
      <c r="R14" s="109" t="s">
        <v>2</v>
      </c>
      <c r="S14" s="66"/>
      <c r="T14" s="67"/>
      <c r="U14" s="16">
        <f>S15*S17+S18*S17</f>
        <v>3900</v>
      </c>
      <c r="V14" s="16" t="s">
        <v>110</v>
      </c>
      <c r="W14" s="16" t="s">
        <v>14</v>
      </c>
      <c r="Y14" s="23"/>
      <c r="Z14" s="17" t="s">
        <v>7</v>
      </c>
      <c r="AA14" s="45">
        <v>1700</v>
      </c>
      <c r="AB14" s="18" t="s">
        <v>110</v>
      </c>
      <c r="AC14" s="86"/>
      <c r="AD14" s="66"/>
      <c r="AE14" s="67"/>
      <c r="AH14" s="23"/>
      <c r="AI14" s="17" t="s">
        <v>7</v>
      </c>
      <c r="AJ14" s="45">
        <v>45</v>
      </c>
      <c r="AK14" s="18" t="s">
        <v>110</v>
      </c>
      <c r="AL14" s="86"/>
      <c r="AM14" s="66"/>
      <c r="AN14" s="67"/>
    </row>
    <row r="15" spans="1:40" x14ac:dyDescent="0.3">
      <c r="A15" s="79"/>
      <c r="B15" s="17" t="s">
        <v>7</v>
      </c>
      <c r="C15" s="45">
        <v>1300</v>
      </c>
      <c r="D15" s="18" t="s">
        <v>110</v>
      </c>
      <c r="E15" s="86"/>
      <c r="F15" s="66"/>
      <c r="G15" s="67"/>
      <c r="I15" s="71"/>
      <c r="J15" s="19" t="s">
        <v>7</v>
      </c>
      <c r="K15" s="45">
        <v>600</v>
      </c>
      <c r="L15" s="20" t="s">
        <v>110</v>
      </c>
      <c r="M15" s="73"/>
      <c r="N15" s="74"/>
      <c r="O15" s="75"/>
      <c r="Q15" s="62"/>
      <c r="R15" s="21" t="s">
        <v>7</v>
      </c>
      <c r="S15" s="45">
        <v>1700</v>
      </c>
      <c r="T15" s="22" t="s">
        <v>110</v>
      </c>
      <c r="U15" s="56"/>
      <c r="V15" s="66"/>
      <c r="W15" s="67"/>
      <c r="Y15" s="25"/>
      <c r="Z15" s="17" t="s">
        <v>3</v>
      </c>
      <c r="AA15" s="26">
        <f>AA7</f>
        <v>15</v>
      </c>
      <c r="AB15" s="18" t="s">
        <v>4</v>
      </c>
      <c r="AC15" s="86"/>
      <c r="AD15" s="66"/>
      <c r="AE15" s="67"/>
      <c r="AH15" s="25"/>
      <c r="AI15" s="17" t="s">
        <v>3</v>
      </c>
      <c r="AJ15" s="26">
        <f>AJ7</f>
        <v>10</v>
      </c>
      <c r="AK15" s="18" t="s">
        <v>4</v>
      </c>
      <c r="AL15" s="86"/>
      <c r="AM15" s="66"/>
      <c r="AN15" s="67"/>
    </row>
    <row r="16" spans="1:40" x14ac:dyDescent="0.3">
      <c r="A16" s="80"/>
      <c r="B16" s="17" t="s">
        <v>3</v>
      </c>
      <c r="C16" s="45">
        <v>20</v>
      </c>
      <c r="D16" s="18" t="s">
        <v>4</v>
      </c>
      <c r="E16" s="86"/>
      <c r="F16" s="87"/>
      <c r="G16" s="88"/>
      <c r="I16" s="93"/>
      <c r="J16" s="19" t="s">
        <v>3</v>
      </c>
      <c r="K16" s="45">
        <v>7</v>
      </c>
      <c r="L16" s="20" t="s">
        <v>4</v>
      </c>
      <c r="M16" s="73" t="s">
        <v>37</v>
      </c>
      <c r="N16" s="74"/>
      <c r="O16" s="75"/>
      <c r="Q16" s="64"/>
      <c r="R16" s="21" t="s">
        <v>3</v>
      </c>
      <c r="S16" s="45">
        <v>10</v>
      </c>
      <c r="T16" s="22" t="s">
        <v>4</v>
      </c>
      <c r="U16" s="56" t="s">
        <v>37</v>
      </c>
      <c r="V16" s="57"/>
      <c r="W16" s="58"/>
      <c r="Y16" s="27"/>
      <c r="Z16" s="17" t="s">
        <v>6</v>
      </c>
      <c r="AA16" s="45">
        <v>100</v>
      </c>
      <c r="AB16" s="18" t="s">
        <v>113</v>
      </c>
      <c r="AC16" s="86" t="s">
        <v>23</v>
      </c>
      <c r="AD16" s="66"/>
      <c r="AE16" s="67"/>
      <c r="AH16" s="27"/>
      <c r="AI16" s="17" t="s">
        <v>6</v>
      </c>
      <c r="AJ16" s="45">
        <v>10</v>
      </c>
      <c r="AK16" s="18" t="s">
        <v>113</v>
      </c>
      <c r="AL16" s="86" t="s">
        <v>85</v>
      </c>
      <c r="AM16" s="66"/>
      <c r="AN16" s="67"/>
    </row>
    <row r="17" spans="1:41" x14ac:dyDescent="0.3">
      <c r="A17" s="80"/>
      <c r="B17" s="17" t="s">
        <v>5</v>
      </c>
      <c r="C17" s="18">
        <f>20/C16</f>
        <v>1</v>
      </c>
      <c r="D17" s="18" t="s">
        <v>43</v>
      </c>
      <c r="E17" s="86" t="s">
        <v>32</v>
      </c>
      <c r="F17" s="87"/>
      <c r="G17" s="88"/>
      <c r="I17" s="93"/>
      <c r="J17" s="19" t="s">
        <v>5</v>
      </c>
      <c r="K17" s="24">
        <f>20/K16</f>
        <v>2.8571428571428572</v>
      </c>
      <c r="L17" s="20" t="s">
        <v>43</v>
      </c>
      <c r="M17" s="73" t="s">
        <v>32</v>
      </c>
      <c r="N17" s="66"/>
      <c r="O17" s="67"/>
      <c r="Q17" s="64"/>
      <c r="R17" s="21" t="s">
        <v>5</v>
      </c>
      <c r="S17" s="22">
        <f>20/S16</f>
        <v>2</v>
      </c>
      <c r="T17" s="22" t="s">
        <v>43</v>
      </c>
      <c r="U17" s="56" t="s">
        <v>32</v>
      </c>
      <c r="V17" s="66"/>
      <c r="W17" s="67"/>
      <c r="Y17" s="76"/>
      <c r="Z17" s="77"/>
      <c r="AA17" s="77"/>
      <c r="AB17" s="77"/>
      <c r="AC17" s="77"/>
      <c r="AD17" s="77"/>
      <c r="AE17" s="78"/>
      <c r="AH17" s="76"/>
      <c r="AI17" s="77"/>
      <c r="AJ17" s="77"/>
      <c r="AK17" s="77"/>
      <c r="AL17" s="77"/>
      <c r="AM17" s="77"/>
      <c r="AN17" s="78"/>
    </row>
    <row r="18" spans="1:41" x14ac:dyDescent="0.3">
      <c r="A18" s="81"/>
      <c r="B18" s="17" t="s">
        <v>6</v>
      </c>
      <c r="C18" s="45">
        <v>100</v>
      </c>
      <c r="D18" s="18" t="s">
        <v>113</v>
      </c>
      <c r="E18" s="86" t="s">
        <v>23</v>
      </c>
      <c r="F18" s="66"/>
      <c r="G18" s="67"/>
      <c r="I18" s="72"/>
      <c r="J18" s="19" t="s">
        <v>6</v>
      </c>
      <c r="K18" s="45">
        <v>150</v>
      </c>
      <c r="L18" s="20" t="s">
        <v>113</v>
      </c>
      <c r="M18" s="73" t="s">
        <v>23</v>
      </c>
      <c r="N18" s="66"/>
      <c r="O18" s="67"/>
      <c r="Q18" s="63"/>
      <c r="R18" s="21" t="s">
        <v>6</v>
      </c>
      <c r="S18" s="45">
        <v>250</v>
      </c>
      <c r="T18" s="22" t="s">
        <v>113</v>
      </c>
      <c r="U18" s="56" t="s">
        <v>23</v>
      </c>
      <c r="V18" s="66"/>
      <c r="W18" s="67"/>
      <c r="Y18" s="28" t="s">
        <v>9</v>
      </c>
      <c r="Z18" s="89" t="s">
        <v>0</v>
      </c>
      <c r="AA18" s="90"/>
      <c r="AB18" s="91"/>
      <c r="AC18" s="28">
        <f>AA21*20</f>
        <v>946.08000000000038</v>
      </c>
      <c r="AD18" s="28" t="s">
        <v>110</v>
      </c>
      <c r="AE18" s="12" t="s">
        <v>61</v>
      </c>
      <c r="AF18" s="29"/>
      <c r="AG18" s="29"/>
      <c r="AH18" s="28" t="s">
        <v>9</v>
      </c>
      <c r="AI18" s="89" t="s">
        <v>0</v>
      </c>
      <c r="AJ18" s="90"/>
      <c r="AK18" s="91"/>
      <c r="AL18" s="28">
        <v>0</v>
      </c>
      <c r="AM18" s="28" t="s">
        <v>110</v>
      </c>
      <c r="AN18" s="12" t="s">
        <v>80</v>
      </c>
    </row>
    <row r="19" spans="1:41" s="29" customFormat="1" x14ac:dyDescent="0.3">
      <c r="A19" s="76"/>
      <c r="B19" s="77"/>
      <c r="C19" s="77"/>
      <c r="D19" s="77"/>
      <c r="E19" s="77"/>
      <c r="F19" s="77"/>
      <c r="G19" s="78"/>
      <c r="I19" s="68"/>
      <c r="J19" s="69"/>
      <c r="K19" s="69"/>
      <c r="L19" s="69"/>
      <c r="M19" s="69"/>
      <c r="N19" s="69"/>
      <c r="O19" s="70"/>
      <c r="Q19" s="53"/>
      <c r="R19" s="54"/>
      <c r="S19" s="54"/>
      <c r="T19" s="54"/>
      <c r="U19" s="54"/>
      <c r="V19" s="54"/>
      <c r="W19" s="55"/>
      <c r="Y19" s="79"/>
      <c r="Z19" s="17" t="s">
        <v>12</v>
      </c>
      <c r="AA19" s="45">
        <f>0.2*3*80%</f>
        <v>0.48000000000000009</v>
      </c>
      <c r="AB19" s="18" t="s">
        <v>62</v>
      </c>
      <c r="AC19" s="82" t="s">
        <v>63</v>
      </c>
      <c r="AD19" s="83"/>
      <c r="AE19" s="84"/>
      <c r="AF19" s="5"/>
      <c r="AG19" s="5"/>
      <c r="AH19" s="76"/>
      <c r="AI19" s="77"/>
      <c r="AJ19" s="77"/>
      <c r="AK19" s="77"/>
      <c r="AL19" s="77"/>
      <c r="AM19" s="77"/>
      <c r="AN19" s="78"/>
    </row>
    <row r="20" spans="1:41" x14ac:dyDescent="0.3">
      <c r="A20" s="28" t="s">
        <v>9</v>
      </c>
      <c r="B20" s="89" t="s">
        <v>0</v>
      </c>
      <c r="C20" s="90"/>
      <c r="D20" s="91"/>
      <c r="E20" s="28">
        <f>C23*20</f>
        <v>1576.8000000000002</v>
      </c>
      <c r="F20" s="28" t="s">
        <v>110</v>
      </c>
      <c r="G20" s="28" t="s">
        <v>14</v>
      </c>
      <c r="I20" s="30" t="s">
        <v>9</v>
      </c>
      <c r="J20" s="92" t="s">
        <v>0</v>
      </c>
      <c r="K20" s="66"/>
      <c r="L20" s="67"/>
      <c r="M20" s="30">
        <f>K23*20</f>
        <v>82733.333333333314</v>
      </c>
      <c r="N20" s="30" t="s">
        <v>110</v>
      </c>
      <c r="O20" s="30" t="s">
        <v>14</v>
      </c>
      <c r="Q20" s="31" t="s">
        <v>9</v>
      </c>
      <c r="R20" s="65" t="s">
        <v>0</v>
      </c>
      <c r="S20" s="66"/>
      <c r="T20" s="67"/>
      <c r="U20" s="31">
        <f>S23*20</f>
        <v>206833.33333333328</v>
      </c>
      <c r="V20" s="31" t="s">
        <v>110</v>
      </c>
      <c r="W20" s="31" t="s">
        <v>14</v>
      </c>
      <c r="Y20" s="80"/>
      <c r="Z20" s="17" t="s">
        <v>12</v>
      </c>
      <c r="AA20" s="32">
        <f>AA19*365</f>
        <v>175.20000000000005</v>
      </c>
      <c r="AB20" s="18" t="s">
        <v>39</v>
      </c>
      <c r="AC20" s="86" t="s">
        <v>38</v>
      </c>
      <c r="AD20" s="66"/>
      <c r="AE20" s="67"/>
      <c r="AH20" s="28" t="s">
        <v>10</v>
      </c>
      <c r="AI20" s="89" t="s">
        <v>1</v>
      </c>
      <c r="AJ20" s="90"/>
      <c r="AK20" s="91"/>
      <c r="AL20" s="28">
        <f>AJ21*2</f>
        <v>40</v>
      </c>
      <c r="AM20" s="28" t="s">
        <v>110</v>
      </c>
      <c r="AN20" s="12" t="s">
        <v>80</v>
      </c>
    </row>
    <row r="21" spans="1:41" x14ac:dyDescent="0.3">
      <c r="A21" s="79"/>
      <c r="B21" s="17" t="s">
        <v>12</v>
      </c>
      <c r="C21" s="45">
        <v>0.16</v>
      </c>
      <c r="D21" s="18" t="s">
        <v>21</v>
      </c>
      <c r="E21" s="82" t="s">
        <v>95</v>
      </c>
      <c r="F21" s="83"/>
      <c r="G21" s="84"/>
      <c r="I21" s="71"/>
      <c r="J21" s="19" t="s">
        <v>12</v>
      </c>
      <c r="K21" s="45">
        <f>2*85%</f>
        <v>1.7</v>
      </c>
      <c r="L21" s="20" t="s">
        <v>13</v>
      </c>
      <c r="M21" s="94" t="s">
        <v>96</v>
      </c>
      <c r="N21" s="95"/>
      <c r="O21" s="96"/>
      <c r="Q21" s="62"/>
      <c r="R21" s="21" t="s">
        <v>12</v>
      </c>
      <c r="S21" s="45">
        <f>5*85%</f>
        <v>4.25</v>
      </c>
      <c r="T21" s="22" t="s">
        <v>13</v>
      </c>
      <c r="U21" s="59" t="s">
        <v>96</v>
      </c>
      <c r="V21" s="60"/>
      <c r="W21" s="61"/>
      <c r="Y21" s="81"/>
      <c r="Z21" s="17" t="s">
        <v>12</v>
      </c>
      <c r="AA21" s="32">
        <f>AA20*AA10</f>
        <v>47.304000000000016</v>
      </c>
      <c r="AB21" s="18" t="s">
        <v>114</v>
      </c>
      <c r="AC21" s="86" t="s">
        <v>36</v>
      </c>
      <c r="AD21" s="66"/>
      <c r="AE21" s="67"/>
      <c r="AH21" s="23"/>
      <c r="AI21" s="17" t="s">
        <v>11</v>
      </c>
      <c r="AJ21" s="45">
        <v>20</v>
      </c>
      <c r="AK21" s="18" t="s">
        <v>110</v>
      </c>
      <c r="AL21" s="86" t="s">
        <v>79</v>
      </c>
      <c r="AM21" s="87"/>
      <c r="AN21" s="88"/>
    </row>
    <row r="22" spans="1:41" x14ac:dyDescent="0.3">
      <c r="A22" s="80"/>
      <c r="B22" s="17" t="s">
        <v>12</v>
      </c>
      <c r="C22" s="32">
        <f>C21/10*10*C8*C9</f>
        <v>292</v>
      </c>
      <c r="D22" s="18" t="s">
        <v>39</v>
      </c>
      <c r="E22" s="86" t="s">
        <v>38</v>
      </c>
      <c r="F22" s="66"/>
      <c r="G22" s="67"/>
      <c r="I22" s="93"/>
      <c r="J22" s="19" t="s">
        <v>12</v>
      </c>
      <c r="K22" s="33">
        <f>K21/60*K8*10*K9</f>
        <v>517.08333333333326</v>
      </c>
      <c r="L22" s="20" t="s">
        <v>39</v>
      </c>
      <c r="M22" s="94" t="s">
        <v>38</v>
      </c>
      <c r="N22" s="95"/>
      <c r="O22" s="96"/>
      <c r="Q22" s="64"/>
      <c r="R22" s="21" t="s">
        <v>12</v>
      </c>
      <c r="S22" s="34">
        <f>S21/60*S8*10*S9</f>
        <v>1292.708333333333</v>
      </c>
      <c r="T22" s="22" t="s">
        <v>39</v>
      </c>
      <c r="U22" s="59" t="s">
        <v>38</v>
      </c>
      <c r="V22" s="60"/>
      <c r="W22" s="61"/>
      <c r="Y22" s="76"/>
      <c r="Z22" s="77"/>
      <c r="AA22" s="77"/>
      <c r="AB22" s="77"/>
      <c r="AC22" s="77"/>
      <c r="AD22" s="77"/>
      <c r="AE22" s="78"/>
      <c r="AH22" s="76"/>
      <c r="AI22" s="77"/>
      <c r="AJ22" s="77"/>
      <c r="AK22" s="77"/>
      <c r="AL22" s="77"/>
      <c r="AM22" s="77"/>
      <c r="AN22" s="78"/>
    </row>
    <row r="23" spans="1:41" x14ac:dyDescent="0.3">
      <c r="A23" s="81"/>
      <c r="B23" s="17" t="s">
        <v>12</v>
      </c>
      <c r="C23" s="32">
        <f>C22*C11</f>
        <v>78.84</v>
      </c>
      <c r="D23" s="18" t="s">
        <v>114</v>
      </c>
      <c r="E23" s="86" t="s">
        <v>36</v>
      </c>
      <c r="F23" s="66"/>
      <c r="G23" s="67"/>
      <c r="I23" s="72"/>
      <c r="J23" s="19" t="s">
        <v>12</v>
      </c>
      <c r="K23" s="20">
        <f>K22*8</f>
        <v>4136.6666666666661</v>
      </c>
      <c r="L23" s="20" t="s">
        <v>114</v>
      </c>
      <c r="M23" s="73" t="s">
        <v>36</v>
      </c>
      <c r="N23" s="66"/>
      <c r="O23" s="67"/>
      <c r="Q23" s="63"/>
      <c r="R23" s="21" t="s">
        <v>12</v>
      </c>
      <c r="S23" s="22">
        <f>S22*8</f>
        <v>10341.666666666664</v>
      </c>
      <c r="T23" s="22" t="s">
        <v>114</v>
      </c>
      <c r="U23" s="59" t="s">
        <v>36</v>
      </c>
      <c r="V23" s="60"/>
      <c r="W23" s="61"/>
      <c r="Y23" s="28" t="s">
        <v>10</v>
      </c>
      <c r="Z23" s="89" t="s">
        <v>1</v>
      </c>
      <c r="AA23" s="90"/>
      <c r="AB23" s="91"/>
      <c r="AC23" s="28">
        <f>(AA24*12*AA15)+(AA25+AA26)*3</f>
        <v>2400</v>
      </c>
      <c r="AD23" s="28" t="s">
        <v>110</v>
      </c>
      <c r="AE23" s="12" t="s">
        <v>61</v>
      </c>
      <c r="AF23" s="29"/>
      <c r="AG23" s="29"/>
      <c r="AH23" s="36" t="s">
        <v>16</v>
      </c>
      <c r="AI23" s="131" t="s">
        <v>92</v>
      </c>
      <c r="AJ23" s="132"/>
      <c r="AK23" s="133"/>
      <c r="AL23" s="37">
        <f>AJ24*AJ15</f>
        <v>547.5</v>
      </c>
      <c r="AM23" s="36" t="s">
        <v>19</v>
      </c>
      <c r="AN23" s="38" t="s">
        <v>80</v>
      </c>
    </row>
    <row r="24" spans="1:41" s="29" customFormat="1" x14ac:dyDescent="0.3">
      <c r="A24" s="76"/>
      <c r="B24" s="77"/>
      <c r="C24" s="77"/>
      <c r="D24" s="77"/>
      <c r="E24" s="77"/>
      <c r="F24" s="77"/>
      <c r="G24" s="78"/>
      <c r="I24" s="68"/>
      <c r="J24" s="69"/>
      <c r="K24" s="69"/>
      <c r="L24" s="69"/>
      <c r="M24" s="69"/>
      <c r="N24" s="69"/>
      <c r="O24" s="70"/>
      <c r="Q24" s="53"/>
      <c r="R24" s="54"/>
      <c r="S24" s="54"/>
      <c r="T24" s="54"/>
      <c r="U24" s="54"/>
      <c r="V24" s="54"/>
      <c r="W24" s="55"/>
      <c r="Y24" s="79"/>
      <c r="Z24" s="17" t="s">
        <v>11</v>
      </c>
      <c r="AA24" s="45">
        <v>10</v>
      </c>
      <c r="AB24" s="18" t="s">
        <v>115</v>
      </c>
      <c r="AC24" s="18" t="s">
        <v>65</v>
      </c>
      <c r="AD24" s="18">
        <v>2</v>
      </c>
      <c r="AE24" s="18" t="s">
        <v>64</v>
      </c>
      <c r="AF24" s="5"/>
      <c r="AG24" s="5"/>
      <c r="AH24" s="39"/>
      <c r="AI24" s="40" t="s">
        <v>59</v>
      </c>
      <c r="AJ24" s="41">
        <f>(2*15*5*365)/1000</f>
        <v>54.75</v>
      </c>
      <c r="AK24" s="42" t="s">
        <v>19</v>
      </c>
      <c r="AL24" s="134" t="s">
        <v>84</v>
      </c>
      <c r="AM24" s="135"/>
      <c r="AN24" s="136"/>
    </row>
    <row r="25" spans="1:41" x14ac:dyDescent="0.3">
      <c r="A25" s="28" t="s">
        <v>10</v>
      </c>
      <c r="B25" s="89" t="s">
        <v>1</v>
      </c>
      <c r="C25" s="90"/>
      <c r="D25" s="91"/>
      <c r="E25" s="28">
        <f>C28*C17+C27*C17</f>
        <v>500</v>
      </c>
      <c r="F25" s="28" t="s">
        <v>110</v>
      </c>
      <c r="G25" s="28" t="s">
        <v>14</v>
      </c>
      <c r="I25" s="30" t="s">
        <v>10</v>
      </c>
      <c r="J25" s="92" t="s">
        <v>1</v>
      </c>
      <c r="K25" s="66"/>
      <c r="L25" s="67"/>
      <c r="M25" s="35">
        <f>K26*4+K27*K17+K28*K17</f>
        <v>1971.4285714285716</v>
      </c>
      <c r="N25" s="30" t="s">
        <v>110</v>
      </c>
      <c r="O25" s="30" t="s">
        <v>14</v>
      </c>
      <c r="Q25" s="31" t="s">
        <v>10</v>
      </c>
      <c r="R25" s="65" t="s">
        <v>1</v>
      </c>
      <c r="S25" s="66"/>
      <c r="T25" s="67"/>
      <c r="U25" s="31">
        <f>S26*4+S27*S17+S28*3</f>
        <v>3400</v>
      </c>
      <c r="V25" s="31" t="s">
        <v>110</v>
      </c>
      <c r="W25" s="31" t="s">
        <v>14</v>
      </c>
      <c r="Y25" s="80"/>
      <c r="Z25" s="17" t="s">
        <v>15</v>
      </c>
      <c r="AA25" s="45">
        <v>50</v>
      </c>
      <c r="AB25" s="18" t="s">
        <v>116</v>
      </c>
      <c r="AC25" s="18" t="s">
        <v>66</v>
      </c>
      <c r="AD25" s="18">
        <v>3</v>
      </c>
      <c r="AE25" s="18" t="s">
        <v>78</v>
      </c>
      <c r="AH25" s="76"/>
      <c r="AI25" s="77"/>
      <c r="AJ25" s="77"/>
      <c r="AK25" s="77"/>
      <c r="AL25" s="77"/>
      <c r="AM25" s="77"/>
      <c r="AN25" s="78"/>
    </row>
    <row r="26" spans="1:41" x14ac:dyDescent="0.3">
      <c r="A26" s="79"/>
      <c r="B26" s="17" t="s">
        <v>11</v>
      </c>
      <c r="C26" s="45">
        <v>0</v>
      </c>
      <c r="D26" s="18"/>
      <c r="E26" s="76"/>
      <c r="F26" s="77"/>
      <c r="G26" s="78"/>
      <c r="I26" s="71"/>
      <c r="J26" s="19" t="s">
        <v>11</v>
      </c>
      <c r="K26" s="45">
        <v>100</v>
      </c>
      <c r="L26" s="20" t="s">
        <v>113</v>
      </c>
      <c r="M26" s="73" t="s">
        <v>40</v>
      </c>
      <c r="N26" s="66"/>
      <c r="O26" s="67"/>
      <c r="Q26" s="62"/>
      <c r="R26" s="21" t="s">
        <v>11</v>
      </c>
      <c r="S26" s="45">
        <v>200</v>
      </c>
      <c r="T26" s="22" t="s">
        <v>113</v>
      </c>
      <c r="U26" s="56" t="s">
        <v>40</v>
      </c>
      <c r="V26" s="57"/>
      <c r="W26" s="58"/>
      <c r="Y26" s="81"/>
      <c r="Z26" s="17" t="s">
        <v>22</v>
      </c>
      <c r="AA26" s="45">
        <v>150</v>
      </c>
      <c r="AB26" s="18" t="s">
        <v>116</v>
      </c>
      <c r="AC26" s="18" t="s">
        <v>66</v>
      </c>
      <c r="AD26" s="18">
        <v>3</v>
      </c>
      <c r="AE26" s="18" t="s">
        <v>103</v>
      </c>
      <c r="AH26" s="28" t="s">
        <v>75</v>
      </c>
      <c r="AI26" s="89" t="s">
        <v>81</v>
      </c>
      <c r="AJ26" s="90"/>
      <c r="AK26" s="91"/>
      <c r="AL26" s="43">
        <f>AJ27*AJ15</f>
        <v>95.8125</v>
      </c>
      <c r="AM26" s="28" t="s">
        <v>19</v>
      </c>
      <c r="AN26" s="12" t="s">
        <v>80</v>
      </c>
    </row>
    <row r="27" spans="1:41" x14ac:dyDescent="0.3">
      <c r="A27" s="80"/>
      <c r="B27" s="17" t="s">
        <v>15</v>
      </c>
      <c r="C27" s="45">
        <v>100</v>
      </c>
      <c r="D27" s="18" t="s">
        <v>117</v>
      </c>
      <c r="E27" s="86" t="s">
        <v>24</v>
      </c>
      <c r="F27" s="87"/>
      <c r="G27" s="88"/>
      <c r="I27" s="93"/>
      <c r="J27" s="19" t="s">
        <v>15</v>
      </c>
      <c r="K27" s="45">
        <v>150</v>
      </c>
      <c r="L27" s="20" t="s">
        <v>113</v>
      </c>
      <c r="M27" s="73" t="s">
        <v>41</v>
      </c>
      <c r="N27" s="66"/>
      <c r="O27" s="67"/>
      <c r="Q27" s="64"/>
      <c r="R27" s="21" t="s">
        <v>15</v>
      </c>
      <c r="S27" s="45">
        <v>250</v>
      </c>
      <c r="T27" s="22" t="s">
        <v>113</v>
      </c>
      <c r="U27" s="56" t="s">
        <v>41</v>
      </c>
      <c r="V27" s="57"/>
      <c r="W27" s="58"/>
      <c r="Y27" s="76"/>
      <c r="Z27" s="77"/>
      <c r="AA27" s="77"/>
      <c r="AB27" s="77"/>
      <c r="AC27" s="77"/>
      <c r="AD27" s="77"/>
      <c r="AE27" s="78"/>
      <c r="AG27" s="29"/>
      <c r="AH27" s="27"/>
      <c r="AI27" s="17" t="s">
        <v>59</v>
      </c>
      <c r="AJ27" s="32">
        <f>(0.35*15*5*365)/1000</f>
        <v>9.5812500000000007</v>
      </c>
      <c r="AK27" s="18" t="s">
        <v>19</v>
      </c>
      <c r="AL27" s="86" t="s">
        <v>83</v>
      </c>
      <c r="AM27" s="66"/>
      <c r="AN27" s="67"/>
    </row>
    <row r="28" spans="1:41" x14ac:dyDescent="0.3">
      <c r="A28" s="81"/>
      <c r="B28" s="17" t="s">
        <v>22</v>
      </c>
      <c r="C28" s="45">
        <v>400</v>
      </c>
      <c r="D28" s="18" t="s">
        <v>117</v>
      </c>
      <c r="E28" s="86" t="s">
        <v>24</v>
      </c>
      <c r="F28" s="87"/>
      <c r="G28" s="88"/>
      <c r="I28" s="72"/>
      <c r="J28" s="19" t="s">
        <v>22</v>
      </c>
      <c r="K28" s="45">
        <v>400</v>
      </c>
      <c r="L28" s="20" t="s">
        <v>118</v>
      </c>
      <c r="M28" s="73" t="s">
        <v>42</v>
      </c>
      <c r="N28" s="66"/>
      <c r="O28" s="67"/>
      <c r="Q28" s="63"/>
      <c r="R28" s="21" t="s">
        <v>22</v>
      </c>
      <c r="S28" s="45">
        <v>700</v>
      </c>
      <c r="T28" s="22" t="s">
        <v>118</v>
      </c>
      <c r="U28" s="56" t="s">
        <v>42</v>
      </c>
      <c r="V28" s="57"/>
      <c r="W28" s="58"/>
      <c r="Y28" s="28" t="s">
        <v>16</v>
      </c>
      <c r="Z28" s="89" t="s">
        <v>106</v>
      </c>
      <c r="AA28" s="90"/>
      <c r="AB28" s="91"/>
      <c r="AC28" s="28">
        <f>(AA29+AA30+AA31)*AA15</f>
        <v>1095</v>
      </c>
      <c r="AD28" s="28" t="s">
        <v>19</v>
      </c>
      <c r="AE28" s="12" t="s">
        <v>107</v>
      </c>
      <c r="AF28" s="29"/>
      <c r="AH28" s="85" t="s">
        <v>120</v>
      </c>
      <c r="AI28" s="77"/>
      <c r="AJ28" s="77"/>
      <c r="AK28" s="77"/>
      <c r="AL28" s="77"/>
      <c r="AM28" s="77"/>
      <c r="AN28" s="78"/>
      <c r="AO28" s="29"/>
    </row>
    <row r="29" spans="1:41" s="29" customFormat="1" x14ac:dyDescent="0.3">
      <c r="A29" s="76"/>
      <c r="B29" s="77"/>
      <c r="C29" s="77"/>
      <c r="D29" s="77"/>
      <c r="E29" s="77"/>
      <c r="F29" s="77"/>
      <c r="G29" s="78"/>
      <c r="I29" s="68"/>
      <c r="J29" s="69"/>
      <c r="K29" s="69"/>
      <c r="L29" s="69"/>
      <c r="M29" s="69"/>
      <c r="N29" s="69"/>
      <c r="O29" s="70"/>
      <c r="Q29" s="53"/>
      <c r="R29" s="54"/>
      <c r="S29" s="54"/>
      <c r="T29" s="54"/>
      <c r="U29" s="54"/>
      <c r="V29" s="54"/>
      <c r="W29" s="55"/>
      <c r="Y29" s="79"/>
      <c r="Z29" s="17" t="s">
        <v>70</v>
      </c>
      <c r="AA29" s="32">
        <f>(10*2*5*365)/1000</f>
        <v>36.5</v>
      </c>
      <c r="AB29" s="18" t="s">
        <v>19</v>
      </c>
      <c r="AC29" s="86" t="s">
        <v>72</v>
      </c>
      <c r="AD29" s="66"/>
      <c r="AE29" s="67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x14ac:dyDescent="0.3">
      <c r="A30" s="28" t="s">
        <v>16</v>
      </c>
      <c r="B30" s="89" t="s">
        <v>17</v>
      </c>
      <c r="C30" s="90"/>
      <c r="D30" s="91"/>
      <c r="E30" s="28">
        <f>C32*C7</f>
        <v>2920</v>
      </c>
      <c r="F30" s="28" t="s">
        <v>110</v>
      </c>
      <c r="G30" s="28" t="s">
        <v>14</v>
      </c>
      <c r="I30" s="30" t="s">
        <v>16</v>
      </c>
      <c r="J30" s="92" t="s">
        <v>17</v>
      </c>
      <c r="K30" s="66"/>
      <c r="L30" s="67"/>
      <c r="M30" s="30">
        <f>K32*K7</f>
        <v>4380</v>
      </c>
      <c r="N30" s="30" t="s">
        <v>110</v>
      </c>
      <c r="O30" s="30" t="s">
        <v>14</v>
      </c>
      <c r="Q30" s="31" t="s">
        <v>16</v>
      </c>
      <c r="R30" s="65" t="s">
        <v>17</v>
      </c>
      <c r="S30" s="66"/>
      <c r="T30" s="67"/>
      <c r="U30" s="31">
        <f>S32*S7</f>
        <v>17520</v>
      </c>
      <c r="V30" s="31" t="s">
        <v>110</v>
      </c>
      <c r="W30" s="31" t="s">
        <v>14</v>
      </c>
      <c r="Y30" s="81"/>
      <c r="Z30" s="17" t="s">
        <v>59</v>
      </c>
      <c r="AA30" s="32">
        <f>(6*5*365)/1000</f>
        <v>10.95</v>
      </c>
      <c r="AB30" s="18" t="s">
        <v>19</v>
      </c>
      <c r="AC30" s="86" t="s">
        <v>73</v>
      </c>
      <c r="AD30" s="66"/>
      <c r="AE30" s="67"/>
      <c r="AI30" s="29" t="s">
        <v>102</v>
      </c>
    </row>
    <row r="31" spans="1:41" x14ac:dyDescent="0.3">
      <c r="A31" s="79"/>
      <c r="B31" s="17" t="s">
        <v>27</v>
      </c>
      <c r="C31" s="32">
        <f>C10*C8*C9</f>
        <v>18250</v>
      </c>
      <c r="D31" s="18" t="s">
        <v>104</v>
      </c>
      <c r="E31" s="86" t="s">
        <v>38</v>
      </c>
      <c r="F31" s="66"/>
      <c r="G31" s="67"/>
      <c r="I31" s="71"/>
      <c r="J31" s="19" t="s">
        <v>27</v>
      </c>
      <c r="K31" s="33">
        <f>K10*K8*K9</f>
        <v>27375</v>
      </c>
      <c r="L31" s="20" t="s">
        <v>104</v>
      </c>
      <c r="M31" s="73" t="s">
        <v>38</v>
      </c>
      <c r="N31" s="74"/>
      <c r="O31" s="75"/>
      <c r="Q31" s="62"/>
      <c r="R31" s="21" t="s">
        <v>27</v>
      </c>
      <c r="S31" s="34">
        <f>S10*S8*S9</f>
        <v>109500</v>
      </c>
      <c r="T31" s="22" t="s">
        <v>104</v>
      </c>
      <c r="U31" s="56" t="s">
        <v>38</v>
      </c>
      <c r="V31" s="57"/>
      <c r="W31" s="58"/>
      <c r="Y31" s="44"/>
      <c r="Z31" s="17" t="s">
        <v>60</v>
      </c>
      <c r="AA31" s="32">
        <f>70*365/1000</f>
        <v>25.55</v>
      </c>
      <c r="AB31" s="18" t="s">
        <v>19</v>
      </c>
      <c r="AC31" s="86" t="s">
        <v>71</v>
      </c>
      <c r="AD31" s="66"/>
      <c r="AE31" s="67"/>
    </row>
    <row r="32" spans="1:41" x14ac:dyDescent="0.3">
      <c r="A32" s="81"/>
      <c r="B32" s="17" t="s">
        <v>36</v>
      </c>
      <c r="C32" s="18">
        <f>C31*C12</f>
        <v>146</v>
      </c>
      <c r="D32" s="18" t="s">
        <v>110</v>
      </c>
      <c r="E32" s="86" t="s">
        <v>38</v>
      </c>
      <c r="F32" s="66"/>
      <c r="G32" s="67"/>
      <c r="I32" s="72"/>
      <c r="J32" s="19" t="s">
        <v>36</v>
      </c>
      <c r="K32" s="33">
        <f>K31*K12</f>
        <v>219</v>
      </c>
      <c r="L32" s="20" t="s">
        <v>110</v>
      </c>
      <c r="M32" s="73" t="s">
        <v>38</v>
      </c>
      <c r="N32" s="74"/>
      <c r="O32" s="75"/>
      <c r="Q32" s="63"/>
      <c r="R32" s="21" t="s">
        <v>36</v>
      </c>
      <c r="S32" s="22">
        <f>S31*S12</f>
        <v>876</v>
      </c>
      <c r="T32" s="22" t="s">
        <v>110</v>
      </c>
      <c r="U32" s="56" t="s">
        <v>38</v>
      </c>
      <c r="V32" s="57"/>
      <c r="W32" s="58"/>
      <c r="Y32" s="76"/>
      <c r="Z32" s="77"/>
      <c r="AA32" s="77"/>
      <c r="AB32" s="77"/>
      <c r="AC32" s="77"/>
      <c r="AD32" s="77"/>
      <c r="AE32" s="78"/>
    </row>
    <row r="33" spans="1:31" ht="14.55" x14ac:dyDescent="0.35">
      <c r="A33" s="85" t="s">
        <v>120</v>
      </c>
      <c r="B33" s="77"/>
      <c r="C33" s="77"/>
      <c r="D33" s="77"/>
      <c r="E33" s="77"/>
      <c r="F33" s="77"/>
      <c r="G33" s="78"/>
      <c r="I33" s="68"/>
      <c r="J33" s="69"/>
      <c r="K33" s="69"/>
      <c r="L33" s="69"/>
      <c r="M33" s="69"/>
      <c r="N33" s="69"/>
      <c r="O33" s="70"/>
      <c r="Q33" s="53"/>
      <c r="R33" s="54"/>
      <c r="S33" s="54"/>
      <c r="T33" s="54"/>
      <c r="U33" s="54"/>
      <c r="V33" s="54"/>
      <c r="W33" s="55"/>
      <c r="Y33" s="28" t="s">
        <v>75</v>
      </c>
      <c r="Z33" s="89" t="s">
        <v>74</v>
      </c>
      <c r="AA33" s="90"/>
      <c r="AB33" s="91"/>
      <c r="AC33" s="43">
        <f>AC28*0.7</f>
        <v>766.5</v>
      </c>
      <c r="AD33" s="28" t="s">
        <v>19</v>
      </c>
      <c r="AE33" s="12" t="s">
        <v>61</v>
      </c>
    </row>
    <row r="34" spans="1:31" ht="14.55" x14ac:dyDescent="0.35">
      <c r="Y34" s="128" t="s">
        <v>77</v>
      </c>
      <c r="Z34" s="129"/>
      <c r="AA34" s="129"/>
      <c r="AB34" s="129"/>
      <c r="AC34" s="129"/>
      <c r="AD34" s="129"/>
      <c r="AE34" s="130"/>
    </row>
    <row r="35" spans="1:31" x14ac:dyDescent="0.3">
      <c r="B35" s="29" t="s">
        <v>102</v>
      </c>
      <c r="J35" s="29" t="s">
        <v>102</v>
      </c>
      <c r="R35" s="29" t="s">
        <v>102</v>
      </c>
      <c r="Y35" s="85" t="s">
        <v>120</v>
      </c>
      <c r="Z35" s="77"/>
      <c r="AA35" s="77"/>
      <c r="AB35" s="77"/>
      <c r="AC35" s="77"/>
      <c r="AD35" s="77"/>
      <c r="AE35" s="78"/>
    </row>
    <row r="37" spans="1:31" x14ac:dyDescent="0.3">
      <c r="B37" s="5" t="s">
        <v>105</v>
      </c>
      <c r="C37" s="137" t="s">
        <v>119</v>
      </c>
      <c r="D37" s="137"/>
      <c r="E37" s="137"/>
      <c r="F37" s="137"/>
      <c r="G37" s="137"/>
      <c r="Z37" s="29" t="s">
        <v>102</v>
      </c>
    </row>
    <row r="38" spans="1:31" x14ac:dyDescent="0.3">
      <c r="B38" s="52" t="s">
        <v>122</v>
      </c>
      <c r="C38" s="52"/>
      <c r="D38" s="52"/>
      <c r="E38" s="52"/>
      <c r="F38" s="52"/>
      <c r="G38" s="52"/>
    </row>
    <row r="39" spans="1:31" x14ac:dyDescent="0.3">
      <c r="C39" s="137"/>
      <c r="D39" s="137"/>
      <c r="E39" s="137"/>
      <c r="F39" s="137"/>
      <c r="G39" s="137"/>
    </row>
    <row r="40" spans="1:31" x14ac:dyDescent="0.3">
      <c r="B40" s="52" t="s">
        <v>123</v>
      </c>
      <c r="C40" s="52"/>
      <c r="D40" s="52"/>
      <c r="E40" s="52"/>
      <c r="F40" s="52"/>
      <c r="G40" s="52"/>
    </row>
    <row r="42" spans="1:31" x14ac:dyDescent="0.3">
      <c r="B42" s="52" t="s">
        <v>124</v>
      </c>
      <c r="C42" s="52"/>
      <c r="D42" s="52"/>
      <c r="E42" s="52"/>
      <c r="F42" s="52"/>
      <c r="G42" s="52"/>
    </row>
  </sheetData>
  <mergeCells count="187">
    <mergeCell ref="B38:G38"/>
    <mergeCell ref="C37:G37"/>
    <mergeCell ref="C39:G39"/>
    <mergeCell ref="AN3:AN6"/>
    <mergeCell ref="A6:D6"/>
    <mergeCell ref="E6:G6"/>
    <mergeCell ref="I6:L6"/>
    <mergeCell ref="M6:O6"/>
    <mergeCell ref="Q6:T6"/>
    <mergeCell ref="U6:W6"/>
    <mergeCell ref="AI26:AK26"/>
    <mergeCell ref="I13:O13"/>
    <mergeCell ref="U12:W12"/>
    <mergeCell ref="U9:W9"/>
    <mergeCell ref="U10:W10"/>
    <mergeCell ref="U11:W11"/>
    <mergeCell ref="A5:D5"/>
    <mergeCell ref="I5:L5"/>
    <mergeCell ref="Q5:T5"/>
    <mergeCell ref="A15:A18"/>
    <mergeCell ref="E17:G17"/>
    <mergeCell ref="E18:G18"/>
    <mergeCell ref="E16:G16"/>
    <mergeCell ref="E15:G15"/>
    <mergeCell ref="A19:G19"/>
    <mergeCell ref="B20:D20"/>
    <mergeCell ref="AL21:AN21"/>
    <mergeCell ref="AH22:AN22"/>
    <mergeCell ref="AI23:AK23"/>
    <mergeCell ref="AL24:AN24"/>
    <mergeCell ref="AL9:AN9"/>
    <mergeCell ref="AL10:AN10"/>
    <mergeCell ref="AL11:AN11"/>
    <mergeCell ref="AH12:AN12"/>
    <mergeCell ref="AI13:AK13"/>
    <mergeCell ref="AL14:AN14"/>
    <mergeCell ref="AL15:AN15"/>
    <mergeCell ref="AL16:AN16"/>
    <mergeCell ref="AH17:AN17"/>
    <mergeCell ref="AI18:AK18"/>
    <mergeCell ref="AH19:AN19"/>
    <mergeCell ref="AI20:AK20"/>
    <mergeCell ref="U16:W16"/>
    <mergeCell ref="U15:W15"/>
    <mergeCell ref="AH1:AN1"/>
    <mergeCell ref="AH2:AN2"/>
    <mergeCell ref="AH3:AK3"/>
    <mergeCell ref="AH4:AK4"/>
    <mergeCell ref="AH5:AK5"/>
    <mergeCell ref="AH6:AK6"/>
    <mergeCell ref="AL7:AN7"/>
    <mergeCell ref="AL8:AN8"/>
    <mergeCell ref="Y35:AE35"/>
    <mergeCell ref="Y34:AE34"/>
    <mergeCell ref="Y27:AE27"/>
    <mergeCell ref="Z28:AB28"/>
    <mergeCell ref="Y29:Y30"/>
    <mergeCell ref="AC29:AE29"/>
    <mergeCell ref="AC30:AE30"/>
    <mergeCell ref="Y1:AE1"/>
    <mergeCell ref="Y2:AE2"/>
    <mergeCell ref="Y3:AB3"/>
    <mergeCell ref="Y4:AB4"/>
    <mergeCell ref="Y5:AB5"/>
    <mergeCell ref="AC9:AE9"/>
    <mergeCell ref="AL27:AN27"/>
    <mergeCell ref="AH28:AN28"/>
    <mergeCell ref="AH25:AN25"/>
    <mergeCell ref="Y6:AB6"/>
    <mergeCell ref="AC31:AE31"/>
    <mergeCell ref="Z33:AB33"/>
    <mergeCell ref="Y17:AE17"/>
    <mergeCell ref="Z18:AB18"/>
    <mergeCell ref="Y19:Y21"/>
    <mergeCell ref="AC19:AE19"/>
    <mergeCell ref="AC20:AE20"/>
    <mergeCell ref="AC21:AE21"/>
    <mergeCell ref="Y22:AE22"/>
    <mergeCell ref="Z23:AB23"/>
    <mergeCell ref="Y24:Y26"/>
    <mergeCell ref="AC10:AE10"/>
    <mergeCell ref="AC11:AE11"/>
    <mergeCell ref="Y12:AE12"/>
    <mergeCell ref="Z13:AB13"/>
    <mergeCell ref="AC14:AE14"/>
    <mergeCell ref="AC15:AE15"/>
    <mergeCell ref="AC16:AE16"/>
    <mergeCell ref="Y32:AE32"/>
    <mergeCell ref="AC7:AE7"/>
    <mergeCell ref="AC8:AE8"/>
    <mergeCell ref="AE3:AE6"/>
    <mergeCell ref="A1:G1"/>
    <mergeCell ref="I1:O1"/>
    <mergeCell ref="Q1:W1"/>
    <mergeCell ref="I2:O2"/>
    <mergeCell ref="A4:D4"/>
    <mergeCell ref="I4:L4"/>
    <mergeCell ref="Q4:T4"/>
    <mergeCell ref="A2:G2"/>
    <mergeCell ref="Q2:W2"/>
    <mergeCell ref="A3:D3"/>
    <mergeCell ref="G3:G5"/>
    <mergeCell ref="I3:L3"/>
    <mergeCell ref="O3:O5"/>
    <mergeCell ref="Q3:T3"/>
    <mergeCell ref="W3:W5"/>
    <mergeCell ref="M7:O7"/>
    <mergeCell ref="M8:O8"/>
    <mergeCell ref="M9:O9"/>
    <mergeCell ref="M10:O10"/>
    <mergeCell ref="M11:O11"/>
    <mergeCell ref="M12:O12"/>
    <mergeCell ref="B14:D14"/>
    <mergeCell ref="J14:L14"/>
    <mergeCell ref="U7:W7"/>
    <mergeCell ref="U8:W8"/>
    <mergeCell ref="A13:G13"/>
    <mergeCell ref="R14:T14"/>
    <mergeCell ref="E10:G10"/>
    <mergeCell ref="Q13:W13"/>
    <mergeCell ref="E7:G7"/>
    <mergeCell ref="E8:G8"/>
    <mergeCell ref="E9:G9"/>
    <mergeCell ref="E11:G11"/>
    <mergeCell ref="E12:G12"/>
    <mergeCell ref="M17:O17"/>
    <mergeCell ref="J20:L20"/>
    <mergeCell ref="R20:T20"/>
    <mergeCell ref="I15:I18"/>
    <mergeCell ref="M15:O15"/>
    <mergeCell ref="M23:O23"/>
    <mergeCell ref="I19:O19"/>
    <mergeCell ref="Q19:W19"/>
    <mergeCell ref="Q15:Q18"/>
    <mergeCell ref="M22:O22"/>
    <mergeCell ref="M18:O18"/>
    <mergeCell ref="U18:W18"/>
    <mergeCell ref="U17:W17"/>
    <mergeCell ref="M16:O16"/>
    <mergeCell ref="I29:O29"/>
    <mergeCell ref="J30:L30"/>
    <mergeCell ref="M28:O28"/>
    <mergeCell ref="I21:I23"/>
    <mergeCell ref="M21:O21"/>
    <mergeCell ref="M32:O32"/>
    <mergeCell ref="J25:L25"/>
    <mergeCell ref="I26:I28"/>
    <mergeCell ref="M26:O26"/>
    <mergeCell ref="M27:O27"/>
    <mergeCell ref="I24:O24"/>
    <mergeCell ref="E21:G21"/>
    <mergeCell ref="A33:G33"/>
    <mergeCell ref="A31:A32"/>
    <mergeCell ref="E31:G31"/>
    <mergeCell ref="E32:G32"/>
    <mergeCell ref="E26:G26"/>
    <mergeCell ref="E27:G27"/>
    <mergeCell ref="E28:G28"/>
    <mergeCell ref="A26:A28"/>
    <mergeCell ref="B25:D25"/>
    <mergeCell ref="B30:D30"/>
    <mergeCell ref="E22:G22"/>
    <mergeCell ref="E23:G23"/>
    <mergeCell ref="B40:G40"/>
    <mergeCell ref="B42:G42"/>
    <mergeCell ref="Q33:W33"/>
    <mergeCell ref="U26:W26"/>
    <mergeCell ref="U27:W27"/>
    <mergeCell ref="U28:W28"/>
    <mergeCell ref="U21:W21"/>
    <mergeCell ref="U22:W22"/>
    <mergeCell ref="U23:W23"/>
    <mergeCell ref="Q31:Q32"/>
    <mergeCell ref="U31:W31"/>
    <mergeCell ref="U32:W32"/>
    <mergeCell ref="Q26:Q28"/>
    <mergeCell ref="R30:T30"/>
    <mergeCell ref="R25:T25"/>
    <mergeCell ref="Q29:W29"/>
    <mergeCell ref="Q21:Q23"/>
    <mergeCell ref="Q24:W24"/>
    <mergeCell ref="I33:O33"/>
    <mergeCell ref="I31:I32"/>
    <mergeCell ref="M31:O31"/>
    <mergeCell ref="A24:G24"/>
    <mergeCell ref="A29:G29"/>
    <mergeCell ref="A21:A2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six sigma</vt:lpstr>
      <vt:lpstr>comparison - display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2020-04-30T15:59:49Z</dcterms:created>
  <dcterms:modified xsi:type="dcterms:W3CDTF">2021-02-25T12:58:45Z</dcterms:modified>
</cp:coreProperties>
</file>