
<file path=[Content_Types].xml><?xml version="1.0" encoding="utf-8"?>
<Types xmlns="http://schemas.openxmlformats.org/package/2006/content-type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defaultThemeVersion="202300"/>
  <mc:AlternateContent xmlns:mc="http://schemas.openxmlformats.org/markup-compatibility/2006">
    <mc:Choice Requires="x15">
      <x15ac:absPath xmlns:x15ac="http://schemas.microsoft.com/office/spreadsheetml/2010/11/ac" url="/Users/mikebrownson/Desktop/ERCES Trainer shareables/"/>
    </mc:Choice>
  </mc:AlternateContent>
  <xr:revisionPtr revIDLastSave="0" documentId="13_ncr:1_{5994B5B3-A754-054C-8375-0416EC094E72}" xr6:coauthVersionLast="47" xr6:coauthVersionMax="47" xr10:uidLastSave="{00000000-0000-0000-0000-000000000000}"/>
  <bookViews>
    <workbookView xWindow="0" yWindow="760" windowWidth="29400" windowHeight="18360" xr2:uid="{99E73B78-FE05-BC4A-8569-A7CDE4B5CFC0}"/>
  </bookViews>
  <sheets>
    <sheet name="Introduction" sheetId="5" r:id="rId1"/>
    <sheet name="Link Budgets" sheetId="1" r:id="rId2"/>
    <sheet name="BDA Gain Calculator" sheetId="2" r:id="rId3"/>
    <sheet name="Noise Power Link Budget" sheetId="4" r:id="rId4"/>
    <sheet name="Frequency Bands" sheetId="6" r:id="rId5"/>
    <sheet name="RF Calculations" sheetId="3" r:id="rId6"/>
  </sheets>
  <definedNames>
    <definedName name="ALat">'RF Calculations'!$F$110</definedName>
    <definedName name="ALon">'RF Calculations'!$F$111</definedName>
    <definedName name="AtoB">'RF Calculations'!$J$120</definedName>
    <definedName name="BLat">'RF Calculations'!$F$112</definedName>
    <definedName name="BLon">'RF Calculations'!$F$113</definedName>
    <definedName name="BtoA">'RF Calculations'!$J$122</definedName>
    <definedName name="DLat">'RF Calculations'!$J$118</definedName>
    <definedName name="DLon">'RF Calculations'!$J$119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2" l="1"/>
  <c r="C58" i="2"/>
  <c r="C15" i="1"/>
  <c r="C14" i="1"/>
  <c r="C25" i="2"/>
  <c r="C11" i="4"/>
  <c r="B12" i="4" s="1"/>
  <c r="C197" i="3"/>
  <c r="C195" i="3"/>
  <c r="C196" i="3" s="1"/>
  <c r="C194" i="3"/>
  <c r="C190" i="3"/>
  <c r="C189" i="3"/>
  <c r="C184" i="3"/>
  <c r="C185" i="3" s="1"/>
  <c r="C179" i="3"/>
  <c r="C180" i="3" s="1"/>
  <c r="E172" i="3"/>
  <c r="E173" i="3" s="1"/>
  <c r="E164" i="3"/>
  <c r="E165" i="3" s="1"/>
  <c r="E162" i="3"/>
  <c r="E163" i="3" s="1"/>
  <c r="E155" i="3"/>
  <c r="E154" i="3"/>
  <c r="E148" i="3"/>
  <c r="E147" i="3"/>
  <c r="E145" i="3"/>
  <c r="E146" i="3" s="1"/>
  <c r="F137" i="3"/>
  <c r="F136" i="3"/>
  <c r="F135" i="3"/>
  <c r="F134" i="3"/>
  <c r="F133" i="3"/>
  <c r="F132" i="3"/>
  <c r="F131" i="3"/>
  <c r="F130" i="3"/>
  <c r="F129" i="3"/>
  <c r="C124" i="3"/>
  <c r="F113" i="3"/>
  <c r="F112" i="3"/>
  <c r="F111" i="3"/>
  <c r="F110" i="3"/>
  <c r="C105" i="3"/>
  <c r="C106" i="3" s="1"/>
  <c r="H104" i="3"/>
  <c r="D106" i="3" s="1"/>
  <c r="D99" i="3"/>
  <c r="C99" i="3"/>
  <c r="C94" i="3"/>
  <c r="D93" i="3"/>
  <c r="E93" i="3" s="1"/>
  <c r="C93" i="3"/>
  <c r="H80" i="3"/>
  <c r="B81" i="3" s="1"/>
  <c r="C80" i="3" s="1"/>
  <c r="H79" i="3"/>
  <c r="C79" i="3"/>
  <c r="C86" i="3" s="1"/>
  <c r="H78" i="3"/>
  <c r="C78" i="3" s="1"/>
  <c r="C77" i="3"/>
  <c r="I84" i="3" s="1"/>
  <c r="C70" i="3"/>
  <c r="C66" i="3"/>
  <c r="C59" i="3"/>
  <c r="D52" i="3"/>
  <c r="D51" i="3"/>
  <c r="C45" i="3"/>
  <c r="C44" i="3"/>
  <c r="C38" i="3"/>
  <c r="C39" i="3" s="1"/>
  <c r="C33" i="3"/>
  <c r="C29" i="3"/>
  <c r="C25" i="3"/>
  <c r="C20" i="3"/>
  <c r="C21" i="3" s="1"/>
  <c r="C16" i="3"/>
  <c r="C15" i="3"/>
  <c r="C11" i="3"/>
  <c r="C41" i="2"/>
  <c r="C27" i="2"/>
  <c r="C44" i="2" s="1"/>
  <c r="C11" i="2"/>
  <c r="C12" i="2" s="1"/>
  <c r="I11" i="1"/>
  <c r="G20" i="1" s="1"/>
  <c r="C20" i="1" s="1"/>
  <c r="H11" i="1"/>
  <c r="G11" i="1" s="1"/>
  <c r="C11" i="1" s="1"/>
  <c r="C7" i="1"/>
  <c r="C7" i="2"/>
  <c r="C9" i="2" s="1"/>
  <c r="C59" i="2" s="1"/>
  <c r="C42" i="2" l="1"/>
  <c r="C43" i="2"/>
  <c r="C45" i="2" s="1"/>
  <c r="C28" i="2"/>
  <c r="C6" i="4"/>
  <c r="C8" i="4" s="1"/>
  <c r="B9" i="4" s="1"/>
  <c r="F138" i="3"/>
  <c r="D138" i="3" s="1"/>
  <c r="D105" i="3"/>
  <c r="H105" i="3" s="1"/>
  <c r="E105" i="3" s="1"/>
  <c r="C100" i="3"/>
  <c r="I87" i="3"/>
  <c r="C87" i="3"/>
  <c r="E87" i="3" s="1"/>
  <c r="C85" i="3"/>
  <c r="I85" i="3"/>
  <c r="E85" i="3" s="1"/>
  <c r="I86" i="3"/>
  <c r="E86" i="3" s="1"/>
  <c r="J115" i="3"/>
  <c r="E156" i="3"/>
  <c r="E157" i="3" s="1"/>
  <c r="C12" i="1"/>
  <c r="C21" i="1" s="1"/>
  <c r="C22" i="1" s="1"/>
  <c r="C51" i="2" l="1"/>
  <c r="C53" i="2" s="1"/>
  <c r="J117" i="3"/>
  <c r="J119" i="3" s="1"/>
  <c r="J116" i="3"/>
  <c r="J118" i="3" s="1"/>
  <c r="C114" i="3" l="1"/>
  <c r="J122" i="3"/>
  <c r="C116" i="3" l="1"/>
  <c r="J120" i="3"/>
  <c r="C11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 Brownson</author>
  </authors>
  <commentList>
    <comment ref="F112" authorId="0" shapeId="0" xr:uid="{E9E0B68D-02E0-214A-8EBA-84BCE62CDF59}">
      <text>
        <r>
          <rPr>
            <b/>
            <sz val="9"/>
            <color indexed="81"/>
            <rFont val="Tahoma"/>
            <family val="2"/>
          </rPr>
          <t>Mike Brownson:</t>
        </r>
        <r>
          <rPr>
            <sz val="9"/>
            <color indexed="81"/>
            <rFont val="Tahoma"/>
            <family val="2"/>
          </rPr>
          <t xml:space="preserve">
Formaulas hidden here</t>
        </r>
      </text>
    </comment>
    <comment ref="J115" authorId="0" shapeId="0" xr:uid="{42FA6B85-2E8B-0D42-BC2A-FD662259ED33}">
      <text>
        <r>
          <rPr>
            <b/>
            <sz val="9"/>
            <color indexed="81"/>
            <rFont val="Tahoma"/>
            <family val="2"/>
          </rPr>
          <t>Mike Brownson:</t>
        </r>
        <r>
          <rPr>
            <sz val="9"/>
            <color indexed="81"/>
            <rFont val="Tahoma"/>
            <family val="2"/>
          </rPr>
          <t xml:space="preserve">
Formula hidden here
</t>
        </r>
      </text>
    </comment>
  </commentList>
</comments>
</file>

<file path=xl/sharedStrings.xml><?xml version="1.0" encoding="utf-8"?>
<sst xmlns="http://schemas.openxmlformats.org/spreadsheetml/2006/main" count="553" uniqueCount="331">
  <si>
    <t>Downlink Link Budget</t>
  </si>
  <si>
    <t>Donor Site ERP</t>
  </si>
  <si>
    <t>Watts</t>
  </si>
  <si>
    <t>Distance to donor site</t>
  </si>
  <si>
    <t>Miles</t>
  </si>
  <si>
    <t>Frequency Band</t>
  </si>
  <si>
    <t>VHF</t>
  </si>
  <si>
    <t>UHF</t>
  </si>
  <si>
    <t>800 Band</t>
  </si>
  <si>
    <t>700 Band</t>
  </si>
  <si>
    <t>MHz</t>
  </si>
  <si>
    <t>Calculated Free Space Path Loss</t>
  </si>
  <si>
    <t>dB</t>
  </si>
  <si>
    <t>Actual Downlink Power Measured</t>
  </si>
  <si>
    <t>dBm</t>
  </si>
  <si>
    <t>Calculated Power at Donor Antenna</t>
  </si>
  <si>
    <t>Just for reference to compare against actual</t>
  </si>
  <si>
    <t>Enter distance to donor site in miles</t>
  </si>
  <si>
    <t>Converted to dBm</t>
  </si>
  <si>
    <t>Select frequency band</t>
  </si>
  <si>
    <t>Based on unobstructed RF path</t>
  </si>
  <si>
    <t>Actual Path Obstructions</t>
  </si>
  <si>
    <t>This is the additional obstructions to the RF path</t>
  </si>
  <si>
    <t>Enter actual donor measurement from roof using 0dB spike antenna</t>
  </si>
  <si>
    <t>Donor ERP Converted to dBm</t>
  </si>
  <si>
    <t>Link Budget Calculator</t>
  </si>
  <si>
    <t>Uplink Link Budget</t>
  </si>
  <si>
    <t>Donor Site Antenna System Gain</t>
  </si>
  <si>
    <t>Path Obstructions</t>
  </si>
  <si>
    <t>Calculated UL Path Loss</t>
  </si>
  <si>
    <t>Based on unobstructed UL RF path</t>
  </si>
  <si>
    <t>Path Obstruction from DL measurement</t>
  </si>
  <si>
    <t>Actual UL path loss</t>
  </si>
  <si>
    <t>Enter Effective Radiated Power (EPR) of Donor Site</t>
  </si>
  <si>
    <t>Enter Effective Radiated Power (ERP) of Donor Site</t>
  </si>
  <si>
    <t>Measure channel power at the end of donor coax where BDA will connect</t>
  </si>
  <si>
    <t>Total Path loss including donor antenna system</t>
  </si>
  <si>
    <t>Total Number of Channels</t>
  </si>
  <si>
    <t>Enter total number of channels in radio network</t>
  </si>
  <si>
    <t>Composite Power Adjustment</t>
  </si>
  <si>
    <t>Composite Maximum Input Power</t>
  </si>
  <si>
    <t>Channel Power Measured at BDA Donor Port</t>
  </si>
  <si>
    <t>In-Building Path Loss Measurements</t>
  </si>
  <si>
    <t>This section is to measure total path loss between the donor site and the input of  the BDA</t>
  </si>
  <si>
    <t>Enter power level of test signal generator</t>
  </si>
  <si>
    <t>Enter power measured from 8 ft from strongest antenna</t>
  </si>
  <si>
    <t>Near Antenna Power Measurement</t>
  </si>
  <si>
    <t>Far Antenna Power Measurement</t>
  </si>
  <si>
    <t>Path Loss to Near User</t>
  </si>
  <si>
    <t>Path Loss to Far User</t>
  </si>
  <si>
    <t>Suggested BDA Gain Adjustments</t>
  </si>
  <si>
    <t>Enter minimum in-building signal level target</t>
  </si>
  <si>
    <t>Transmit Power of AHJ Portables</t>
  </si>
  <si>
    <t>Maximum UL power allowed</t>
  </si>
  <si>
    <t>Maximum BDA UL Power</t>
  </si>
  <si>
    <t>If greater than Max BDA UL Power, no adjustment is necessary</t>
  </si>
  <si>
    <t>V 8.7</t>
  </si>
  <si>
    <t>Complements of Jack Daniel Co</t>
  </si>
  <si>
    <t>© 2002 Jack Daniel. All Rights Reserved. Do Not Remove this notice.</t>
  </si>
  <si>
    <t>Notice: No Charge, No Warranty, No Guarantee, No Exceptions!</t>
  </si>
  <si>
    <t>General Use Section (See Signal Booster section below)</t>
  </si>
  <si>
    <t>1. Find Free Space (clear line of sight) Path Loss</t>
  </si>
  <si>
    <t>Enter</t>
  </si>
  <si>
    <t>miles, Path length</t>
  </si>
  <si>
    <t>Answer</t>
  </si>
  <si>
    <t>dB, Path Loss</t>
  </si>
  <si>
    <t>2. Convert watts to dBm and dBW</t>
  </si>
  <si>
    <t>watt</t>
  </si>
  <si>
    <t>dBW</t>
  </si>
  <si>
    <t>3. Convert dBm to watts and milliwatts</t>
  </si>
  <si>
    <t>watts</t>
  </si>
  <si>
    <t xml:space="preserve">Answer </t>
  </si>
  <si>
    <t>milliwatts</t>
  </si>
  <si>
    <t>4. Convert uV to dBm (50 ohm impedance)</t>
  </si>
  <si>
    <t>uV</t>
  </si>
  <si>
    <t>5. Convert dBm to uV (50 ohm impedance)</t>
  </si>
  <si>
    <t>6. Convert dBW to uV (50 ohm impedance)</t>
  </si>
  <si>
    <t>7. Convert dBu and Freq. to dBm and uV</t>
  </si>
  <si>
    <t xml:space="preserve">Enter </t>
  </si>
  <si>
    <t>dBu</t>
  </si>
  <si>
    <t xml:space="preserve">8. Convert dBm and Freq. to Field Strength in dBu and mV/meter (relative to a dipole) </t>
  </si>
  <si>
    <t>dBu (dB above 1 uV/meter)</t>
  </si>
  <si>
    <t>mV/meter</t>
  </si>
  <si>
    <t>9. Calculate Return Loss and VSWR from Power out and Power reflected</t>
  </si>
  <si>
    <t>Use the same base (w or mW) in both power level entries</t>
  </si>
  <si>
    <t>Enter Power Forward</t>
  </si>
  <si>
    <t>w or mw</t>
  </si>
  <si>
    <t>Enter Power Reflected</t>
  </si>
  <si>
    <t>Return Loss =</t>
  </si>
  <si>
    <t>dBRL</t>
  </si>
  <si>
    <t>VSWR =</t>
  </si>
  <si>
    <t>:1 ratio</t>
  </si>
  <si>
    <t>10. Calculate Vertical Ant to Ant Isolation (Based on Dipoles)</t>
  </si>
  <si>
    <t>dB: Top antenna gain toward bottom antenna</t>
  </si>
  <si>
    <t>dB: Bottom antenna gain toward top antenna</t>
  </si>
  <si>
    <t>feet (Vertical separation)</t>
  </si>
  <si>
    <t>dB Isolation</t>
  </si>
  <si>
    <t>11. Calculate Horizontal Ant to Ant Isolation (Based on Dipoles)</t>
  </si>
  <si>
    <t>dB: Left antenna gain toward Right antenna</t>
  </si>
  <si>
    <t>dB: Right antenna gain toward Left antenna</t>
  </si>
  <si>
    <t>feet (Horizontal separation)</t>
  </si>
  <si>
    <t>12. Calculate distance to horizon (smooth earth)</t>
  </si>
  <si>
    <t>feet, antenna height</t>
  </si>
  <si>
    <t>miles</t>
  </si>
  <si>
    <t xml:space="preserve">13. Calculate Radio Horizon, Center of Vertical Beam horizon and </t>
  </si>
  <si>
    <t xml:space="preserve">      3 dB point beam horizons. Allows Beam Downtilt.  FLAT EARTH!</t>
  </si>
  <si>
    <t>feet, Antenna Ht. HAAT</t>
  </si>
  <si>
    <t>degrees; Vertical -3 dB beamwidth</t>
  </si>
  <si>
    <t>degrees; Downtilt below horizon</t>
  </si>
  <si>
    <t>mi.: Radio Horizon</t>
  </si>
  <si>
    <t>mi.: Lower 3 dB beamwidth horizon</t>
  </si>
  <si>
    <t>mi.: Center of beamwidth horizon</t>
  </si>
  <si>
    <t>mi.: Upper 3 dB beamwidth horizon</t>
  </si>
  <si>
    <t>14. Calculate unobstructed signal levels using data from calculations above</t>
  </si>
  <si>
    <t>MHz, center frequency</t>
  </si>
  <si>
    <t>dBm: ERP at antenna</t>
  </si>
  <si>
    <t>Level at</t>
  </si>
  <si>
    <t>miles =</t>
  </si>
  <si>
    <t>dBm, worse case</t>
  </si>
  <si>
    <t>15. Convert Degree-Minute.decimal coordinate format to other formats</t>
  </si>
  <si>
    <t xml:space="preserve">  (Note: If you enter an incorrect value you will get an incorrect answer)</t>
  </si>
  <si>
    <t>Degrees</t>
  </si>
  <si>
    <t>Minutes</t>
  </si>
  <si>
    <t>Seconds</t>
  </si>
  <si>
    <t xml:space="preserve">   (dna)</t>
  </si>
  <si>
    <t>D/M</t>
  </si>
  <si>
    <t>D/M/S</t>
  </si>
  <si>
    <t>(dna)</t>
  </si>
  <si>
    <t>D</t>
  </si>
  <si>
    <t>16. Convert Degree-Minute-Second coordinate format to other formats</t>
  </si>
  <si>
    <t>17. Convert Degree.decimal coordinate format to other formats</t>
  </si>
  <si>
    <t>18. Distance between coordinates: FCC distance method: Valid up to ~250 miles</t>
  </si>
  <si>
    <t xml:space="preserve">     (DD = Degrees, MM = Minutes, SS = Seconds)</t>
  </si>
  <si>
    <t>Latitude</t>
  </si>
  <si>
    <t>Longitude</t>
  </si>
  <si>
    <t>Coord.s:</t>
  </si>
  <si>
    <t>DD</t>
  </si>
  <si>
    <t>MM</t>
  </si>
  <si>
    <t>SS</t>
  </si>
  <si>
    <t>DDD</t>
  </si>
  <si>
    <t>Site A</t>
  </si>
  <si>
    <t>Site B</t>
  </si>
  <si>
    <t>miles between Site A and Site B.</t>
  </si>
  <si>
    <t>degrees; Site A to Site B</t>
  </si>
  <si>
    <t>degrees; Site B to Site A</t>
  </si>
  <si>
    <t>Signal Booster Calculation Section</t>
  </si>
  <si>
    <t>A. Calculate Free Space Loss for distances in feet.</t>
  </si>
  <si>
    <t>NOT ACCURATE LESS THAN 20 FEET or 10 Wavelengths!</t>
  </si>
  <si>
    <t>Feet</t>
  </si>
  <si>
    <t>B. Calculate Composite Power of multiple carriers.</t>
  </si>
  <si>
    <t>(Enter -200 dBm for unused carrier entry)</t>
  </si>
  <si>
    <t>(For more than 4, Calculate 4 then use the answer as #1 input then enter others)</t>
  </si>
  <si>
    <t>Enter Carrier 1 level</t>
  </si>
  <si>
    <t>Enter Carrier 2 level</t>
  </si>
  <si>
    <t>Enter Carrier 3 level</t>
  </si>
  <si>
    <t>Enter Carrier 4 level</t>
  </si>
  <si>
    <t>Composite Power Level</t>
  </si>
  <si>
    <t>C. Calculate Amplifier Input/Output Noise levels using N.F. , BW and 3rd OIP</t>
  </si>
  <si>
    <t>Enter Noise Figure</t>
  </si>
  <si>
    <t>Enter BW in MHz</t>
  </si>
  <si>
    <t>Enter Amplifier gain</t>
  </si>
  <si>
    <t>Enter 3rd OIP</t>
  </si>
  <si>
    <t xml:space="preserve">dBm </t>
  </si>
  <si>
    <t>Input Noise "floor" =</t>
  </si>
  <si>
    <t>Output Noise for Entered BW     =</t>
  </si>
  <si>
    <t>Output Noise: 25 KHz window   =</t>
  </si>
  <si>
    <t>Output Noise:12.5 KHz window =</t>
  </si>
  <si>
    <t>D. Calculate 3rd order IM product in Class A RF Amps:</t>
  </si>
  <si>
    <t>Enter Amplifier Gain</t>
  </si>
  <si>
    <t>Enter 3rd Order Output IP</t>
  </si>
  <si>
    <t>Enter carrier input level</t>
  </si>
  <si>
    <t>Approx. 1 dB compression level</t>
  </si>
  <si>
    <t>dBm (at output)</t>
  </si>
  <si>
    <t>Carrier output level</t>
  </si>
  <si>
    <t>3rd IM output level</t>
  </si>
  <si>
    <t>3rd IM to carrier difference</t>
  </si>
  <si>
    <t>E. Calculate 2nd &amp; 3rd Order IM using 3rd OIP and Output level</t>
  </si>
  <si>
    <t>Enter 3rd OIP (Output Intercept Point)</t>
  </si>
  <si>
    <t>Enter Output Level</t>
  </si>
  <si>
    <t>2nd Order IM below Output</t>
  </si>
  <si>
    <t>2nd Order IM Output Level</t>
  </si>
  <si>
    <t>3rd Order IM below Output</t>
  </si>
  <si>
    <t>3rd Order IM Output level</t>
  </si>
  <si>
    <t>F. Calculate maximum Output power per carrier for multiple carriers.</t>
  </si>
  <si>
    <t>Note: Uses EIA PN2009 method: Based on equal input levels for all carriers AND</t>
  </si>
  <si>
    <t>IM's attenuated by at least 43 + 10 log(output power per carrier )</t>
  </si>
  <si>
    <t>Enter Number of input carriers</t>
  </si>
  <si>
    <t>carriers (minimum = 2)</t>
  </si>
  <si>
    <t>Output power per carrier</t>
  </si>
  <si>
    <t>Metric Conversions (For FCC forms, etc.)</t>
  </si>
  <si>
    <t>Convert Inches to Centimeters and meters</t>
  </si>
  <si>
    <t>inches</t>
  </si>
  <si>
    <t>cm</t>
  </si>
  <si>
    <t>meters</t>
  </si>
  <si>
    <t>Convert Feet to Meters/Kilometers</t>
  </si>
  <si>
    <t>feet</t>
  </si>
  <si>
    <t>kilometers</t>
  </si>
  <si>
    <t>Convert Miles to Meters and Kilometers</t>
  </si>
  <si>
    <t>Convert Meters to inches, feet, yards and miles</t>
  </si>
  <si>
    <t>yards (feet/3)</t>
  </si>
  <si>
    <t>RF Calculator spreadsheet program</t>
  </si>
  <si>
    <t>Enter Carrier 5 level</t>
  </si>
  <si>
    <t>Enter Carrier 6 level</t>
  </si>
  <si>
    <t>Enter Carrier 7 level</t>
  </si>
  <si>
    <t>Enter Carrier 8 level</t>
  </si>
  <si>
    <t>Enter Carrier 9 level</t>
  </si>
  <si>
    <t>Near User Power Adjustment for Class B BDAs or Class A Without Per Filter Power Sharing</t>
  </si>
  <si>
    <t>Enter maximum power allowed at donor site receiver</t>
  </si>
  <si>
    <t>BDA Gain Calculator</t>
  </si>
  <si>
    <t>Noise Power Link Budget</t>
  </si>
  <si>
    <t>Actual path loss from BDA Gain Calculator</t>
  </si>
  <si>
    <t>Thermal Noise at 10kHz Bandwidth</t>
  </si>
  <si>
    <t>Calculated Noise Power at Donor Site</t>
  </si>
  <si>
    <t>Gain of Donor Antenna System (Ant gain - coax loss)</t>
  </si>
  <si>
    <t>Radiated Noise Power</t>
  </si>
  <si>
    <t>BDA Noise Power Test Setup</t>
  </si>
  <si>
    <t>Noise Power Compliance Validation</t>
  </si>
  <si>
    <t>Diagram of UL Noise Power (KTB = Thermal background noise floor @ 10kHz BW)</t>
  </si>
  <si>
    <t>From BDA Gain Calculator Worksheet</t>
  </si>
  <si>
    <t>Must be 10 to 15dB below -134dBm to not cause noise rise at donor site</t>
  </si>
  <si>
    <t>If warning notification is displayed UL gain MUST be reduced until in compliance</t>
  </si>
  <si>
    <t>Enter gain of the donor antenna system, donor antenna gain minus coax loss</t>
  </si>
  <si>
    <r>
      <t xml:space="preserve">The </t>
    </r>
    <r>
      <rPr>
        <u/>
        <sz val="14"/>
        <color theme="1"/>
        <rFont val="Aptos Narrow (Body)"/>
      </rPr>
      <t>Link Budget</t>
    </r>
    <r>
      <rPr>
        <sz val="14"/>
        <color theme="1"/>
        <rFont val="Aptos Narrow"/>
        <family val="2"/>
        <scheme val="minor"/>
      </rPr>
      <t xml:space="preserve"> worksheet calculates free space loss for UL and DL bands and also allows the installer to enter actual rooftop measurements to see the impact of clutter losses in the donor path.  The actual rooftop measurement should be made with a calibrated instrument using a spike unity gain antenna.</t>
    </r>
  </si>
  <si>
    <t>Near-Far Delta</t>
  </si>
  <si>
    <t>Signal Generator Power Level</t>
  </si>
  <si>
    <t>This is the difference between the near user and the far user **</t>
  </si>
  <si>
    <t>If less than 60dB consider adding attenuator to service antenna system*</t>
  </si>
  <si>
    <t>* Note, indoor antenna systems with less than 20dB of loss between each antenna and the BDA may cause the BDA to engage the macro UL AGC circuit causing a near-far performance issue.</t>
  </si>
  <si>
    <t>The BDA Gain Calculator is optimized for 700/800MHz band systems.  Other frequency bands may operate differently due to lower indoor RF path losses and therefore BDA design.</t>
  </si>
  <si>
    <t>This worksheet is intended as an installation aid for ERCES/ERRCS installers.  There are no guarantees that this worksheet will solve all BDA issues and is intended as a commissioning aid for basic gain and noise power adjustments.</t>
  </si>
  <si>
    <r>
      <t xml:space="preserve">The </t>
    </r>
    <r>
      <rPr>
        <u/>
        <sz val="14"/>
        <color theme="1"/>
        <rFont val="Aptos Narrow (Body)"/>
      </rPr>
      <t>BDA Gain Calculator</t>
    </r>
    <r>
      <rPr>
        <sz val="14"/>
        <color theme="1"/>
        <rFont val="Aptos Narrow"/>
        <family val="2"/>
        <scheme val="minor"/>
      </rPr>
      <t xml:space="preserve"> provides a starting point to calculate the minimum amount of gain needed to meet RF signal levels that will provide a reliable DAQ on both UL and DL paths.  Further testing may be required to verify DAQ performance.</t>
    </r>
  </si>
  <si>
    <r>
      <t xml:space="preserve">The </t>
    </r>
    <r>
      <rPr>
        <u/>
        <sz val="14"/>
        <color theme="1"/>
        <rFont val="Aptos Narrow (Body)"/>
      </rPr>
      <t>Noise Power Link Budget</t>
    </r>
    <r>
      <rPr>
        <sz val="14"/>
        <color theme="1"/>
        <rFont val="Aptos Narrow"/>
        <family val="2"/>
        <scheme val="minor"/>
      </rPr>
      <t xml:space="preserve"> worksheet provides formulas that will aid installers to assure that BDA installations meet FCC rules of no more than </t>
    </r>
    <r>
      <rPr>
        <sz val="14"/>
        <color theme="1"/>
        <rFont val="Aptos Narrow (Body)"/>
      </rPr>
      <t>⎼43dBm</t>
    </r>
    <r>
      <rPr>
        <sz val="14"/>
        <color theme="1"/>
        <rFont val="Aptos Narrow"/>
        <family val="2"/>
        <scheme val="minor"/>
      </rPr>
      <t xml:space="preserve"> of noise power radiated and installations will not raise the noise floor at the donor site.  </t>
    </r>
  </si>
  <si>
    <r>
      <t xml:space="preserve">The </t>
    </r>
    <r>
      <rPr>
        <u/>
        <sz val="14"/>
        <color theme="1"/>
        <rFont val="Aptos Narrow (Body)"/>
      </rPr>
      <t>RF Calculations</t>
    </r>
    <r>
      <rPr>
        <sz val="14"/>
        <color theme="1"/>
        <rFont val="Aptos Narrow"/>
        <family val="2"/>
        <scheme val="minor"/>
      </rPr>
      <t xml:space="preserve"> worksheet is borrowed from Jack Daniel Co verbatim.  This worksheet consists of a plethora of RF formulas, for example, path loss in miles and feet, isolation between antennas, distance between Lat-Lon points, numerical conversions and much more.</t>
    </r>
  </si>
  <si>
    <t>Donor Path Measurement</t>
  </si>
  <si>
    <t>Portable TX power converted to dBm</t>
  </si>
  <si>
    <t>Maximum composite UL power of BDA</t>
  </si>
  <si>
    <t>Enter the maximum UL composite power rating of the BDA</t>
  </si>
  <si>
    <t>Amount of BDA AGC attenuation by near user</t>
  </si>
  <si>
    <t>Should be less than 10dB to preserve near-far performance</t>
  </si>
  <si>
    <t>Calculated near User's BDA output power</t>
  </si>
  <si>
    <t>Not an actual output if exceeding BDA composite Maximum</t>
  </si>
  <si>
    <t>Actual Downlink Path Loss</t>
  </si>
  <si>
    <t>Note, this worksheet operates independent from the following worksheets</t>
  </si>
  <si>
    <t>Class B Near-Far performance</t>
  </si>
  <si>
    <t>This section shows the amount of gain control applied by the near user in a class B BDA</t>
  </si>
  <si>
    <r>
      <t xml:space="preserve">This section provides starting point for BDA Gain Settings </t>
    </r>
    <r>
      <rPr>
        <sz val="12"/>
        <color theme="1"/>
        <rFont val="Aptos Narrow"/>
        <scheme val="minor"/>
      </rPr>
      <t>(Based on using the minimum gain required to achieve target signal levels)</t>
    </r>
  </si>
  <si>
    <t>* Most code officials will not know this, FCC licensee may be able to provide.
If not available use 10dB for 700/800 systems, 6dB for UHF and 4dB for VHF.
Or use 0dB to calculate power to the face of the donor site antenna.</t>
  </si>
  <si>
    <t>Enter this value into BDA as starting DL gain and validate with testing</t>
  </si>
  <si>
    <t>Enter this value into BDA as starting UL gain and validate with testing</t>
  </si>
  <si>
    <t>Enter power measured from location with lowest signal level in building</t>
  </si>
  <si>
    <t>BDA UL Composite Power Setting</t>
  </si>
  <si>
    <t>From C52 in above section</t>
  </si>
  <si>
    <t>** Note, if greater than 35dB consider upgrading to class A channelized BDA or have designer add more antennas to cover weak areas.</t>
  </si>
  <si>
    <t>Uplink Power Target at Donor Site Receiver</t>
  </si>
  <si>
    <t>Downlink Power Target at Portable Receiver</t>
  </si>
  <si>
    <t>Enter minimum uplink power required to donor site receiver</t>
  </si>
  <si>
    <t>Enter typical transmit power of AHJ's portable radios</t>
  </si>
  <si>
    <t>Near user input power into to BDA mobile port</t>
  </si>
  <si>
    <t>Far user input power into BDA mobile port</t>
  </si>
  <si>
    <t>Recommended BDA Downlink Gain</t>
  </si>
  <si>
    <t>Recommended BDA Uplink Gain</t>
  </si>
  <si>
    <r>
      <t>Enter gain of receive antenna system at donor tower site</t>
    </r>
    <r>
      <rPr>
        <sz val="12"/>
        <color rgb="FFFF0000"/>
        <rFont val="Aptos Narrow (Body)"/>
      </rPr>
      <t xml:space="preserve"> * (See Note Below)</t>
    </r>
  </si>
  <si>
    <t>Note , Fill in Downlink received power measurement on BDA Gain Calculator worksheet first</t>
  </si>
  <si>
    <t>Measure BDA Noise Power @ 10kHz bandwidth</t>
  </si>
  <si>
    <t>Noise power as measured using the test setup below using 10kHz RBW</t>
  </si>
  <si>
    <t xml:space="preserve">MUST be below -43dBm to comply with FCC Rules. </t>
  </si>
  <si>
    <t>If greater than -40dBm consider adding hard attenuation to donor coax</t>
  </si>
  <si>
    <t>Total Path Loss Donor Site to BDA Donor Input</t>
  </si>
  <si>
    <t>This section is to measure indoor path losses between service antenna system and the near and far users</t>
  </si>
  <si>
    <t>This section applies if AHJ identifies maximum UL power received at donor site</t>
  </si>
  <si>
    <t>Frequency Bands</t>
  </si>
  <si>
    <t>450-455</t>
  </si>
  <si>
    <t>455-460</t>
  </si>
  <si>
    <t>460-465</t>
  </si>
  <si>
    <t>465-470</t>
  </si>
  <si>
    <t>470-473</t>
  </si>
  <si>
    <t>473-476</t>
  </si>
  <si>
    <t>Public Safety - Chicago, Cleveland, Los Angeles, Miami, NY, N.E. NJ, Pittsburg, Boston</t>
  </si>
  <si>
    <t>476-479</t>
  </si>
  <si>
    <t>479-482</t>
  </si>
  <si>
    <t>Public Safety - Chicago, Cleveland, Detroit, NY, N.E. NJ</t>
  </si>
  <si>
    <t>482-485</t>
  </si>
  <si>
    <t>485-488</t>
  </si>
  <si>
    <t>Public Safety - Cleveland, Dallas/Fort Worth, Detroit, San Francisco/Oakland, Boston, Los Angeles, New York</t>
  </si>
  <si>
    <t>488-491</t>
  </si>
  <si>
    <t>491-494</t>
  </si>
  <si>
    <t>Public Safety - Houston, San Francisco/Oakland, Washington DC/MD/VA</t>
  </si>
  <si>
    <t>494-497</t>
  </si>
  <si>
    <t>497-500</t>
  </si>
  <si>
    <t>Public Safety - Pittsburg, Washington DC/MD/VA</t>
  </si>
  <si>
    <t>500-503</t>
  </si>
  <si>
    <t>503-506</t>
  </si>
  <si>
    <t>Public Safety - Philadelphia</t>
  </si>
  <si>
    <t>506-509</t>
  </si>
  <si>
    <t>509-512</t>
  </si>
  <si>
    <t>Public Safety - Los Angeles, Philadelphia</t>
  </si>
  <si>
    <t>150-175</t>
  </si>
  <si>
    <t>Downlink MHz</t>
  </si>
  <si>
    <t>Uplink MHz</t>
  </si>
  <si>
    <t>150-174</t>
  </si>
  <si>
    <t>No define UL DL bands, frequency pairs may be interleaved</t>
  </si>
  <si>
    <t>Notes</t>
  </si>
  <si>
    <t>Band Name</t>
  </si>
  <si>
    <t>Band 14</t>
  </si>
  <si>
    <t>Mixed public safety and industrial</t>
  </si>
  <si>
    <t>758-768</t>
  </si>
  <si>
    <t>788-798</t>
  </si>
  <si>
    <t>Firstnet Band, operated by AT&amp;T</t>
  </si>
  <si>
    <t>769-775</t>
  </si>
  <si>
    <t>799-805</t>
  </si>
  <si>
    <t>700 MHz Narrowband, Public Safety/local government only</t>
  </si>
  <si>
    <t>800 NPSCP</t>
  </si>
  <si>
    <t>851-854</t>
  </si>
  <si>
    <t>806-809</t>
  </si>
  <si>
    <t>854-861</t>
  </si>
  <si>
    <t>809-816</t>
  </si>
  <si>
    <t>Dedicated for public safety use</t>
  </si>
  <si>
    <t>Guard Bands for Testing</t>
  </si>
  <si>
    <t>Lower</t>
  </si>
  <si>
    <t>Upper</t>
  </si>
  <si>
    <t>Between Band 14 Firstnet and Verizon 700 LTE.  Not typically in BDA passband</t>
  </si>
  <si>
    <t>No</t>
  </si>
  <si>
    <t>Yes</t>
  </si>
  <si>
    <t>Within BDA Passband*</t>
  </si>
  <si>
    <t>Between Band 14 and narrowband public safety.</t>
  </si>
  <si>
    <t xml:space="preserve">Between Band 14 Firstnet and Verizon 700 LTE. </t>
  </si>
  <si>
    <t xml:space="preserve">Between 700 public safety and 800 public safety uplink bands. </t>
  </si>
  <si>
    <t>Between 800 public safety and industrial band and Sprint 850 LTE band.</t>
  </si>
  <si>
    <t>* BDA passbands will vary.  Check with BDA manufacturer on passbands.</t>
  </si>
  <si>
    <t>Version 1.1</t>
  </si>
  <si>
    <r>
      <t xml:space="preserve">The </t>
    </r>
    <r>
      <rPr>
        <u/>
        <sz val="14"/>
        <color theme="1"/>
        <rFont val="Aptos Narrow (Body)"/>
      </rPr>
      <t>Frequency Bands</t>
    </r>
    <r>
      <rPr>
        <sz val="14"/>
        <color theme="1"/>
        <rFont val="Aptos Narrow"/>
        <family val="2"/>
        <scheme val="minor"/>
      </rPr>
      <t xml:space="preserve"> worksheet provides band plans for the frequency bands most used by prublic safety and industrial radio users.  This is useful to know when setting up test equipment to discover desired, and undesired, RF signals.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</si>
</sst>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
    <numFmt numFmtId="167" formatCode="0.00000000000000"/>
    <numFmt numFmtId="168" formatCode=";;;"/>
    <numFmt numFmtId="169" formatCode="0.000000"/>
  </numFmts>
  <fonts count="21" x14ac:knownFonts="1">
    <font>
      <sz val="12"/>
      <color theme="1"/>
      <name val="Aptos Narrow"/>
      <family val="2"/>
      <scheme val="minor"/>
    </font>
    <font>
      <sz val="12"/>
      <color theme="0"/>
      <name val="Aptos Narrow"/>
      <family val="2"/>
      <scheme val="minor"/>
    </font>
    <font>
      <b/>
      <sz val="12"/>
      <color theme="1"/>
      <name val="Aptos Narrow"/>
      <scheme val="minor"/>
    </font>
    <font>
      <b/>
      <sz val="14"/>
      <color theme="1"/>
      <name val="Aptos Narrow"/>
      <scheme val="minor"/>
    </font>
    <font>
      <b/>
      <sz val="10"/>
      <name val="Arial"/>
      <family val="2"/>
    </font>
    <font>
      <sz val="10"/>
      <name val="Arial"/>
      <family val="2"/>
    </font>
    <font>
      <b/>
      <sz val="10"/>
      <color indexed="10"/>
      <name val="Arial"/>
      <family val="2"/>
    </font>
    <font>
      <sz val="10"/>
      <color indexed="8"/>
      <name val="Arial"/>
      <family val="2"/>
    </font>
    <font>
      <b/>
      <sz val="9"/>
      <color indexed="81"/>
      <name val="Tahoma"/>
      <family val="2"/>
    </font>
    <font>
      <sz val="9"/>
      <color indexed="81"/>
      <name val="Tahoma"/>
      <family val="2"/>
    </font>
    <font>
      <sz val="12"/>
      <color rgb="FFFF0000"/>
      <name val="Aptos Narrow"/>
      <family val="2"/>
      <scheme val="minor"/>
    </font>
    <font>
      <sz val="14"/>
      <color theme="1"/>
      <name val="Aptos Narrow"/>
      <family val="2"/>
      <scheme val="minor"/>
    </font>
    <font>
      <u/>
      <sz val="14"/>
      <color theme="1"/>
      <name val="Aptos Narrow (Body)"/>
    </font>
    <font>
      <sz val="14"/>
      <color theme="1"/>
      <name val="Aptos Narrow (Body)"/>
    </font>
    <font>
      <sz val="12"/>
      <color theme="1"/>
      <name val="Aptos Narrow"/>
      <scheme val="minor"/>
    </font>
    <font>
      <sz val="12"/>
      <color rgb="FFFF0000"/>
      <name val="Aptos Narrow (Body)"/>
    </font>
    <font>
      <sz val="12"/>
      <color rgb="FFC00000"/>
      <name val="Aptos Narrow"/>
      <family val="2"/>
      <scheme val="minor"/>
    </font>
    <font>
      <b/>
      <sz val="12"/>
      <color rgb="FFC00000"/>
      <name val="Aptos Narrow"/>
      <scheme val="minor"/>
    </font>
    <font>
      <sz val="14"/>
      <color theme="1"/>
      <name val="Aptos Narrow"/>
      <scheme val="minor"/>
    </font>
    <font>
      <b/>
      <sz val="16"/>
      <color theme="1"/>
      <name val="Aptos Narrow"/>
      <scheme val="minor"/>
    </font>
    <font>
      <sz val="8"/>
      <name val="Aptos Narrow"/>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86">
    <xf numFmtId="0" fontId="0" fillId="0" borderId="0" xfId="0"/>
    <xf numFmtId="0" fontId="2" fillId="2" borderId="0" xfId="0" applyFont="1" applyFill="1"/>
    <xf numFmtId="0" fontId="0" fillId="2" borderId="0" xfId="0" applyFill="1"/>
    <xf numFmtId="0" fontId="0" fillId="0" borderId="0" xfId="0" applyAlignment="1">
      <alignment horizontal="center"/>
    </xf>
    <xf numFmtId="0" fontId="0" fillId="2" borderId="0" xfId="0" applyFill="1" applyAlignment="1">
      <alignment horizontal="center"/>
    </xf>
    <xf numFmtId="0" fontId="0" fillId="0" borderId="1" xfId="0" applyBorder="1"/>
    <xf numFmtId="164" fontId="0" fillId="3" borderId="1" xfId="0" applyNumberFormat="1" applyFill="1" applyBorder="1" applyAlignment="1">
      <alignment horizontal="center"/>
    </xf>
    <xf numFmtId="0" fontId="0" fillId="0" borderId="2" xfId="0" applyBorder="1"/>
    <xf numFmtId="164" fontId="0" fillId="4" borderId="1" xfId="0" applyNumberFormat="1" applyFill="1" applyBorder="1" applyAlignment="1">
      <alignment horizontal="center"/>
    </xf>
    <xf numFmtId="0" fontId="0" fillId="4" borderId="1" xfId="0" applyFill="1" applyBorder="1" applyAlignment="1">
      <alignment horizontal="center"/>
    </xf>
    <xf numFmtId="164" fontId="0" fillId="0" borderId="0" xfId="0" applyNumberFormat="1"/>
    <xf numFmtId="1" fontId="0" fillId="4" borderId="1" xfId="0" applyNumberFormat="1" applyFill="1" applyBorder="1" applyAlignment="1">
      <alignment horizontal="center"/>
    </xf>
    <xf numFmtId="1" fontId="0" fillId="3" borderId="1" xfId="0" applyNumberFormat="1" applyFill="1" applyBorder="1" applyAlignment="1">
      <alignment horizontal="center"/>
    </xf>
    <xf numFmtId="0" fontId="4" fillId="0" borderId="0" xfId="0" applyFont="1"/>
    <xf numFmtId="165" fontId="0" fillId="0" borderId="0" xfId="0" applyNumberFormat="1"/>
    <xf numFmtId="14" fontId="0" fillId="0" borderId="0" xfId="0" applyNumberFormat="1"/>
    <xf numFmtId="0" fontId="5" fillId="0" borderId="0" xfId="0" applyFont="1"/>
    <xf numFmtId="165" fontId="4" fillId="0" borderId="0" xfId="0" applyNumberFormat="1" applyFont="1"/>
    <xf numFmtId="0" fontId="6" fillId="0" borderId="0" xfId="0" applyFont="1"/>
    <xf numFmtId="2" fontId="0" fillId="0" borderId="0" xfId="0" applyNumberFormat="1" applyProtection="1">
      <protection locked="0"/>
    </xf>
    <xf numFmtId="2" fontId="0" fillId="0" borderId="0" xfId="0" applyNumberFormat="1" applyProtection="1">
      <protection hidden="1"/>
    </xf>
    <xf numFmtId="2" fontId="0" fillId="0" borderId="0" xfId="0" applyNumberFormat="1"/>
    <xf numFmtId="166" fontId="0" fillId="0" borderId="0" xfId="0" applyNumberFormat="1" applyProtection="1">
      <protection locked="0"/>
    </xf>
    <xf numFmtId="167" fontId="0" fillId="0" borderId="0" xfId="0" applyNumberFormat="1" applyProtection="1">
      <protection hidden="1"/>
    </xf>
    <xf numFmtId="167" fontId="0" fillId="0" borderId="0" xfId="0" applyNumberFormat="1"/>
    <xf numFmtId="0" fontId="0" fillId="0" borderId="0" xfId="0" applyProtection="1">
      <protection locked="0"/>
    </xf>
    <xf numFmtId="166" fontId="0" fillId="0" borderId="0" xfId="0" applyNumberFormat="1" applyProtection="1">
      <protection hidden="1"/>
    </xf>
    <xf numFmtId="2" fontId="4" fillId="0" borderId="0" xfId="0" applyNumberFormat="1" applyFont="1"/>
    <xf numFmtId="2" fontId="5" fillId="0" borderId="0" xfId="0" applyNumberFormat="1" applyFont="1"/>
    <xf numFmtId="168" fontId="0" fillId="0" borderId="0" xfId="0" applyNumberFormat="1" applyProtection="1">
      <protection hidden="1"/>
    </xf>
    <xf numFmtId="168" fontId="0" fillId="0" borderId="0" xfId="0" applyNumberFormat="1"/>
    <xf numFmtId="0" fontId="0" fillId="0" borderId="0" xfId="0" applyAlignment="1">
      <alignment horizontal="right"/>
    </xf>
    <xf numFmtId="1" fontId="0" fillId="0" borderId="0" xfId="0" applyNumberFormat="1" applyProtection="1">
      <protection hidden="1"/>
    </xf>
    <xf numFmtId="0" fontId="0" fillId="0" borderId="0" xfId="0" applyProtection="1">
      <protection hidden="1"/>
    </xf>
    <xf numFmtId="165" fontId="0" fillId="0" borderId="0" xfId="0" applyNumberFormat="1" applyProtection="1">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165" fontId="0" fillId="0" borderId="0" xfId="0" applyNumberFormat="1" applyAlignment="1">
      <alignment horizontal="center"/>
    </xf>
    <xf numFmtId="165" fontId="0" fillId="0" borderId="0" xfId="0" applyNumberFormat="1" applyProtection="1">
      <protection locked="0"/>
    </xf>
    <xf numFmtId="168" fontId="7" fillId="0" borderId="0" xfId="0" applyNumberFormat="1" applyFont="1" applyProtection="1">
      <protection hidden="1"/>
    </xf>
    <xf numFmtId="168" fontId="7" fillId="0" borderId="0" xfId="0" applyNumberFormat="1" applyFont="1" applyAlignment="1" applyProtection="1">
      <alignment horizontal="center"/>
      <protection hidden="1"/>
    </xf>
    <xf numFmtId="0" fontId="5" fillId="0" borderId="0" xfId="0" applyFont="1" applyProtection="1">
      <protection hidden="1"/>
    </xf>
    <xf numFmtId="0" fontId="0" fillId="0" borderId="0" xfId="0" applyAlignment="1" applyProtection="1">
      <alignment horizontal="center"/>
      <protection locked="0"/>
    </xf>
    <xf numFmtId="168" fontId="7" fillId="6" borderId="0" xfId="0" applyNumberFormat="1" applyFont="1" applyFill="1" applyAlignment="1" applyProtection="1">
      <alignment horizontal="center"/>
      <protection hidden="1"/>
    </xf>
    <xf numFmtId="2" fontId="5" fillId="0" borderId="0" xfId="0" applyNumberFormat="1" applyFont="1" applyAlignment="1" applyProtection="1">
      <alignment horizontal="center"/>
      <protection hidden="1"/>
    </xf>
    <xf numFmtId="0" fontId="5" fillId="0" borderId="0" xfId="0" applyFont="1" applyAlignment="1" applyProtection="1">
      <alignment horizontal="left"/>
      <protection hidden="1"/>
    </xf>
    <xf numFmtId="2" fontId="0" fillId="0" borderId="0" xfId="0" applyNumberFormat="1" applyAlignment="1" applyProtection="1">
      <alignment horizontal="center"/>
      <protection hidden="1"/>
    </xf>
    <xf numFmtId="168" fontId="5" fillId="6" borderId="0" xfId="0" applyNumberFormat="1" applyFont="1" applyFill="1" applyAlignment="1" applyProtection="1">
      <alignment horizontal="center"/>
      <protection hidden="1"/>
    </xf>
    <xf numFmtId="0" fontId="0" fillId="0" borderId="0" xfId="0" applyAlignment="1" applyProtection="1">
      <alignment horizontal="left"/>
      <protection hidden="1"/>
    </xf>
    <xf numFmtId="169" fontId="0" fillId="0" borderId="0" xfId="0" applyNumberFormat="1" applyProtection="1">
      <protection locked="0"/>
    </xf>
    <xf numFmtId="0" fontId="0" fillId="0" borderId="0" xfId="0" applyAlignment="1">
      <alignment horizontal="left"/>
    </xf>
    <xf numFmtId="164" fontId="0" fillId="0" borderId="0" xfId="0" applyNumberFormat="1" applyProtection="1">
      <protection locked="0"/>
    </xf>
    <xf numFmtId="164" fontId="0" fillId="0" borderId="0" xfId="0" applyNumberFormat="1" applyProtection="1">
      <protection hidden="1"/>
    </xf>
    <xf numFmtId="164" fontId="4" fillId="0" borderId="0" xfId="0" applyNumberFormat="1" applyFont="1"/>
    <xf numFmtId="0" fontId="5" fillId="0" borderId="0" xfId="0" applyFont="1" applyProtection="1">
      <protection locked="0"/>
    </xf>
    <xf numFmtId="165" fontId="5" fillId="0" borderId="0" xfId="0" applyNumberFormat="1" applyFont="1"/>
    <xf numFmtId="0" fontId="1" fillId="0" borderId="0" xfId="0" applyFont="1"/>
    <xf numFmtId="0" fontId="0" fillId="2" borderId="1" xfId="0" applyFill="1" applyBorder="1" applyAlignment="1" applyProtection="1">
      <alignment horizontal="center"/>
      <protection locked="0"/>
    </xf>
    <xf numFmtId="0" fontId="3" fillId="7" borderId="0" xfId="0" applyFont="1" applyFill="1"/>
    <xf numFmtId="1" fontId="0" fillId="2" borderId="1" xfId="0" applyNumberFormat="1" applyFill="1" applyBorder="1" applyAlignment="1" applyProtection="1">
      <alignment horizontal="center"/>
      <protection locked="0"/>
    </xf>
    <xf numFmtId="0" fontId="0" fillId="5" borderId="0" xfId="0" applyFill="1" applyAlignment="1" applyProtection="1">
      <alignment horizontal="center"/>
      <protection locked="0"/>
    </xf>
    <xf numFmtId="0" fontId="11" fillId="0" borderId="0" xfId="0" applyFont="1"/>
    <xf numFmtId="15" fontId="0" fillId="0" borderId="0" xfId="0" applyNumberFormat="1" applyAlignment="1">
      <alignment horizontal="right"/>
    </xf>
    <xf numFmtId="0" fontId="11" fillId="0" borderId="0" xfId="0" applyFont="1" applyAlignment="1">
      <alignment wrapText="1"/>
    </xf>
    <xf numFmtId="0" fontId="0" fillId="0" borderId="0" xfId="0" applyAlignment="1">
      <alignment wrapText="1"/>
    </xf>
    <xf numFmtId="0" fontId="11" fillId="0" borderId="0" xfId="0" applyFont="1" applyAlignment="1">
      <alignment vertical="top" wrapText="1"/>
    </xf>
    <xf numFmtId="0" fontId="11" fillId="0" borderId="0" xfId="0" applyFont="1" applyAlignment="1">
      <alignment vertical="top"/>
    </xf>
    <xf numFmtId="1" fontId="0" fillId="0" borderId="0" xfId="0" applyNumberFormat="1" applyAlignment="1">
      <alignment horizontal="center"/>
    </xf>
    <xf numFmtId="1" fontId="0" fillId="2" borderId="0" xfId="0" applyNumberFormat="1" applyFill="1" applyAlignment="1">
      <alignment horizontal="center"/>
    </xf>
    <xf numFmtId="0" fontId="10" fillId="0" borderId="0" xfId="0" applyFont="1"/>
    <xf numFmtId="0" fontId="16" fillId="0" borderId="0" xfId="0" applyFont="1" applyAlignment="1">
      <alignment wrapText="1"/>
    </xf>
    <xf numFmtId="0" fontId="18" fillId="0" borderId="0" xfId="0" applyFont="1"/>
    <xf numFmtId="0" fontId="18" fillId="2" borderId="0" xfId="0" applyFont="1" applyFill="1"/>
    <xf numFmtId="0" fontId="18" fillId="2" borderId="0" xfId="0" applyFont="1" applyFill="1" applyAlignment="1">
      <alignment horizontal="center"/>
    </xf>
    <xf numFmtId="0" fontId="3" fillId="2" borderId="0" xfId="0" applyFont="1" applyFill="1"/>
    <xf numFmtId="0" fontId="11" fillId="0" borderId="0" xfId="0" applyFont="1" applyAlignment="1">
      <alignment horizontal="left"/>
    </xf>
    <xf numFmtId="0" fontId="3" fillId="2" borderId="0" xfId="0" applyFont="1" applyFill="1" applyAlignment="1">
      <alignment horizontal="left" vertical="top"/>
    </xf>
    <xf numFmtId="0" fontId="3" fillId="2" borderId="0" xfId="0" applyFont="1" applyFill="1" applyAlignment="1">
      <alignment horizontal="center" vertical="top"/>
    </xf>
    <xf numFmtId="0" fontId="3" fillId="2" borderId="0" xfId="0" applyFont="1" applyFill="1" applyAlignment="1">
      <alignment horizontal="left" vertical="top" wrapText="1"/>
    </xf>
    <xf numFmtId="0" fontId="0" fillId="2" borderId="6" xfId="0" applyFill="1" applyBorder="1" applyAlignment="1">
      <alignment horizontal="left"/>
    </xf>
    <xf numFmtId="0" fontId="2" fillId="2" borderId="0" xfId="0" applyFont="1" applyFill="1" applyAlignment="1">
      <alignment horizontal="left"/>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0" borderId="1" xfId="0" applyFont="1" applyBorder="1" applyAlignment="1">
      <alignment horizontal="center"/>
    </xf>
    <xf numFmtId="0" fontId="19" fillId="7" borderId="0" xfId="0" applyFont="1" applyFill="1" applyAlignment="1">
      <alignment horizontal="left"/>
    </xf>
  </cellXfs>
  <cellStyles count="1">
    <cellStyle name="Normal" xfId="0" builtinId="0"/>
  </cellStyles>
  <dxfs count="4">
    <dxf>
      <font>
        <color rgb="FF9C0006"/>
      </font>
    </dxf>
    <dxf>
      <font>
        <color rgb="FF9C0006"/>
      </font>
    </dxf>
    <dxf>
      <font>
        <color rgb="FF9C0006"/>
      </font>
    </dxf>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2681449</xdr:colOff>
      <xdr:row>6</xdr:row>
      <xdr:rowOff>76200</xdr:rowOff>
    </xdr:to>
    <xdr:pic>
      <xdr:nvPicPr>
        <xdr:cNvPr id="2" name="Picture 1" descr="A black background with red text&#10;&#10;Description automatically generated">
          <a:extLst>
            <a:ext uri="{FF2B5EF4-FFF2-40B4-BE49-F238E27FC236}">
              <a16:creationId xmlns:a16="http://schemas.microsoft.com/office/drawing/2014/main" id="{B3A39F26-D266-6F71-0B67-B595C32AD2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0" y="203200"/>
          <a:ext cx="2681449" cy="109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63498</xdr:colOff>
      <xdr:row>34</xdr:row>
      <xdr:rowOff>0</xdr:rowOff>
    </xdr:from>
    <xdr:to>
      <xdr:col>10</xdr:col>
      <xdr:colOff>497415</xdr:colOff>
      <xdr:row>47</xdr:row>
      <xdr:rowOff>57823</xdr:rowOff>
    </xdr:to>
    <xdr:pic>
      <xdr:nvPicPr>
        <xdr:cNvPr id="6" name="Picture 5">
          <a:extLst>
            <a:ext uri="{FF2B5EF4-FFF2-40B4-BE49-F238E27FC236}">
              <a16:creationId xmlns:a16="http://schemas.microsoft.com/office/drawing/2014/main" id="{EC31300C-56D6-88CD-4AC5-D0CACBC51006}"/>
            </a:ext>
          </a:extLst>
        </xdr:cNvPr>
        <xdr:cNvPicPr>
          <a:picLocks noChangeAspect="1"/>
        </xdr:cNvPicPr>
      </xdr:nvPicPr>
      <xdr:blipFill>
        <a:blip xmlns:r="http://schemas.openxmlformats.org/officeDocument/2006/relationships" r:embed="rId1"/>
        <a:stretch>
          <a:fillRect/>
        </a:stretch>
      </xdr:blipFill>
      <xdr:spPr>
        <a:xfrm>
          <a:off x="9419165" y="7556500"/>
          <a:ext cx="4730750" cy="3095240"/>
        </a:xfrm>
        <a:prstGeom prst="rect">
          <a:avLst/>
        </a:prstGeom>
        <a:ln w="25400">
          <a:solidFill>
            <a:schemeClr val="accent1"/>
          </a:solidFill>
        </a:ln>
      </xdr:spPr>
    </xdr:pic>
    <xdr:clientData/>
  </xdr:twoCellAnchor>
  <xdr:twoCellAnchor editAs="oneCell">
    <xdr:from>
      <xdr:col>5</xdr:col>
      <xdr:colOff>52916</xdr:colOff>
      <xdr:row>20</xdr:row>
      <xdr:rowOff>52917</xdr:rowOff>
    </xdr:from>
    <xdr:to>
      <xdr:col>10</xdr:col>
      <xdr:colOff>508000</xdr:colOff>
      <xdr:row>33</xdr:row>
      <xdr:rowOff>10804</xdr:rowOff>
    </xdr:to>
    <xdr:pic>
      <xdr:nvPicPr>
        <xdr:cNvPr id="7" name="Picture 6">
          <a:extLst>
            <a:ext uri="{FF2B5EF4-FFF2-40B4-BE49-F238E27FC236}">
              <a16:creationId xmlns:a16="http://schemas.microsoft.com/office/drawing/2014/main" id="{A7429869-EC73-F280-43D9-B3C166F6EB4A}"/>
            </a:ext>
          </a:extLst>
        </xdr:cNvPr>
        <xdr:cNvPicPr>
          <a:picLocks noChangeAspect="1"/>
        </xdr:cNvPicPr>
      </xdr:nvPicPr>
      <xdr:blipFill>
        <a:blip xmlns:r="http://schemas.openxmlformats.org/officeDocument/2006/relationships" r:embed="rId2"/>
        <a:stretch>
          <a:fillRect/>
        </a:stretch>
      </xdr:blipFill>
      <xdr:spPr>
        <a:xfrm>
          <a:off x="9408583" y="4116917"/>
          <a:ext cx="4751917" cy="3249304"/>
        </a:xfrm>
        <a:prstGeom prst="rect">
          <a:avLst/>
        </a:prstGeom>
        <a:ln w="25400">
          <a:solidFill>
            <a:schemeClr val="accent1"/>
          </a:solidFill>
        </a:ln>
      </xdr:spPr>
    </xdr:pic>
    <xdr:clientData/>
  </xdr:twoCellAnchor>
  <xdr:twoCellAnchor editAs="oneCell">
    <xdr:from>
      <xdr:col>5</xdr:col>
      <xdr:colOff>52917</xdr:colOff>
      <xdr:row>3</xdr:row>
      <xdr:rowOff>52917</xdr:rowOff>
    </xdr:from>
    <xdr:to>
      <xdr:col>10</xdr:col>
      <xdr:colOff>488870</xdr:colOff>
      <xdr:row>19</xdr:row>
      <xdr:rowOff>31750</xdr:rowOff>
    </xdr:to>
    <xdr:pic>
      <xdr:nvPicPr>
        <xdr:cNvPr id="8" name="Picture 7">
          <a:extLst>
            <a:ext uri="{FF2B5EF4-FFF2-40B4-BE49-F238E27FC236}">
              <a16:creationId xmlns:a16="http://schemas.microsoft.com/office/drawing/2014/main" id="{89744255-B06D-77CF-799C-2E1FF151F602}"/>
            </a:ext>
          </a:extLst>
        </xdr:cNvPr>
        <xdr:cNvPicPr>
          <a:picLocks noChangeAspect="1"/>
        </xdr:cNvPicPr>
      </xdr:nvPicPr>
      <xdr:blipFill>
        <a:blip xmlns:r="http://schemas.openxmlformats.org/officeDocument/2006/relationships" r:embed="rId3"/>
        <a:stretch>
          <a:fillRect/>
        </a:stretch>
      </xdr:blipFill>
      <xdr:spPr>
        <a:xfrm>
          <a:off x="9408584" y="698500"/>
          <a:ext cx="4732786" cy="3196167"/>
        </a:xfrm>
        <a:prstGeom prst="rect">
          <a:avLst/>
        </a:prstGeom>
        <a:ln w="25400">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92364</xdr:colOff>
      <xdr:row>14</xdr:row>
      <xdr:rowOff>46180</xdr:rowOff>
    </xdr:from>
    <xdr:to>
      <xdr:col>1</xdr:col>
      <xdr:colOff>2436091</xdr:colOff>
      <xdr:row>30</xdr:row>
      <xdr:rowOff>123414</xdr:rowOff>
    </xdr:to>
    <xdr:pic>
      <xdr:nvPicPr>
        <xdr:cNvPr id="4" name="Picture 3">
          <a:extLst>
            <a:ext uri="{FF2B5EF4-FFF2-40B4-BE49-F238E27FC236}">
              <a16:creationId xmlns:a16="http://schemas.microsoft.com/office/drawing/2014/main" id="{07888D41-07F3-EF5C-1B24-32E0EC7B4793}"/>
            </a:ext>
          </a:extLst>
        </xdr:cNvPr>
        <xdr:cNvPicPr>
          <a:picLocks noChangeAspect="1"/>
        </xdr:cNvPicPr>
      </xdr:nvPicPr>
      <xdr:blipFill>
        <a:blip xmlns:r="http://schemas.openxmlformats.org/officeDocument/2006/relationships" r:embed="rId1"/>
        <a:stretch>
          <a:fillRect/>
        </a:stretch>
      </xdr:blipFill>
      <xdr:spPr>
        <a:xfrm>
          <a:off x="346364" y="2990271"/>
          <a:ext cx="2343727" cy="3402325"/>
        </a:xfrm>
        <a:prstGeom prst="rect">
          <a:avLst/>
        </a:prstGeom>
        <a:ln w="25400">
          <a:solidFill>
            <a:schemeClr val="accent1"/>
          </a:solidFill>
        </a:ln>
      </xdr:spPr>
    </xdr:pic>
    <xdr:clientData/>
  </xdr:twoCellAnchor>
  <xdr:twoCellAnchor editAs="oneCell">
    <xdr:from>
      <xdr:col>2</xdr:col>
      <xdr:colOff>46182</xdr:colOff>
      <xdr:row>14</xdr:row>
      <xdr:rowOff>46182</xdr:rowOff>
    </xdr:from>
    <xdr:to>
      <xdr:col>4</xdr:col>
      <xdr:colOff>3602642</xdr:colOff>
      <xdr:row>30</xdr:row>
      <xdr:rowOff>127000</xdr:rowOff>
    </xdr:to>
    <xdr:pic>
      <xdr:nvPicPr>
        <xdr:cNvPr id="6" name="Picture 5">
          <a:extLst>
            <a:ext uri="{FF2B5EF4-FFF2-40B4-BE49-F238E27FC236}">
              <a16:creationId xmlns:a16="http://schemas.microsoft.com/office/drawing/2014/main" id="{6218C3A1-A879-0374-2C41-89B4FD718427}"/>
            </a:ext>
          </a:extLst>
        </xdr:cNvPr>
        <xdr:cNvPicPr>
          <a:picLocks noChangeAspect="1"/>
        </xdr:cNvPicPr>
      </xdr:nvPicPr>
      <xdr:blipFill>
        <a:blip xmlns:r="http://schemas.openxmlformats.org/officeDocument/2006/relationships" r:embed="rId2"/>
        <a:stretch>
          <a:fillRect/>
        </a:stretch>
      </xdr:blipFill>
      <xdr:spPr>
        <a:xfrm>
          <a:off x="3567546" y="2990273"/>
          <a:ext cx="5219005" cy="3405909"/>
        </a:xfrm>
        <a:prstGeom prst="rect">
          <a:avLst/>
        </a:prstGeom>
        <a:ln w="25400">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004BA-A102-CB43-8D4B-3FEA60E58C1F}">
  <dimension ref="B3:H40"/>
  <sheetViews>
    <sheetView showGridLines="0" tabSelected="1" workbookViewId="0">
      <selection activeCell="C8" sqref="C8"/>
    </sheetView>
  </sheetViews>
  <sheetFormatPr baseColWidth="10" defaultRowHeight="16" x14ac:dyDescent="0.2"/>
  <cols>
    <col min="2" max="2" width="72.83203125" customWidth="1"/>
  </cols>
  <sheetData>
    <row r="3" spans="2:8" x14ac:dyDescent="0.2">
      <c r="B3" s="31" t="s">
        <v>329</v>
      </c>
    </row>
    <row r="4" spans="2:8" x14ac:dyDescent="0.2">
      <c r="B4" s="62">
        <v>45724</v>
      </c>
    </row>
    <row r="8" spans="2:8" ht="59" customHeight="1" x14ac:dyDescent="0.25">
      <c r="B8" s="65" t="s">
        <v>229</v>
      </c>
      <c r="C8" s="61"/>
      <c r="D8" s="61"/>
      <c r="E8" s="61"/>
      <c r="F8" s="61"/>
      <c r="G8" s="61"/>
      <c r="H8" s="61"/>
    </row>
    <row r="9" spans="2:8" ht="8" customHeight="1" x14ac:dyDescent="0.25">
      <c r="B9" s="66"/>
      <c r="C9" s="61"/>
      <c r="D9" s="61"/>
      <c r="E9" s="61"/>
      <c r="F9" s="61"/>
      <c r="G9" s="61"/>
      <c r="H9" s="61"/>
    </row>
    <row r="10" spans="2:8" ht="78" customHeight="1" x14ac:dyDescent="0.25">
      <c r="B10" s="65" t="s">
        <v>222</v>
      </c>
      <c r="C10" s="61"/>
      <c r="D10" s="61"/>
      <c r="E10" s="61"/>
      <c r="F10" s="61"/>
      <c r="G10" s="61"/>
      <c r="H10" s="61"/>
    </row>
    <row r="11" spans="2:8" ht="8" customHeight="1" x14ac:dyDescent="0.25">
      <c r="B11" s="66"/>
      <c r="C11" s="61"/>
      <c r="D11" s="61"/>
      <c r="E11" s="61"/>
      <c r="F11" s="61"/>
      <c r="G11" s="61"/>
      <c r="H11" s="61"/>
    </row>
    <row r="12" spans="2:8" ht="80" x14ac:dyDescent="0.25">
      <c r="B12" s="63" t="s">
        <v>230</v>
      </c>
      <c r="C12" s="61"/>
      <c r="D12" s="61"/>
      <c r="E12" s="61"/>
      <c r="F12" s="61"/>
      <c r="G12" s="61"/>
      <c r="H12" s="61"/>
    </row>
    <row r="13" spans="2:8" ht="8" customHeight="1" x14ac:dyDescent="0.25">
      <c r="B13" s="66"/>
      <c r="C13" s="61"/>
      <c r="D13" s="61"/>
      <c r="E13" s="61"/>
      <c r="F13" s="61"/>
      <c r="G13" s="61"/>
      <c r="H13" s="61"/>
    </row>
    <row r="14" spans="2:8" ht="60" x14ac:dyDescent="0.25">
      <c r="B14" s="65" t="s">
        <v>228</v>
      </c>
      <c r="C14" s="61"/>
      <c r="D14" s="61"/>
      <c r="E14" s="61"/>
      <c r="F14" s="61"/>
      <c r="G14" s="61"/>
      <c r="H14" s="61"/>
    </row>
    <row r="15" spans="2:8" ht="8" customHeight="1" x14ac:dyDescent="0.25">
      <c r="B15" s="65"/>
      <c r="C15" s="61"/>
      <c r="D15" s="61"/>
      <c r="E15" s="61"/>
      <c r="F15" s="61"/>
      <c r="G15" s="61"/>
      <c r="H15" s="61"/>
    </row>
    <row r="16" spans="2:8" ht="80" x14ac:dyDescent="0.25">
      <c r="B16" s="65" t="s">
        <v>231</v>
      </c>
      <c r="C16" s="61"/>
      <c r="D16" s="61"/>
      <c r="E16" s="61"/>
      <c r="F16" s="61"/>
      <c r="G16" s="61"/>
      <c r="H16" s="61"/>
    </row>
    <row r="17" spans="2:8" ht="8" customHeight="1" x14ac:dyDescent="0.25">
      <c r="B17" s="65"/>
      <c r="C17" s="61"/>
      <c r="D17" s="61"/>
      <c r="E17" s="61"/>
      <c r="F17" s="61"/>
      <c r="G17" s="61"/>
      <c r="H17" s="61"/>
    </row>
    <row r="18" spans="2:8" ht="80" x14ac:dyDescent="0.25">
      <c r="B18" s="65" t="s">
        <v>232</v>
      </c>
      <c r="C18" s="61"/>
      <c r="D18" s="61"/>
      <c r="E18" s="61"/>
      <c r="F18" s="61"/>
      <c r="G18" s="61"/>
      <c r="H18" s="61"/>
    </row>
    <row r="19" spans="2:8" ht="8" customHeight="1" x14ac:dyDescent="0.25">
      <c r="B19" s="65"/>
      <c r="C19" s="61"/>
      <c r="D19" s="61"/>
      <c r="E19" s="61"/>
      <c r="F19" s="61"/>
      <c r="G19" s="61"/>
      <c r="H19" s="61"/>
    </row>
    <row r="20" spans="2:8" ht="80" x14ac:dyDescent="0.25">
      <c r="B20" s="65" t="s">
        <v>330</v>
      </c>
      <c r="C20" s="61"/>
      <c r="D20" s="61"/>
      <c r="E20" s="61"/>
      <c r="F20" s="61"/>
      <c r="G20" s="61"/>
      <c r="H20" s="61"/>
    </row>
    <row r="21" spans="2:8" ht="19" x14ac:dyDescent="0.25">
      <c r="B21" s="66"/>
      <c r="C21" s="61"/>
      <c r="D21" s="61"/>
      <c r="E21" s="61"/>
      <c r="F21" s="61"/>
      <c r="G21" s="61"/>
      <c r="H21" s="61"/>
    </row>
    <row r="22" spans="2:8" ht="19" x14ac:dyDescent="0.25">
      <c r="B22" s="66"/>
      <c r="C22" s="61"/>
      <c r="D22" s="61"/>
      <c r="E22" s="61"/>
      <c r="F22" s="61"/>
      <c r="G22" s="61"/>
      <c r="H22" s="61"/>
    </row>
    <row r="23" spans="2:8" ht="19" x14ac:dyDescent="0.25">
      <c r="B23" s="61"/>
      <c r="C23" s="61"/>
      <c r="D23" s="61"/>
      <c r="E23" s="61"/>
      <c r="F23" s="61"/>
      <c r="G23" s="61"/>
      <c r="H23" s="61"/>
    </row>
    <row r="24" spans="2:8" ht="19" x14ac:dyDescent="0.25">
      <c r="B24" s="61"/>
      <c r="C24" s="61"/>
      <c r="D24" s="61"/>
      <c r="E24" s="61"/>
      <c r="F24" s="61"/>
      <c r="G24" s="61"/>
      <c r="H24" s="61"/>
    </row>
    <row r="25" spans="2:8" ht="19" x14ac:dyDescent="0.25">
      <c r="B25" s="61"/>
      <c r="C25" s="61"/>
      <c r="D25" s="61"/>
      <c r="E25" s="61"/>
      <c r="F25" s="61"/>
      <c r="G25" s="61"/>
      <c r="H25" s="61"/>
    </row>
    <row r="26" spans="2:8" ht="19" x14ac:dyDescent="0.25">
      <c r="B26" s="61"/>
      <c r="C26" s="61"/>
      <c r="D26" s="61"/>
      <c r="E26" s="61"/>
      <c r="F26" s="61"/>
      <c r="G26" s="61"/>
      <c r="H26" s="61"/>
    </row>
    <row r="27" spans="2:8" ht="19" x14ac:dyDescent="0.25">
      <c r="B27" s="61"/>
      <c r="C27" s="61"/>
      <c r="D27" s="61"/>
      <c r="E27" s="61"/>
      <c r="F27" s="61"/>
      <c r="G27" s="61"/>
      <c r="H27" s="61"/>
    </row>
    <row r="28" spans="2:8" ht="19" x14ac:dyDescent="0.25">
      <c r="B28" s="61"/>
      <c r="C28" s="61"/>
      <c r="D28" s="61"/>
      <c r="E28" s="61"/>
      <c r="F28" s="61"/>
      <c r="G28" s="61"/>
      <c r="H28" s="61"/>
    </row>
    <row r="29" spans="2:8" ht="19" x14ac:dyDescent="0.25">
      <c r="B29" s="61"/>
      <c r="C29" s="61"/>
      <c r="D29" s="61"/>
      <c r="E29" s="61"/>
      <c r="F29" s="61"/>
      <c r="G29" s="61"/>
      <c r="H29" s="61"/>
    </row>
    <row r="30" spans="2:8" ht="19" x14ac:dyDescent="0.25">
      <c r="B30" s="61"/>
      <c r="C30" s="61"/>
      <c r="D30" s="61"/>
      <c r="E30" s="61"/>
      <c r="F30" s="61"/>
      <c r="G30" s="61"/>
      <c r="H30" s="61"/>
    </row>
    <row r="31" spans="2:8" ht="19" x14ac:dyDescent="0.25">
      <c r="B31" s="61"/>
      <c r="C31" s="61"/>
      <c r="D31" s="61"/>
      <c r="E31" s="61"/>
      <c r="F31" s="61"/>
      <c r="G31" s="61"/>
      <c r="H31" s="61"/>
    </row>
    <row r="32" spans="2:8" ht="19" x14ac:dyDescent="0.25">
      <c r="B32" s="61"/>
      <c r="C32" s="61"/>
      <c r="D32" s="61"/>
      <c r="E32" s="61"/>
      <c r="F32" s="61"/>
      <c r="G32" s="61"/>
      <c r="H32" s="61"/>
    </row>
    <row r="33" spans="2:8" ht="19" x14ac:dyDescent="0.25">
      <c r="B33" s="61"/>
      <c r="C33" s="61"/>
      <c r="D33" s="61"/>
      <c r="E33" s="61"/>
      <c r="F33" s="61"/>
      <c r="G33" s="61"/>
      <c r="H33" s="61"/>
    </row>
    <row r="34" spans="2:8" ht="19" x14ac:dyDescent="0.25">
      <c r="B34" s="61"/>
      <c r="C34" s="61"/>
      <c r="D34" s="61"/>
      <c r="E34" s="61"/>
      <c r="F34" s="61"/>
      <c r="G34" s="61"/>
      <c r="H34" s="61"/>
    </row>
    <row r="35" spans="2:8" ht="19" x14ac:dyDescent="0.25">
      <c r="B35" s="61"/>
      <c r="C35" s="61"/>
      <c r="D35" s="61"/>
      <c r="E35" s="61"/>
      <c r="F35" s="61"/>
      <c r="G35" s="61"/>
      <c r="H35" s="61"/>
    </row>
    <row r="36" spans="2:8" ht="19" x14ac:dyDescent="0.25">
      <c r="B36" s="61"/>
      <c r="C36" s="61"/>
      <c r="D36" s="61"/>
      <c r="E36" s="61"/>
      <c r="F36" s="61"/>
      <c r="G36" s="61"/>
      <c r="H36" s="61"/>
    </row>
    <row r="37" spans="2:8" ht="19" x14ac:dyDescent="0.25">
      <c r="B37" s="61"/>
      <c r="C37" s="61"/>
      <c r="D37" s="61"/>
      <c r="E37" s="61"/>
      <c r="F37" s="61"/>
      <c r="G37" s="61"/>
      <c r="H37" s="61"/>
    </row>
    <row r="38" spans="2:8" ht="19" x14ac:dyDescent="0.25">
      <c r="B38" s="61"/>
      <c r="C38" s="61"/>
      <c r="D38" s="61"/>
      <c r="E38" s="61"/>
      <c r="F38" s="61"/>
      <c r="G38" s="61"/>
      <c r="H38" s="61"/>
    </row>
    <row r="39" spans="2:8" ht="19" x14ac:dyDescent="0.25">
      <c r="B39" s="61"/>
      <c r="C39" s="61"/>
      <c r="D39" s="61"/>
      <c r="E39" s="61"/>
      <c r="F39" s="61"/>
      <c r="G39" s="61"/>
      <c r="H39" s="61"/>
    </row>
    <row r="40" spans="2:8" ht="19" x14ac:dyDescent="0.25">
      <c r="B40" s="61"/>
      <c r="C40" s="61"/>
      <c r="D40" s="61"/>
      <c r="E40" s="61"/>
      <c r="F40" s="61"/>
      <c r="G40" s="61"/>
      <c r="H40" s="61"/>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3FA5E-3511-5949-A389-8A26914B5BB1}">
  <dimension ref="B2:I22"/>
  <sheetViews>
    <sheetView zoomScale="130" zoomScaleNormal="130" workbookViewId="0">
      <selection activeCell="E4" sqref="E4"/>
    </sheetView>
  </sheetViews>
  <sheetFormatPr baseColWidth="10" defaultRowHeight="16" x14ac:dyDescent="0.2"/>
  <cols>
    <col min="1" max="1" width="4.83203125" customWidth="1"/>
    <col min="2" max="2" width="34.5" customWidth="1"/>
    <col min="3" max="3" width="13.6640625" style="3" customWidth="1"/>
    <col min="4" max="4" width="14" customWidth="1"/>
    <col min="5" max="5" width="61.33203125" customWidth="1"/>
  </cols>
  <sheetData>
    <row r="2" spans="2:9" ht="19" x14ac:dyDescent="0.25">
      <c r="B2" s="58" t="s">
        <v>25</v>
      </c>
    </row>
    <row r="4" spans="2:9" x14ac:dyDescent="0.2">
      <c r="B4" s="1" t="s">
        <v>0</v>
      </c>
      <c r="C4" s="4"/>
      <c r="D4" s="2"/>
    </row>
    <row r="5" spans="2:9" x14ac:dyDescent="0.2">
      <c r="B5" s="79" t="s">
        <v>242</v>
      </c>
      <c r="C5" s="79"/>
      <c r="D5" s="79"/>
      <c r="G5" s="56" t="s">
        <v>6</v>
      </c>
      <c r="H5" s="56">
        <v>160</v>
      </c>
      <c r="I5" s="56"/>
    </row>
    <row r="6" spans="2:9" x14ac:dyDescent="0.2">
      <c r="B6" s="5" t="s">
        <v>1</v>
      </c>
      <c r="C6" s="57">
        <v>50</v>
      </c>
      <c r="D6" s="5" t="s">
        <v>2</v>
      </c>
      <c r="E6" t="s">
        <v>34</v>
      </c>
      <c r="G6" s="56" t="s">
        <v>7</v>
      </c>
      <c r="H6" s="56">
        <v>460</v>
      </c>
      <c r="I6" s="56">
        <v>470</v>
      </c>
    </row>
    <row r="7" spans="2:9" x14ac:dyDescent="0.2">
      <c r="B7" s="5" t="s">
        <v>24</v>
      </c>
      <c r="C7" s="8">
        <f>10*LOG(C6/0.001)</f>
        <v>46.989700043360187</v>
      </c>
      <c r="D7" s="5" t="s">
        <v>14</v>
      </c>
      <c r="E7" t="s">
        <v>18</v>
      </c>
      <c r="G7" s="56"/>
      <c r="H7" s="56"/>
      <c r="I7" s="56"/>
    </row>
    <row r="8" spans="2:9" x14ac:dyDescent="0.2">
      <c r="B8" s="5" t="s">
        <v>3</v>
      </c>
      <c r="C8" s="57">
        <v>4</v>
      </c>
      <c r="D8" s="5" t="s">
        <v>4</v>
      </c>
      <c r="E8" t="s">
        <v>17</v>
      </c>
      <c r="G8" s="56" t="s">
        <v>9</v>
      </c>
      <c r="H8" s="56">
        <v>765</v>
      </c>
      <c r="I8" s="56">
        <v>801</v>
      </c>
    </row>
    <row r="9" spans="2:9" x14ac:dyDescent="0.2">
      <c r="B9" s="5" t="s">
        <v>5</v>
      </c>
      <c r="C9" s="57" t="s">
        <v>9</v>
      </c>
      <c r="D9" s="5" t="s">
        <v>10</v>
      </c>
      <c r="E9" s="7" t="s">
        <v>19</v>
      </c>
      <c r="G9" s="56" t="s">
        <v>8</v>
      </c>
      <c r="H9" s="56">
        <v>856</v>
      </c>
      <c r="I9" s="56">
        <v>811</v>
      </c>
    </row>
    <row r="10" spans="2:9" x14ac:dyDescent="0.2">
      <c r="C10"/>
      <c r="G10" s="56"/>
      <c r="H10" s="56"/>
      <c r="I10" s="56"/>
    </row>
    <row r="11" spans="2:9" x14ac:dyDescent="0.2">
      <c r="B11" s="5" t="s">
        <v>11</v>
      </c>
      <c r="C11" s="8">
        <f>G11</f>
        <v>106.31442852963161</v>
      </c>
      <c r="D11" s="5" t="s">
        <v>12</v>
      </c>
      <c r="E11" t="s">
        <v>20</v>
      </c>
      <c r="G11" s="56">
        <f>20*LOG(C8) + 20*LOG(H11) + 36.6</f>
        <v>106.31442852963161</v>
      </c>
      <c r="H11" s="56">
        <f>VLOOKUP(C9,G5:H9,2,FALSE)</f>
        <v>765</v>
      </c>
      <c r="I11" s="56">
        <f>VLOOKUP(C9,G5:I9,3,FALSE)</f>
        <v>801</v>
      </c>
    </row>
    <row r="12" spans="2:9" x14ac:dyDescent="0.2">
      <c r="B12" s="5" t="s">
        <v>15</v>
      </c>
      <c r="C12" s="8">
        <f>C7-C11</f>
        <v>-59.324728486271425</v>
      </c>
      <c r="D12" s="5" t="s">
        <v>14</v>
      </c>
      <c r="E12" t="s">
        <v>16</v>
      </c>
      <c r="G12" s="56"/>
      <c r="H12" s="56"/>
      <c r="I12" s="56"/>
    </row>
    <row r="13" spans="2:9" x14ac:dyDescent="0.2">
      <c r="B13" s="5" t="s">
        <v>13</v>
      </c>
      <c r="C13" s="57">
        <v>-64</v>
      </c>
      <c r="D13" s="5" t="s">
        <v>14</v>
      </c>
      <c r="E13" t="s">
        <v>23</v>
      </c>
      <c r="G13" s="56"/>
      <c r="H13" s="56"/>
      <c r="I13" s="56"/>
    </row>
    <row r="14" spans="2:9" x14ac:dyDescent="0.2">
      <c r="B14" s="5" t="s">
        <v>241</v>
      </c>
      <c r="C14" s="8">
        <f>C7-C13</f>
        <v>110.98970004336019</v>
      </c>
      <c r="D14" s="5" t="s">
        <v>12</v>
      </c>
      <c r="G14" s="56"/>
      <c r="H14" s="56"/>
      <c r="I14" s="56"/>
    </row>
    <row r="15" spans="2:9" x14ac:dyDescent="0.2">
      <c r="B15" s="5" t="s">
        <v>21</v>
      </c>
      <c r="C15" s="8">
        <f>C12-C13</f>
        <v>4.6752715137285747</v>
      </c>
      <c r="D15" s="5" t="s">
        <v>14</v>
      </c>
      <c r="E15" t="s">
        <v>22</v>
      </c>
      <c r="G15" s="56"/>
      <c r="H15" s="56"/>
      <c r="I15" s="56"/>
    </row>
    <row r="16" spans="2:9" x14ac:dyDescent="0.2">
      <c r="C16"/>
      <c r="G16" s="56"/>
      <c r="H16" s="56"/>
      <c r="I16" s="56"/>
    </row>
    <row r="17" spans="2:9" x14ac:dyDescent="0.2">
      <c r="C17"/>
      <c r="G17" s="56"/>
      <c r="H17" s="56"/>
      <c r="I17" s="56"/>
    </row>
    <row r="18" spans="2:9" x14ac:dyDescent="0.2">
      <c r="B18" s="1" t="s">
        <v>26</v>
      </c>
      <c r="C18" s="4"/>
      <c r="D18" s="2"/>
      <c r="G18" s="56"/>
      <c r="H18" s="56"/>
      <c r="I18" s="56"/>
    </row>
    <row r="19" spans="2:9" x14ac:dyDescent="0.2">
      <c r="G19" s="56"/>
      <c r="H19" s="56"/>
      <c r="I19" s="56"/>
    </row>
    <row r="20" spans="2:9" x14ac:dyDescent="0.2">
      <c r="B20" s="5" t="s">
        <v>11</v>
      </c>
      <c r="C20" s="8">
        <f>G20</f>
        <v>106.71385014824401</v>
      </c>
      <c r="D20" s="5" t="s">
        <v>12</v>
      </c>
      <c r="E20" t="s">
        <v>30</v>
      </c>
      <c r="G20" s="56">
        <f>20*LOG(C8) + 20*LOG(I11) + 36.6</f>
        <v>106.71385014824401</v>
      </c>
      <c r="H20" s="56"/>
      <c r="I20" s="56"/>
    </row>
    <row r="21" spans="2:9" x14ac:dyDescent="0.2">
      <c r="B21" s="5" t="s">
        <v>28</v>
      </c>
      <c r="C21" s="8">
        <f>C15</f>
        <v>4.6752715137285747</v>
      </c>
      <c r="D21" s="5" t="s">
        <v>12</v>
      </c>
      <c r="E21" t="s">
        <v>31</v>
      </c>
    </row>
    <row r="22" spans="2:9" x14ac:dyDescent="0.2">
      <c r="B22" s="5" t="s">
        <v>29</v>
      </c>
      <c r="C22" s="8">
        <f>C20+C21</f>
        <v>111.38912166197258</v>
      </c>
      <c r="D22" s="5" t="s">
        <v>12</v>
      </c>
      <c r="E22" t="s">
        <v>32</v>
      </c>
    </row>
  </sheetData>
  <sheetProtection sheet="1" objects="1" scenarios="1"/>
  <mergeCells count="1">
    <mergeCell ref="B5:D5"/>
  </mergeCells>
  <dataValidations count="1">
    <dataValidation type="list" allowBlank="1" showInputMessage="1" showErrorMessage="1" sqref="C9" xr:uid="{7EEEF772-4504-A148-839D-3E33E6774084}">
      <formula1>"VHF,UHF,700 Band,800 Band"</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BBC02-344D-C24C-89CA-9185536419E6}">
  <dimension ref="B2:E61"/>
  <sheetViews>
    <sheetView topLeftCell="A31" zoomScale="120" zoomScaleNormal="120" workbookViewId="0">
      <selection activeCell="E61" sqref="E61"/>
    </sheetView>
  </sheetViews>
  <sheetFormatPr baseColWidth="10" defaultRowHeight="16" x14ac:dyDescent="0.2"/>
  <cols>
    <col min="1" max="1" width="4.83203125" customWidth="1"/>
    <col min="2" max="2" width="36.6640625" customWidth="1"/>
    <col min="3" max="3" width="11.1640625" customWidth="1"/>
    <col min="4" max="4" width="8.5" customWidth="1"/>
    <col min="5" max="5" width="61.6640625" customWidth="1"/>
    <col min="6" max="6" width="11.33203125" customWidth="1"/>
    <col min="7" max="7" width="12.1640625" bestFit="1" customWidth="1"/>
    <col min="8" max="8" width="11.1640625" customWidth="1"/>
  </cols>
  <sheetData>
    <row r="2" spans="2:5" ht="19" x14ac:dyDescent="0.25">
      <c r="B2" s="58" t="s">
        <v>208</v>
      </c>
      <c r="C2" s="3"/>
    </row>
    <row r="3" spans="2:5" x14ac:dyDescent="0.2">
      <c r="C3" s="3"/>
    </row>
    <row r="4" spans="2:5" x14ac:dyDescent="0.2">
      <c r="B4" s="1" t="s">
        <v>233</v>
      </c>
      <c r="C4" s="4"/>
      <c r="D4" s="2"/>
      <c r="E4" s="2"/>
    </row>
    <row r="5" spans="2:5" x14ac:dyDescent="0.2">
      <c r="B5" s="80" t="s">
        <v>43</v>
      </c>
      <c r="C5" s="80"/>
      <c r="D5" s="80"/>
      <c r="E5" s="80"/>
    </row>
    <row r="6" spans="2:5" x14ac:dyDescent="0.2">
      <c r="B6" s="5" t="s">
        <v>1</v>
      </c>
      <c r="C6" s="57">
        <v>75</v>
      </c>
      <c r="D6" s="5" t="s">
        <v>2</v>
      </c>
      <c r="E6" t="s">
        <v>33</v>
      </c>
    </row>
    <row r="7" spans="2:5" x14ac:dyDescent="0.2">
      <c r="B7" s="5" t="s">
        <v>24</v>
      </c>
      <c r="C7" s="8">
        <f>10*LOG(C6/0.001)</f>
        <v>48.750612633917001</v>
      </c>
      <c r="D7" s="5" t="s">
        <v>14</v>
      </c>
      <c r="E7" t="s">
        <v>18</v>
      </c>
    </row>
    <row r="8" spans="2:5" x14ac:dyDescent="0.2">
      <c r="B8" s="5" t="s">
        <v>41</v>
      </c>
      <c r="C8" s="57">
        <v>-68</v>
      </c>
      <c r="D8" s="5" t="s">
        <v>14</v>
      </c>
      <c r="E8" t="s">
        <v>35</v>
      </c>
    </row>
    <row r="9" spans="2:5" x14ac:dyDescent="0.2">
      <c r="B9" s="5" t="s">
        <v>267</v>
      </c>
      <c r="C9" s="8">
        <f>C7-C8</f>
        <v>116.750612633917</v>
      </c>
      <c r="D9" s="5" t="s">
        <v>12</v>
      </c>
      <c r="E9" t="s">
        <v>36</v>
      </c>
    </row>
    <row r="10" spans="2:5" x14ac:dyDescent="0.2">
      <c r="B10" s="5" t="s">
        <v>37</v>
      </c>
      <c r="C10" s="59">
        <v>20</v>
      </c>
      <c r="D10" s="5"/>
      <c r="E10" t="s">
        <v>38</v>
      </c>
    </row>
    <row r="11" spans="2:5" x14ac:dyDescent="0.2">
      <c r="B11" s="5" t="s">
        <v>39</v>
      </c>
      <c r="C11" s="6">
        <f>10*LOG(C10)</f>
        <v>13.010299956639813</v>
      </c>
      <c r="D11" s="5" t="s">
        <v>12</v>
      </c>
      <c r="E11" t="s">
        <v>16</v>
      </c>
    </row>
    <row r="12" spans="2:5" x14ac:dyDescent="0.2">
      <c r="B12" s="5" t="s">
        <v>40</v>
      </c>
      <c r="C12" s="8">
        <f>C8+C11</f>
        <v>-54.989700043360187</v>
      </c>
      <c r="D12" s="5" t="s">
        <v>14</v>
      </c>
      <c r="E12" t="s">
        <v>266</v>
      </c>
    </row>
    <row r="21" spans="2:5" x14ac:dyDescent="0.2">
      <c r="B21" s="1" t="s">
        <v>42</v>
      </c>
      <c r="C21" s="4"/>
      <c r="D21" s="2"/>
      <c r="E21" s="2"/>
    </row>
    <row r="22" spans="2:5" x14ac:dyDescent="0.2">
      <c r="B22" s="80" t="s">
        <v>268</v>
      </c>
      <c r="C22" s="80"/>
      <c r="D22" s="80"/>
      <c r="E22" s="80"/>
    </row>
    <row r="23" spans="2:5" x14ac:dyDescent="0.2">
      <c r="B23" s="5" t="s">
        <v>224</v>
      </c>
      <c r="C23" s="57">
        <v>0</v>
      </c>
      <c r="D23" s="5" t="s">
        <v>14</v>
      </c>
      <c r="E23" t="s">
        <v>44</v>
      </c>
    </row>
    <row r="24" spans="2:5" x14ac:dyDescent="0.2">
      <c r="B24" s="5" t="s">
        <v>46</v>
      </c>
      <c r="C24" s="57">
        <v>-61</v>
      </c>
      <c r="D24" s="5" t="s">
        <v>14</v>
      </c>
      <c r="E24" t="s">
        <v>45</v>
      </c>
    </row>
    <row r="25" spans="2:5" x14ac:dyDescent="0.2">
      <c r="B25" s="5" t="s">
        <v>48</v>
      </c>
      <c r="C25" s="9">
        <f>C23-C24</f>
        <v>61</v>
      </c>
      <c r="D25" s="5" t="s">
        <v>12</v>
      </c>
      <c r="E25" t="s">
        <v>226</v>
      </c>
    </row>
    <row r="26" spans="2:5" x14ac:dyDescent="0.2">
      <c r="B26" s="5" t="s">
        <v>47</v>
      </c>
      <c r="C26" s="60">
        <v>-89</v>
      </c>
      <c r="D26" s="5" t="s">
        <v>14</v>
      </c>
      <c r="E26" t="s">
        <v>249</v>
      </c>
    </row>
    <row r="27" spans="2:5" x14ac:dyDescent="0.2">
      <c r="B27" s="5" t="s">
        <v>49</v>
      </c>
      <c r="C27" s="12">
        <f>C23-C26</f>
        <v>89</v>
      </c>
      <c r="D27" s="5" t="s">
        <v>12</v>
      </c>
    </row>
    <row r="28" spans="2:5" x14ac:dyDescent="0.2">
      <c r="B28" s="5" t="s">
        <v>223</v>
      </c>
      <c r="C28" s="12">
        <f>C27-C25</f>
        <v>28</v>
      </c>
      <c r="D28" s="5" t="s">
        <v>12</v>
      </c>
      <c r="E28" t="s">
        <v>225</v>
      </c>
    </row>
    <row r="29" spans="2:5" ht="51" x14ac:dyDescent="0.2">
      <c r="C29" s="3"/>
      <c r="E29" s="64" t="s">
        <v>227</v>
      </c>
    </row>
    <row r="30" spans="2:5" ht="34" x14ac:dyDescent="0.2">
      <c r="C30" s="3"/>
      <c r="E30" s="64" t="s">
        <v>252</v>
      </c>
    </row>
    <row r="31" spans="2:5" x14ac:dyDescent="0.2">
      <c r="C31" s="3"/>
    </row>
    <row r="32" spans="2:5" x14ac:dyDescent="0.2">
      <c r="C32" s="3"/>
    </row>
    <row r="33" spans="2:5" x14ac:dyDescent="0.2">
      <c r="C33" s="3"/>
    </row>
    <row r="35" spans="2:5" x14ac:dyDescent="0.2">
      <c r="B35" s="1" t="s">
        <v>50</v>
      </c>
      <c r="C35" s="4"/>
      <c r="D35" s="2"/>
      <c r="E35" s="2"/>
    </row>
    <row r="36" spans="2:5" x14ac:dyDescent="0.2">
      <c r="B36" s="80" t="s">
        <v>245</v>
      </c>
      <c r="C36" s="80"/>
      <c r="D36" s="80"/>
      <c r="E36" s="80"/>
    </row>
    <row r="37" spans="2:5" x14ac:dyDescent="0.2">
      <c r="B37" s="5" t="s">
        <v>254</v>
      </c>
      <c r="C37" s="57">
        <v>-100</v>
      </c>
      <c r="D37" s="5" t="s">
        <v>14</v>
      </c>
      <c r="E37" t="s">
        <v>51</v>
      </c>
    </row>
    <row r="38" spans="2:5" x14ac:dyDescent="0.2">
      <c r="B38" s="5" t="s">
        <v>253</v>
      </c>
      <c r="C38" s="57">
        <v>-100</v>
      </c>
      <c r="D38" s="5" t="s">
        <v>14</v>
      </c>
      <c r="E38" t="s">
        <v>255</v>
      </c>
    </row>
    <row r="39" spans="2:5" x14ac:dyDescent="0.2">
      <c r="B39" s="5" t="s">
        <v>27</v>
      </c>
      <c r="C39" s="57">
        <v>10</v>
      </c>
      <c r="D39" s="5" t="s">
        <v>12</v>
      </c>
      <c r="E39" t="s">
        <v>261</v>
      </c>
    </row>
    <row r="40" spans="2:5" x14ac:dyDescent="0.2">
      <c r="B40" s="5" t="s">
        <v>52</v>
      </c>
      <c r="C40" s="57">
        <v>3</v>
      </c>
      <c r="D40" s="5" t="s">
        <v>2</v>
      </c>
      <c r="E40" t="s">
        <v>256</v>
      </c>
    </row>
    <row r="41" spans="2:5" x14ac:dyDescent="0.2">
      <c r="B41" s="5" t="s">
        <v>234</v>
      </c>
      <c r="C41" s="8">
        <f>10*LOG(C40/0.001)</f>
        <v>34.771212547196626</v>
      </c>
      <c r="D41" s="5" t="s">
        <v>14</v>
      </c>
    </row>
    <row r="42" spans="2:5" x14ac:dyDescent="0.2">
      <c r="B42" s="5" t="s">
        <v>257</v>
      </c>
      <c r="C42" s="8">
        <f>C41-C25</f>
        <v>-26.228787452803374</v>
      </c>
      <c r="D42" s="5" t="s">
        <v>14</v>
      </c>
    </row>
    <row r="43" spans="2:5" x14ac:dyDescent="0.2">
      <c r="B43" s="5" t="s">
        <v>258</v>
      </c>
      <c r="C43" s="8">
        <f>C41-C27</f>
        <v>-54.228787452803374</v>
      </c>
      <c r="D43" s="5" t="s">
        <v>14</v>
      </c>
    </row>
    <row r="44" spans="2:5" x14ac:dyDescent="0.2">
      <c r="B44" s="5" t="s">
        <v>259</v>
      </c>
      <c r="C44" s="11">
        <f>C37-C8+C27</f>
        <v>57</v>
      </c>
      <c r="D44" s="5" t="s">
        <v>12</v>
      </c>
      <c r="E44" t="s">
        <v>247</v>
      </c>
    </row>
    <row r="45" spans="2:5" x14ac:dyDescent="0.2">
      <c r="B45" s="5" t="s">
        <v>260</v>
      </c>
      <c r="C45" s="11">
        <f>C38-C43+C9-C39</f>
        <v>60.979400086720375</v>
      </c>
      <c r="D45" s="5" t="s">
        <v>12</v>
      </c>
      <c r="E45" t="s">
        <v>248</v>
      </c>
    </row>
    <row r="46" spans="2:5" ht="49" customHeight="1" x14ac:dyDescent="0.2">
      <c r="C46" s="67"/>
      <c r="E46" s="70" t="s">
        <v>246</v>
      </c>
    </row>
    <row r="47" spans="2:5" x14ac:dyDescent="0.2">
      <c r="C47" s="67"/>
    </row>
    <row r="48" spans="2:5" x14ac:dyDescent="0.2">
      <c r="C48" s="67"/>
    </row>
    <row r="49" spans="2:5" x14ac:dyDescent="0.2">
      <c r="B49" s="1" t="s">
        <v>243</v>
      </c>
      <c r="C49" s="68"/>
      <c r="D49" s="2"/>
      <c r="E49" s="2"/>
    </row>
    <row r="50" spans="2:5" x14ac:dyDescent="0.2">
      <c r="B50" s="80" t="s">
        <v>244</v>
      </c>
      <c r="C50" s="80"/>
      <c r="D50" s="80"/>
      <c r="E50" s="80"/>
    </row>
    <row r="51" spans="2:5" x14ac:dyDescent="0.2">
      <c r="B51" s="5" t="s">
        <v>239</v>
      </c>
      <c r="C51" s="11">
        <f>C42+C45</f>
        <v>34.750612633917001</v>
      </c>
      <c r="D51" s="5" t="s">
        <v>14</v>
      </c>
      <c r="E51" t="s">
        <v>240</v>
      </c>
    </row>
    <row r="52" spans="2:5" x14ac:dyDescent="0.2">
      <c r="B52" s="5" t="s">
        <v>235</v>
      </c>
      <c r="C52" s="59">
        <v>27</v>
      </c>
      <c r="D52" s="5" t="s">
        <v>14</v>
      </c>
      <c r="E52" t="s">
        <v>236</v>
      </c>
    </row>
    <row r="53" spans="2:5" x14ac:dyDescent="0.2">
      <c r="B53" s="5" t="s">
        <v>237</v>
      </c>
      <c r="C53" s="11">
        <f>IF(C51&gt;C52, C51-C52,"None")</f>
        <v>7.7506126339170009</v>
      </c>
      <c r="D53" s="5" t="s">
        <v>12</v>
      </c>
      <c r="E53" t="s">
        <v>238</v>
      </c>
    </row>
    <row r="55" spans="2:5" x14ac:dyDescent="0.2">
      <c r="B55" s="1" t="s">
        <v>206</v>
      </c>
      <c r="C55" s="4"/>
      <c r="D55" s="2"/>
      <c r="E55" s="2"/>
    </row>
    <row r="56" spans="2:5" x14ac:dyDescent="0.2">
      <c r="B56" s="80" t="s">
        <v>269</v>
      </c>
      <c r="C56" s="80"/>
      <c r="D56" s="80"/>
      <c r="E56" s="80"/>
    </row>
    <row r="57" spans="2:5" x14ac:dyDescent="0.2">
      <c r="B57" s="5" t="s">
        <v>53</v>
      </c>
      <c r="C57" s="57">
        <v>-85</v>
      </c>
      <c r="D57" s="5" t="s">
        <v>14</v>
      </c>
      <c r="E57" t="s">
        <v>207</v>
      </c>
    </row>
    <row r="58" spans="2:5" x14ac:dyDescent="0.2">
      <c r="B58" s="5" t="s">
        <v>54</v>
      </c>
      <c r="C58" s="11">
        <f>C52</f>
        <v>27</v>
      </c>
      <c r="D58" s="5" t="s">
        <v>14</v>
      </c>
      <c r="E58" t="s">
        <v>251</v>
      </c>
    </row>
    <row r="59" spans="2:5" x14ac:dyDescent="0.2">
      <c r="B59" s="5" t="s">
        <v>250</v>
      </c>
      <c r="C59" s="11">
        <f>C57+C9-C39</f>
        <v>21.750612633917001</v>
      </c>
      <c r="D59" s="5" t="s">
        <v>14</v>
      </c>
      <c r="E59" t="s">
        <v>55</v>
      </c>
    </row>
    <row r="60" spans="2:5" x14ac:dyDescent="0.2">
      <c r="E60" s="69" t="str">
        <f>IF(C58&gt;C59,"Reduce BDA UL Composite power control to " &amp; ROUND(C59,0) &amp; "dBm", "")</f>
        <v>Reduce BDA UL Composite power control to 22dBm</v>
      </c>
    </row>
    <row r="61" spans="2:5" ht="50" customHeight="1" x14ac:dyDescent="0.2"/>
  </sheetData>
  <sheetProtection sheet="1" objects="1" scenarios="1"/>
  <mergeCells count="5">
    <mergeCell ref="B36:E36"/>
    <mergeCell ref="B22:E22"/>
    <mergeCell ref="B5:E5"/>
    <mergeCell ref="B50:E50"/>
    <mergeCell ref="B56:E56"/>
  </mergeCells>
  <conditionalFormatting sqref="E29">
    <cfRule type="expression" dxfId="3" priority="3" stopIfTrue="1">
      <formula>C25&lt;60</formula>
    </cfRule>
  </conditionalFormatting>
  <conditionalFormatting sqref="E30">
    <cfRule type="expression" dxfId="2" priority="2">
      <formula>C28&gt;35</formula>
    </cfRule>
  </conditionalFormatting>
  <conditionalFormatting sqref="E53">
    <cfRule type="expression" dxfId="1" priority="1">
      <formula>C53&gt;10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8539E-D8A2-E344-B864-87308DBCDB69}">
  <dimension ref="B2:E14"/>
  <sheetViews>
    <sheetView zoomScale="110" zoomScaleNormal="110" workbookViewId="0">
      <selection activeCell="B2" sqref="B2:D4"/>
    </sheetView>
  </sheetViews>
  <sheetFormatPr baseColWidth="10" defaultRowHeight="16" x14ac:dyDescent="0.2"/>
  <cols>
    <col min="1" max="1" width="3.33203125" customWidth="1"/>
    <col min="2" max="2" width="42.83203125" bestFit="1" customWidth="1"/>
    <col min="5" max="5" width="66.1640625" customWidth="1"/>
  </cols>
  <sheetData>
    <row r="2" spans="2:5" ht="19" x14ac:dyDescent="0.25">
      <c r="B2" s="58" t="s">
        <v>209</v>
      </c>
      <c r="C2" s="3"/>
    </row>
    <row r="3" spans="2:5" x14ac:dyDescent="0.2">
      <c r="B3" s="2" t="s">
        <v>262</v>
      </c>
      <c r="C3" s="4"/>
      <c r="D3" s="2"/>
      <c r="E3" s="2"/>
    </row>
    <row r="4" spans="2:5" x14ac:dyDescent="0.2">
      <c r="B4" s="1" t="s">
        <v>216</v>
      </c>
      <c r="C4" s="4"/>
      <c r="D4" s="2"/>
      <c r="E4" s="2"/>
    </row>
    <row r="5" spans="2:5" x14ac:dyDescent="0.2">
      <c r="B5" s="5" t="s">
        <v>211</v>
      </c>
      <c r="C5" s="9">
        <v>-134</v>
      </c>
      <c r="D5" s="5" t="s">
        <v>14</v>
      </c>
    </row>
    <row r="6" spans="2:5" x14ac:dyDescent="0.2">
      <c r="B6" s="5" t="s">
        <v>210</v>
      </c>
      <c r="C6" s="8">
        <f>'BDA Gain Calculator'!C9</f>
        <v>116.750612633917</v>
      </c>
      <c r="D6" s="5" t="s">
        <v>14</v>
      </c>
      <c r="E6" t="s">
        <v>218</v>
      </c>
    </row>
    <row r="7" spans="2:5" x14ac:dyDescent="0.2">
      <c r="B7" s="5" t="s">
        <v>263</v>
      </c>
      <c r="C7" s="57">
        <v>-53</v>
      </c>
      <c r="D7" s="5" t="s">
        <v>14</v>
      </c>
      <c r="E7" t="s">
        <v>264</v>
      </c>
    </row>
    <row r="8" spans="2:5" x14ac:dyDescent="0.2">
      <c r="B8" s="5" t="s">
        <v>212</v>
      </c>
      <c r="C8" s="8">
        <f>C7-C6</f>
        <v>-169.750612633917</v>
      </c>
      <c r="D8" s="5" t="s">
        <v>14</v>
      </c>
      <c r="E8" t="s">
        <v>219</v>
      </c>
    </row>
    <row r="9" spans="2:5" x14ac:dyDescent="0.2">
      <c r="B9" s="81" t="str">
        <f>IF(C8&gt;-134, "Caution, this system is NOT compliant and will cause donor interference","")</f>
        <v/>
      </c>
      <c r="C9" s="82"/>
      <c r="D9" s="83"/>
      <c r="E9" t="s">
        <v>220</v>
      </c>
    </row>
    <row r="10" spans="2:5" x14ac:dyDescent="0.2">
      <c r="B10" s="5" t="s">
        <v>213</v>
      </c>
      <c r="C10" s="59">
        <v>8</v>
      </c>
      <c r="D10" s="5" t="s">
        <v>12</v>
      </c>
      <c r="E10" t="s">
        <v>221</v>
      </c>
    </row>
    <row r="11" spans="2:5" x14ac:dyDescent="0.2">
      <c r="B11" s="5" t="s">
        <v>214</v>
      </c>
      <c r="C11" s="6">
        <f>C7+C10</f>
        <v>-45</v>
      </c>
      <c r="D11" s="5" t="s">
        <v>14</v>
      </c>
      <c r="E11" t="s">
        <v>265</v>
      </c>
    </row>
    <row r="12" spans="2:5" x14ac:dyDescent="0.2">
      <c r="B12" s="84" t="str">
        <f>IF(C11&gt;-43, "Warning, this installation is not in compliance with FCC rules, reduce UL gain","")</f>
        <v/>
      </c>
      <c r="C12" s="84"/>
      <c r="D12" s="84"/>
    </row>
    <row r="14" spans="2:5" x14ac:dyDescent="0.2">
      <c r="B14" t="s">
        <v>215</v>
      </c>
      <c r="C14" t="s">
        <v>217</v>
      </c>
    </row>
  </sheetData>
  <sheetProtection sheet="1" objects="1" scenarios="1"/>
  <mergeCells count="2">
    <mergeCell ref="B9:D9"/>
    <mergeCell ref="B12:D12"/>
  </mergeCells>
  <conditionalFormatting sqref="B9:D9">
    <cfRule type="notContainsBlanks" dxfId="0" priority="1">
      <formula>LEN(TRIM(B9))&gt;0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0D245-0E45-F145-BB1C-D965F031132C}">
  <dimension ref="B1:F41"/>
  <sheetViews>
    <sheetView workbookViewId="0">
      <selection activeCell="D29" sqref="D29"/>
    </sheetView>
  </sheetViews>
  <sheetFormatPr baseColWidth="10" defaultRowHeight="16" x14ac:dyDescent="0.2"/>
  <cols>
    <col min="1" max="1" width="5.33203125" customWidth="1"/>
    <col min="2" max="2" width="12.83203125" customWidth="1"/>
    <col min="3" max="3" width="15.5" customWidth="1"/>
    <col min="4" max="4" width="13.1640625" customWidth="1"/>
    <col min="5" max="5" width="104.1640625" bestFit="1" customWidth="1"/>
    <col min="6" max="6" width="21.6640625" customWidth="1"/>
  </cols>
  <sheetData>
    <row r="1" spans="2:6" ht="22" x14ac:dyDescent="0.3">
      <c r="B1" s="85" t="s">
        <v>270</v>
      </c>
      <c r="C1" s="85"/>
      <c r="D1" s="71"/>
      <c r="E1" s="71"/>
      <c r="F1" s="71"/>
    </row>
    <row r="2" spans="2:6" ht="19" x14ac:dyDescent="0.25">
      <c r="B2" s="72"/>
      <c r="C2" s="73"/>
      <c r="D2" s="72"/>
      <c r="E2" s="72"/>
      <c r="F2" s="71"/>
    </row>
    <row r="3" spans="2:6" ht="19" x14ac:dyDescent="0.25">
      <c r="B3" s="74" t="s">
        <v>302</v>
      </c>
      <c r="C3" s="76" t="s">
        <v>297</v>
      </c>
      <c r="D3" s="76" t="s">
        <v>298</v>
      </c>
      <c r="E3" s="77" t="s">
        <v>301</v>
      </c>
      <c r="F3" s="71"/>
    </row>
    <row r="4" spans="2:6" ht="19" x14ac:dyDescent="0.25">
      <c r="B4" s="71"/>
      <c r="C4" s="71"/>
      <c r="D4" s="71"/>
      <c r="E4" s="71"/>
      <c r="F4" s="71"/>
    </row>
    <row r="5" spans="2:6" ht="19" x14ac:dyDescent="0.25">
      <c r="B5" s="71" t="s">
        <v>6</v>
      </c>
      <c r="C5" s="71" t="s">
        <v>296</v>
      </c>
      <c r="D5" s="71" t="s">
        <v>299</v>
      </c>
      <c r="E5" s="71" t="s">
        <v>300</v>
      </c>
      <c r="F5" s="71"/>
    </row>
    <row r="6" spans="2:6" ht="19" x14ac:dyDescent="0.25">
      <c r="B6" s="61" t="s">
        <v>7</v>
      </c>
      <c r="C6" s="61" t="s">
        <v>271</v>
      </c>
      <c r="D6" s="61" t="s">
        <v>272</v>
      </c>
      <c r="E6" s="61" t="s">
        <v>304</v>
      </c>
    </row>
    <row r="7" spans="2:6" ht="19" x14ac:dyDescent="0.25">
      <c r="B7" s="61" t="s">
        <v>7</v>
      </c>
      <c r="C7" s="61" t="s">
        <v>273</v>
      </c>
      <c r="D7" s="61" t="s">
        <v>274</v>
      </c>
      <c r="E7" s="61" t="s">
        <v>304</v>
      </c>
    </row>
    <row r="8" spans="2:6" ht="19" x14ac:dyDescent="0.25">
      <c r="B8" s="61" t="s">
        <v>7</v>
      </c>
      <c r="C8" s="61" t="s">
        <v>275</v>
      </c>
      <c r="D8" s="61" t="s">
        <v>276</v>
      </c>
      <c r="E8" s="61" t="s">
        <v>277</v>
      </c>
    </row>
    <row r="9" spans="2:6" ht="19" x14ac:dyDescent="0.25">
      <c r="B9" s="61" t="s">
        <v>7</v>
      </c>
      <c r="C9" s="61" t="s">
        <v>278</v>
      </c>
      <c r="D9" s="61" t="s">
        <v>279</v>
      </c>
      <c r="E9" s="61" t="s">
        <v>280</v>
      </c>
    </row>
    <row r="10" spans="2:6" ht="19" x14ac:dyDescent="0.25">
      <c r="B10" s="61" t="s">
        <v>7</v>
      </c>
      <c r="C10" s="61" t="s">
        <v>281</v>
      </c>
      <c r="D10" s="61" t="s">
        <v>282</v>
      </c>
      <c r="E10" s="61" t="s">
        <v>283</v>
      </c>
    </row>
    <row r="11" spans="2:6" ht="19" x14ac:dyDescent="0.25">
      <c r="B11" s="61" t="s">
        <v>7</v>
      </c>
      <c r="C11" s="61" t="s">
        <v>284</v>
      </c>
      <c r="D11" s="61" t="s">
        <v>285</v>
      </c>
      <c r="E11" s="61" t="s">
        <v>286</v>
      </c>
    </row>
    <row r="12" spans="2:6" ht="19" x14ac:dyDescent="0.25">
      <c r="B12" s="61" t="s">
        <v>7</v>
      </c>
      <c r="C12" s="61" t="s">
        <v>287</v>
      </c>
      <c r="D12" s="61" t="s">
        <v>288</v>
      </c>
      <c r="E12" s="61" t="s">
        <v>289</v>
      </c>
    </row>
    <row r="13" spans="2:6" ht="19" x14ac:dyDescent="0.25">
      <c r="B13" s="61" t="s">
        <v>7</v>
      </c>
      <c r="C13" s="61" t="s">
        <v>290</v>
      </c>
      <c r="D13" s="61" t="s">
        <v>291</v>
      </c>
      <c r="E13" s="61" t="s">
        <v>292</v>
      </c>
    </row>
    <row r="14" spans="2:6" ht="19" x14ac:dyDescent="0.25">
      <c r="B14" s="61" t="s">
        <v>7</v>
      </c>
      <c r="C14" s="61" t="s">
        <v>293</v>
      </c>
      <c r="D14" s="61" t="s">
        <v>294</v>
      </c>
      <c r="E14" s="61" t="s">
        <v>295</v>
      </c>
    </row>
    <row r="15" spans="2:6" ht="19" x14ac:dyDescent="0.25">
      <c r="B15" s="75" t="s">
        <v>303</v>
      </c>
      <c r="C15" s="61" t="s">
        <v>305</v>
      </c>
      <c r="D15" s="61" t="s">
        <v>306</v>
      </c>
      <c r="E15" s="61" t="s">
        <v>307</v>
      </c>
    </row>
    <row r="16" spans="2:6" ht="19" x14ac:dyDescent="0.25">
      <c r="B16" s="75">
        <v>700</v>
      </c>
      <c r="C16" s="61" t="s">
        <v>308</v>
      </c>
      <c r="D16" s="61" t="s">
        <v>309</v>
      </c>
      <c r="E16" s="61" t="s">
        <v>310</v>
      </c>
    </row>
    <row r="17" spans="2:5" ht="19" x14ac:dyDescent="0.25">
      <c r="B17" s="75" t="s">
        <v>311</v>
      </c>
      <c r="C17" s="61" t="s">
        <v>312</v>
      </c>
      <c r="D17" s="61" t="s">
        <v>313</v>
      </c>
      <c r="E17" s="61" t="s">
        <v>316</v>
      </c>
    </row>
    <row r="18" spans="2:5" ht="19" x14ac:dyDescent="0.25">
      <c r="B18" s="75">
        <v>800</v>
      </c>
      <c r="C18" s="61" t="s">
        <v>314</v>
      </c>
      <c r="D18" s="61" t="s">
        <v>315</v>
      </c>
      <c r="E18" s="61" t="s">
        <v>304</v>
      </c>
    </row>
    <row r="19" spans="2:5" ht="19" x14ac:dyDescent="0.25">
      <c r="B19" s="61"/>
      <c r="C19" s="61"/>
      <c r="D19" s="61"/>
      <c r="E19" s="61"/>
    </row>
    <row r="20" spans="2:5" ht="19" x14ac:dyDescent="0.25">
      <c r="B20" s="61"/>
      <c r="C20" s="61"/>
      <c r="D20" s="61"/>
      <c r="E20" s="61"/>
    </row>
    <row r="21" spans="2:5" ht="22" x14ac:dyDescent="0.3">
      <c r="B21" s="85" t="s">
        <v>317</v>
      </c>
      <c r="C21" s="85"/>
      <c r="D21" s="71"/>
      <c r="E21" s="71"/>
    </row>
    <row r="22" spans="2:5" ht="40" x14ac:dyDescent="0.2">
      <c r="B22" s="76" t="s">
        <v>318</v>
      </c>
      <c r="C22" s="76" t="s">
        <v>319</v>
      </c>
      <c r="D22" s="78" t="s">
        <v>323</v>
      </c>
      <c r="E22" s="77" t="s">
        <v>301</v>
      </c>
    </row>
    <row r="23" spans="2:5" ht="19" x14ac:dyDescent="0.25">
      <c r="B23" s="75">
        <v>757</v>
      </c>
      <c r="C23" s="75">
        <v>758</v>
      </c>
      <c r="D23" t="s">
        <v>321</v>
      </c>
      <c r="E23" s="75" t="s">
        <v>320</v>
      </c>
    </row>
    <row r="24" spans="2:5" ht="19" x14ac:dyDescent="0.25">
      <c r="B24" s="75">
        <v>768</v>
      </c>
      <c r="C24" s="75">
        <v>769</v>
      </c>
      <c r="D24" t="s">
        <v>322</v>
      </c>
      <c r="E24" s="75" t="s">
        <v>324</v>
      </c>
    </row>
    <row r="25" spans="2:5" ht="19" x14ac:dyDescent="0.25">
      <c r="B25" s="75">
        <v>775</v>
      </c>
      <c r="C25" s="75">
        <v>776</v>
      </c>
      <c r="D25" t="s">
        <v>321</v>
      </c>
      <c r="E25" s="75" t="s">
        <v>325</v>
      </c>
    </row>
    <row r="26" spans="2:5" ht="19" x14ac:dyDescent="0.25">
      <c r="B26" s="75">
        <v>805</v>
      </c>
      <c r="C26" s="75">
        <v>806</v>
      </c>
      <c r="D26" t="s">
        <v>322</v>
      </c>
      <c r="E26" s="75" t="s">
        <v>326</v>
      </c>
    </row>
    <row r="27" spans="2:5" ht="19" x14ac:dyDescent="0.25">
      <c r="B27" s="75">
        <v>816</v>
      </c>
      <c r="C27" s="75">
        <v>817</v>
      </c>
      <c r="D27" t="s">
        <v>321</v>
      </c>
      <c r="E27" s="75" t="s">
        <v>327</v>
      </c>
    </row>
    <row r="28" spans="2:5" ht="19" x14ac:dyDescent="0.25">
      <c r="B28" s="75">
        <v>861</v>
      </c>
      <c r="C28" s="75">
        <v>862</v>
      </c>
      <c r="D28" t="s">
        <v>321</v>
      </c>
      <c r="E28" s="75" t="s">
        <v>327</v>
      </c>
    </row>
    <row r="29" spans="2:5" ht="19" x14ac:dyDescent="0.25">
      <c r="B29" s="75"/>
      <c r="C29" s="75"/>
      <c r="D29" s="75"/>
      <c r="E29" s="75" t="s">
        <v>328</v>
      </c>
    </row>
    <row r="30" spans="2:5" ht="19" x14ac:dyDescent="0.25">
      <c r="B30" s="75"/>
      <c r="C30" s="75"/>
      <c r="D30" s="75"/>
      <c r="E30" s="75"/>
    </row>
    <row r="31" spans="2:5" ht="19" x14ac:dyDescent="0.25">
      <c r="B31" s="75"/>
      <c r="C31" s="75"/>
      <c r="D31" s="75"/>
      <c r="E31" s="75"/>
    </row>
    <row r="32" spans="2:5" ht="19" x14ac:dyDescent="0.25">
      <c r="B32" s="75"/>
      <c r="C32" s="75"/>
      <c r="D32" s="75"/>
      <c r="E32" s="75"/>
    </row>
    <row r="33" spans="2:5" ht="19" x14ac:dyDescent="0.25">
      <c r="B33" s="75"/>
      <c r="C33" s="75"/>
      <c r="D33" s="75"/>
      <c r="E33" s="75"/>
    </row>
    <row r="34" spans="2:5" ht="19" x14ac:dyDescent="0.25">
      <c r="B34" s="75"/>
      <c r="C34" s="75"/>
      <c r="D34" s="75"/>
      <c r="E34" s="75"/>
    </row>
    <row r="35" spans="2:5" ht="19" x14ac:dyDescent="0.25">
      <c r="B35" s="75"/>
      <c r="C35" s="75"/>
      <c r="D35" s="75"/>
      <c r="E35" s="75"/>
    </row>
    <row r="36" spans="2:5" ht="19" x14ac:dyDescent="0.25">
      <c r="B36" s="75"/>
      <c r="C36" s="75"/>
      <c r="D36" s="75"/>
      <c r="E36" s="75"/>
    </row>
    <row r="37" spans="2:5" ht="19" x14ac:dyDescent="0.25">
      <c r="B37" s="75"/>
      <c r="C37" s="75"/>
      <c r="D37" s="75"/>
      <c r="E37" s="75"/>
    </row>
    <row r="38" spans="2:5" ht="19" x14ac:dyDescent="0.25">
      <c r="B38" s="75"/>
      <c r="C38" s="75"/>
      <c r="D38" s="75"/>
      <c r="E38" s="75"/>
    </row>
    <row r="39" spans="2:5" ht="19" x14ac:dyDescent="0.25">
      <c r="B39" s="75"/>
      <c r="C39" s="75"/>
      <c r="D39" s="75"/>
      <c r="E39" s="75"/>
    </row>
    <row r="40" spans="2:5" ht="19" x14ac:dyDescent="0.25">
      <c r="B40" s="75"/>
      <c r="C40" s="75"/>
      <c r="D40" s="75"/>
      <c r="E40" s="75"/>
    </row>
    <row r="41" spans="2:5" ht="19" x14ac:dyDescent="0.25">
      <c r="B41" s="75"/>
      <c r="C41" s="75"/>
      <c r="D41" s="75"/>
      <c r="E41" s="75"/>
    </row>
  </sheetData>
  <sheetProtection sheet="1" objects="1" scenarios="1"/>
  <mergeCells count="2">
    <mergeCell ref="B1:C1"/>
    <mergeCell ref="B21:C21"/>
  </mergeCells>
  <phoneticPr fontId="2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B01C-C467-454E-860C-5B7F47661D79}">
  <dimension ref="B1:M197"/>
  <sheetViews>
    <sheetView zoomScale="110" zoomScaleNormal="110" workbookViewId="0">
      <selection activeCell="D133" sqref="D133"/>
    </sheetView>
  </sheetViews>
  <sheetFormatPr baseColWidth="10" defaultRowHeight="16" x14ac:dyDescent="0.2"/>
  <cols>
    <col min="1" max="1" width="5" customWidth="1"/>
    <col min="3" max="3" width="22.33203125" customWidth="1"/>
    <col min="4" max="4" width="37.6640625" bestFit="1" customWidth="1"/>
  </cols>
  <sheetData>
    <row r="1" spans="2:13" x14ac:dyDescent="0.2">
      <c r="B1" s="13" t="s">
        <v>200</v>
      </c>
      <c r="E1" s="14"/>
      <c r="G1" t="s">
        <v>56</v>
      </c>
      <c r="H1" s="15">
        <v>37325</v>
      </c>
    </row>
    <row r="2" spans="2:13" x14ac:dyDescent="0.2">
      <c r="B2" s="13" t="s">
        <v>57</v>
      </c>
      <c r="E2" s="14"/>
    </row>
    <row r="3" spans="2:13" x14ac:dyDescent="0.2">
      <c r="B3" s="16" t="s">
        <v>58</v>
      </c>
      <c r="E3" s="14"/>
    </row>
    <row r="4" spans="2:13" x14ac:dyDescent="0.2">
      <c r="B4" s="13" t="s">
        <v>59</v>
      </c>
      <c r="E4" s="14"/>
    </row>
    <row r="5" spans="2:13" x14ac:dyDescent="0.2">
      <c r="E5" s="14"/>
    </row>
    <row r="6" spans="2:13" x14ac:dyDescent="0.2">
      <c r="B6" s="13" t="s">
        <v>60</v>
      </c>
      <c r="C6" s="13"/>
      <c r="D6" s="13"/>
      <c r="E6" s="17"/>
      <c r="F6" s="13"/>
      <c r="G6" s="13"/>
      <c r="H6" s="13"/>
      <c r="I6" s="13"/>
      <c r="J6" s="13"/>
      <c r="K6" s="13"/>
      <c r="L6" s="13"/>
      <c r="M6" s="13"/>
    </row>
    <row r="7" spans="2:13" x14ac:dyDescent="0.2">
      <c r="B7" s="13"/>
      <c r="C7" s="13"/>
      <c r="D7" s="13"/>
      <c r="E7" s="17"/>
      <c r="F7" s="13"/>
      <c r="G7" s="13"/>
      <c r="H7" s="13"/>
      <c r="I7" s="13"/>
      <c r="J7" s="13"/>
      <c r="K7" s="13"/>
      <c r="L7" s="13"/>
      <c r="M7" s="13"/>
    </row>
    <row r="8" spans="2:13" x14ac:dyDescent="0.2">
      <c r="B8" s="13" t="s">
        <v>61</v>
      </c>
      <c r="E8" s="14"/>
      <c r="I8" s="18"/>
    </row>
    <row r="9" spans="2:13" x14ac:dyDescent="0.2">
      <c r="B9" t="s">
        <v>62</v>
      </c>
      <c r="C9" s="19">
        <v>460</v>
      </c>
      <c r="D9" t="s">
        <v>10</v>
      </c>
    </row>
    <row r="10" spans="2:13" x14ac:dyDescent="0.2">
      <c r="B10" t="s">
        <v>62</v>
      </c>
      <c r="C10" s="19">
        <v>0.25</v>
      </c>
      <c r="D10" t="s">
        <v>63</v>
      </c>
    </row>
    <row r="11" spans="2:13" x14ac:dyDescent="0.2">
      <c r="B11" t="s">
        <v>64</v>
      </c>
      <c r="C11" s="20">
        <f>36.6+(20*LOG(C9))+(20*LOG(C10))</f>
        <v>77.813956807072231</v>
      </c>
      <c r="D11" t="s">
        <v>65</v>
      </c>
    </row>
    <row r="12" spans="2:13" x14ac:dyDescent="0.2">
      <c r="C12" s="20"/>
      <c r="E12" s="21"/>
    </row>
    <row r="13" spans="2:13" x14ac:dyDescent="0.2">
      <c r="B13" s="13" t="s">
        <v>66</v>
      </c>
      <c r="E13" s="21"/>
    </row>
    <row r="14" spans="2:13" x14ac:dyDescent="0.2">
      <c r="B14" t="s">
        <v>62</v>
      </c>
      <c r="C14" s="22">
        <v>25</v>
      </c>
      <c r="D14" t="s">
        <v>67</v>
      </c>
      <c r="E14" s="14"/>
    </row>
    <row r="15" spans="2:13" x14ac:dyDescent="0.2">
      <c r="B15" t="s">
        <v>64</v>
      </c>
      <c r="C15" s="20">
        <f>10*LOG(C14)+30</f>
        <v>43.979400086720375</v>
      </c>
      <c r="D15" t="s">
        <v>14</v>
      </c>
      <c r="E15" s="14"/>
    </row>
    <row r="16" spans="2:13" x14ac:dyDescent="0.2">
      <c r="B16" t="s">
        <v>64</v>
      </c>
      <c r="C16" s="20">
        <f>10*LOG(C14)</f>
        <v>13.979400086720377</v>
      </c>
      <c r="D16" t="s">
        <v>68</v>
      </c>
      <c r="E16" s="14"/>
    </row>
    <row r="17" spans="2:5" x14ac:dyDescent="0.2">
      <c r="E17" s="21"/>
    </row>
    <row r="18" spans="2:5" x14ac:dyDescent="0.2">
      <c r="B18" s="13" t="s">
        <v>69</v>
      </c>
      <c r="E18" s="21"/>
    </row>
    <row r="19" spans="2:5" x14ac:dyDescent="0.2">
      <c r="B19" t="s">
        <v>62</v>
      </c>
      <c r="C19" s="19">
        <v>-95</v>
      </c>
      <c r="D19" t="s">
        <v>14</v>
      </c>
      <c r="E19" s="14"/>
    </row>
    <row r="20" spans="2:5" x14ac:dyDescent="0.2">
      <c r="B20" t="s">
        <v>64</v>
      </c>
      <c r="C20" s="23">
        <f>10^(C19/10)/1000</f>
        <v>3.1622776601683741E-13</v>
      </c>
      <c r="D20" t="s">
        <v>70</v>
      </c>
      <c r="E20" s="14"/>
    </row>
    <row r="21" spans="2:5" x14ac:dyDescent="0.2">
      <c r="B21" t="s">
        <v>71</v>
      </c>
      <c r="C21" s="24">
        <f>C20*1000</f>
        <v>3.1622776601683744E-10</v>
      </c>
      <c r="D21" t="s">
        <v>72</v>
      </c>
      <c r="E21" s="21"/>
    </row>
    <row r="22" spans="2:5" x14ac:dyDescent="0.2">
      <c r="E22" s="21"/>
    </row>
    <row r="23" spans="2:5" x14ac:dyDescent="0.2">
      <c r="B23" s="13" t="s">
        <v>73</v>
      </c>
      <c r="E23" s="21"/>
    </row>
    <row r="24" spans="2:5" x14ac:dyDescent="0.2">
      <c r="B24" t="s">
        <v>62</v>
      </c>
      <c r="C24" s="19">
        <v>10</v>
      </c>
      <c r="D24" t="s">
        <v>74</v>
      </c>
      <c r="E24" s="14"/>
    </row>
    <row r="25" spans="2:5" x14ac:dyDescent="0.2">
      <c r="B25" t="s">
        <v>64</v>
      </c>
      <c r="C25" s="20">
        <f>10*LOG(((C24*0.000001)^2)/50)+30</f>
        <v>-86.989700043360187</v>
      </c>
      <c r="D25" t="s">
        <v>14</v>
      </c>
      <c r="E25" s="14"/>
    </row>
    <row r="26" spans="2:5" x14ac:dyDescent="0.2">
      <c r="E26" s="21"/>
    </row>
    <row r="27" spans="2:5" x14ac:dyDescent="0.2">
      <c r="B27" s="13" t="s">
        <v>75</v>
      </c>
      <c r="E27" s="21"/>
    </row>
    <row r="28" spans="2:5" x14ac:dyDescent="0.2">
      <c r="B28" t="s">
        <v>62</v>
      </c>
      <c r="C28" s="19">
        <v>-60</v>
      </c>
      <c r="D28" t="s">
        <v>14</v>
      </c>
    </row>
    <row r="29" spans="2:5" x14ac:dyDescent="0.2">
      <c r="B29" t="s">
        <v>64</v>
      </c>
      <c r="C29" s="20">
        <f>SQRT((10^((C28+30)/10)*1000000)*50)</f>
        <v>223.60679774997897</v>
      </c>
      <c r="D29" t="s">
        <v>74</v>
      </c>
    </row>
    <row r="30" spans="2:5" x14ac:dyDescent="0.2">
      <c r="E30" s="21"/>
    </row>
    <row r="31" spans="2:5" x14ac:dyDescent="0.2">
      <c r="B31" s="13" t="s">
        <v>76</v>
      </c>
      <c r="E31" s="21"/>
    </row>
    <row r="32" spans="2:5" x14ac:dyDescent="0.2">
      <c r="B32" t="s">
        <v>62</v>
      </c>
      <c r="C32" s="19">
        <v>-120</v>
      </c>
      <c r="D32" t="s">
        <v>68</v>
      </c>
      <c r="E32" s="14"/>
    </row>
    <row r="33" spans="2:8" x14ac:dyDescent="0.2">
      <c r="B33" t="s">
        <v>64</v>
      </c>
      <c r="C33" s="20">
        <f>SQRT((10^((C32+60)/10)*1000000)*50)</f>
        <v>7.0710678118654755</v>
      </c>
      <c r="D33" t="s">
        <v>74</v>
      </c>
      <c r="E33" s="14"/>
    </row>
    <row r="34" spans="2:8" x14ac:dyDescent="0.2">
      <c r="C34" s="20"/>
      <c r="E34" s="14"/>
    </row>
    <row r="35" spans="2:8" x14ac:dyDescent="0.2">
      <c r="B35" s="13" t="s">
        <v>77</v>
      </c>
    </row>
    <row r="36" spans="2:8" x14ac:dyDescent="0.2">
      <c r="B36" t="s">
        <v>78</v>
      </c>
      <c r="C36" s="25">
        <v>65.59</v>
      </c>
      <c r="D36" t="s">
        <v>79</v>
      </c>
    </row>
    <row r="37" spans="2:8" x14ac:dyDescent="0.2">
      <c r="B37" t="s">
        <v>62</v>
      </c>
      <c r="C37" s="25">
        <v>850</v>
      </c>
      <c r="D37" t="s">
        <v>10</v>
      </c>
    </row>
    <row r="38" spans="2:8" x14ac:dyDescent="0.2">
      <c r="B38" t="s">
        <v>64</v>
      </c>
      <c r="C38" s="20">
        <f>C36-75-(20*LOG(C37))</f>
        <v>-67.998378514285861</v>
      </c>
      <c r="D38" t="s">
        <v>14</v>
      </c>
    </row>
    <row r="39" spans="2:8" x14ac:dyDescent="0.2">
      <c r="B39" t="s">
        <v>64</v>
      </c>
      <c r="C39" s="20">
        <f>SQRT((10^((C38+30)/10)*1000000)*50)</f>
        <v>89.036089313913109</v>
      </c>
      <c r="D39" t="s">
        <v>74</v>
      </c>
    </row>
    <row r="40" spans="2:8" x14ac:dyDescent="0.2">
      <c r="C40" s="20"/>
      <c r="E40" s="14"/>
    </row>
    <row r="41" spans="2:8" x14ac:dyDescent="0.2">
      <c r="B41" s="13" t="s">
        <v>80</v>
      </c>
      <c r="E41" s="14"/>
    </row>
    <row r="42" spans="2:8" x14ac:dyDescent="0.2">
      <c r="B42" t="s">
        <v>78</v>
      </c>
      <c r="C42" s="19">
        <v>850</v>
      </c>
      <c r="D42" t="s">
        <v>10</v>
      </c>
    </row>
    <row r="43" spans="2:8" x14ac:dyDescent="0.2">
      <c r="B43" t="s">
        <v>78</v>
      </c>
      <c r="C43" s="19">
        <v>-70</v>
      </c>
      <c r="D43" t="s">
        <v>14</v>
      </c>
    </row>
    <row r="44" spans="2:8" x14ac:dyDescent="0.2">
      <c r="B44" t="s">
        <v>64</v>
      </c>
      <c r="C44" s="20">
        <f>75+(20*LOG(C42))+C43</f>
        <v>63.588378514285864</v>
      </c>
      <c r="D44" t="s">
        <v>81</v>
      </c>
    </row>
    <row r="45" spans="2:8" x14ac:dyDescent="0.2">
      <c r="B45" t="s">
        <v>64</v>
      </c>
      <c r="C45" s="26">
        <f>10^(C44/20)/1000</f>
        <v>1.5115374985330867</v>
      </c>
      <c r="D45" t="s">
        <v>82</v>
      </c>
    </row>
    <row r="46" spans="2:8" x14ac:dyDescent="0.2">
      <c r="C46" s="20"/>
      <c r="E46" s="14"/>
    </row>
    <row r="47" spans="2:8" x14ac:dyDescent="0.2">
      <c r="B47" s="13" t="s">
        <v>83</v>
      </c>
      <c r="C47" s="13"/>
      <c r="D47" s="13"/>
      <c r="E47" s="27"/>
      <c r="F47" s="13"/>
      <c r="G47" s="13"/>
    </row>
    <row r="48" spans="2:8" x14ac:dyDescent="0.2">
      <c r="B48" s="16" t="s">
        <v>84</v>
      </c>
      <c r="C48" s="16"/>
      <c r="D48" s="16"/>
      <c r="E48" s="28"/>
      <c r="F48" s="16"/>
      <c r="G48" s="16"/>
      <c r="H48" s="16"/>
    </row>
    <row r="49" spans="2:7" x14ac:dyDescent="0.2">
      <c r="B49" t="s">
        <v>85</v>
      </c>
      <c r="D49" s="25">
        <v>2</v>
      </c>
      <c r="E49" s="21" t="s">
        <v>86</v>
      </c>
    </row>
    <row r="50" spans="2:7" x14ac:dyDescent="0.2">
      <c r="B50" t="s">
        <v>87</v>
      </c>
      <c r="D50" s="25">
        <v>0.5</v>
      </c>
      <c r="E50" s="21" t="s">
        <v>86</v>
      </c>
    </row>
    <row r="51" spans="2:7" x14ac:dyDescent="0.2">
      <c r="B51" t="s">
        <v>88</v>
      </c>
      <c r="D51" s="20">
        <f>10* LOG(D49/D50)</f>
        <v>6.0205999132796242</v>
      </c>
      <c r="E51" s="21" t="s">
        <v>89</v>
      </c>
    </row>
    <row r="52" spans="2:7" x14ac:dyDescent="0.2">
      <c r="B52" t="s">
        <v>90</v>
      </c>
      <c r="D52" s="20">
        <f>(1+SQRT(D50/D49)) /(1-SQRT(D50/D49))</f>
        <v>3</v>
      </c>
      <c r="E52" s="21" t="s">
        <v>91</v>
      </c>
      <c r="G52" s="21"/>
    </row>
    <row r="53" spans="2:7" x14ac:dyDescent="0.2">
      <c r="E53" s="21"/>
    </row>
    <row r="54" spans="2:7" x14ac:dyDescent="0.2">
      <c r="B54" s="13" t="s">
        <v>92</v>
      </c>
      <c r="E54" s="21"/>
    </row>
    <row r="55" spans="2:7" x14ac:dyDescent="0.2">
      <c r="B55" t="s">
        <v>62</v>
      </c>
      <c r="C55" s="19">
        <v>0</v>
      </c>
      <c r="D55" t="s">
        <v>93</v>
      </c>
    </row>
    <row r="56" spans="2:7" x14ac:dyDescent="0.2">
      <c r="B56" t="s">
        <v>62</v>
      </c>
      <c r="C56" s="19">
        <v>0</v>
      </c>
      <c r="D56" t="s">
        <v>94</v>
      </c>
    </row>
    <row r="57" spans="2:7" x14ac:dyDescent="0.2">
      <c r="B57" t="s">
        <v>62</v>
      </c>
      <c r="C57" s="19">
        <v>30</v>
      </c>
      <c r="D57" t="s">
        <v>95</v>
      </c>
    </row>
    <row r="58" spans="2:7" x14ac:dyDescent="0.2">
      <c r="B58" t="s">
        <v>78</v>
      </c>
      <c r="C58" s="19">
        <v>850</v>
      </c>
      <c r="D58" t="s">
        <v>10</v>
      </c>
    </row>
    <row r="59" spans="2:7" x14ac:dyDescent="0.2">
      <c r="B59" t="s">
        <v>64</v>
      </c>
      <c r="C59" s="20">
        <f>28+40*LOG(C57/(984/C58))-C55-C56</f>
        <v>84.541803280104546</v>
      </c>
      <c r="D59" t="s">
        <v>96</v>
      </c>
    </row>
    <row r="60" spans="2:7" x14ac:dyDescent="0.2">
      <c r="E60" s="21"/>
    </row>
    <row r="61" spans="2:7" x14ac:dyDescent="0.2">
      <c r="B61" s="13" t="s">
        <v>97</v>
      </c>
      <c r="E61" s="21"/>
    </row>
    <row r="62" spans="2:7" x14ac:dyDescent="0.2">
      <c r="B62" t="s">
        <v>78</v>
      </c>
      <c r="C62" s="19">
        <v>0</v>
      </c>
      <c r="D62" t="s">
        <v>98</v>
      </c>
    </row>
    <row r="63" spans="2:7" x14ac:dyDescent="0.2">
      <c r="B63" t="s">
        <v>78</v>
      </c>
      <c r="C63" s="19">
        <v>0</v>
      </c>
      <c r="D63" t="s">
        <v>99</v>
      </c>
    </row>
    <row r="64" spans="2:7" x14ac:dyDescent="0.2">
      <c r="B64" t="s">
        <v>78</v>
      </c>
      <c r="C64" s="19">
        <v>100</v>
      </c>
      <c r="D64" t="s">
        <v>100</v>
      </c>
    </row>
    <row r="65" spans="2:10" x14ac:dyDescent="0.2">
      <c r="B65" t="s">
        <v>78</v>
      </c>
      <c r="C65" s="19">
        <v>850</v>
      </c>
      <c r="D65" t="s">
        <v>10</v>
      </c>
    </row>
    <row r="66" spans="2:10" x14ac:dyDescent="0.2">
      <c r="B66" t="s">
        <v>64</v>
      </c>
      <c r="C66" s="20">
        <f>22+(20*LOG(C64/(984/C65)))-C62-C63</f>
        <v>60.728476545659028</v>
      </c>
      <c r="D66" t="s">
        <v>96</v>
      </c>
    </row>
    <row r="67" spans="2:10" x14ac:dyDescent="0.2">
      <c r="E67" s="14"/>
    </row>
    <row r="68" spans="2:10" x14ac:dyDescent="0.2">
      <c r="B68" s="13" t="s">
        <v>101</v>
      </c>
      <c r="E68" s="21"/>
    </row>
    <row r="69" spans="2:10" x14ac:dyDescent="0.2">
      <c r="B69" t="s">
        <v>62</v>
      </c>
      <c r="C69" s="19">
        <v>100</v>
      </c>
      <c r="D69" t="s">
        <v>102</v>
      </c>
    </row>
    <row r="70" spans="2:10" x14ac:dyDescent="0.2">
      <c r="B70" t="s">
        <v>64</v>
      </c>
      <c r="C70" s="20">
        <f>SQRT(2*C69)</f>
        <v>14.142135623730951</v>
      </c>
      <c r="D70" t="s">
        <v>103</v>
      </c>
    </row>
    <row r="71" spans="2:10" x14ac:dyDescent="0.2">
      <c r="E71" s="14"/>
    </row>
    <row r="72" spans="2:10" x14ac:dyDescent="0.2">
      <c r="B72" s="13" t="s">
        <v>104</v>
      </c>
      <c r="C72" s="13"/>
      <c r="D72" s="13"/>
      <c r="E72" s="17"/>
      <c r="F72" s="13"/>
      <c r="G72" s="13"/>
      <c r="H72" s="13"/>
      <c r="I72" s="13"/>
    </row>
    <row r="73" spans="2:10" x14ac:dyDescent="0.2">
      <c r="B73" s="13" t="s">
        <v>105</v>
      </c>
      <c r="E73" s="14"/>
    </row>
    <row r="74" spans="2:10" x14ac:dyDescent="0.2">
      <c r="B74" t="s">
        <v>62</v>
      </c>
      <c r="C74" s="19">
        <v>100</v>
      </c>
      <c r="D74" t="s">
        <v>106</v>
      </c>
    </row>
    <row r="75" spans="2:10" x14ac:dyDescent="0.2">
      <c r="B75" t="s">
        <v>62</v>
      </c>
      <c r="C75" s="19">
        <v>10</v>
      </c>
      <c r="D75" t="s">
        <v>107</v>
      </c>
    </row>
    <row r="76" spans="2:10" x14ac:dyDescent="0.2">
      <c r="B76" t="s">
        <v>78</v>
      </c>
      <c r="C76" s="19">
        <v>4</v>
      </c>
      <c r="D76" t="s">
        <v>108</v>
      </c>
    </row>
    <row r="77" spans="2:10" x14ac:dyDescent="0.2">
      <c r="B77" t="s">
        <v>64</v>
      </c>
      <c r="C77" s="20">
        <f>SQRT(2*C74)</f>
        <v>14.142135623730951</v>
      </c>
      <c r="D77" t="s">
        <v>109</v>
      </c>
      <c r="J77" s="3"/>
    </row>
    <row r="78" spans="2:10" x14ac:dyDescent="0.2">
      <c r="B78" t="s">
        <v>64</v>
      </c>
      <c r="C78" s="20">
        <f>IF(H78&gt;C77,C77,H78)</f>
        <v>0.11949809190737198</v>
      </c>
      <c r="D78" t="s">
        <v>110</v>
      </c>
      <c r="E78" s="14"/>
      <c r="H78" s="29">
        <f>C74*(TAN((90/57.3)-((C76/57.3)+(C75/2/57.3))))/5280</f>
        <v>0.11949809190737198</v>
      </c>
      <c r="J78" s="3"/>
    </row>
    <row r="79" spans="2:10" x14ac:dyDescent="0.2">
      <c r="B79" t="s">
        <v>64</v>
      </c>
      <c r="C79" s="20">
        <f>IF(H79&gt;C77,C77,H79)</f>
        <v>0.27041632172497987</v>
      </c>
      <c r="D79" t="s">
        <v>111</v>
      </c>
      <c r="E79" s="14"/>
      <c r="H79" s="29">
        <f>C74*(TAN((90/57.3)-(C76/57.3)))/5280</f>
        <v>0.27041632172497987</v>
      </c>
      <c r="I79" s="30"/>
      <c r="J79" s="3"/>
    </row>
    <row r="80" spans="2:10" x14ac:dyDescent="0.2">
      <c r="B80" t="s">
        <v>64</v>
      </c>
      <c r="C80" s="20" t="str">
        <f>IF(B81&lt;0,"&gt; Horizon",B81)</f>
        <v>&gt; Horizon</v>
      </c>
      <c r="D80" t="s">
        <v>112</v>
      </c>
      <c r="E80" s="14"/>
      <c r="H80" s="29">
        <f>C74*(TAN((90/57.3)-((C76/57.3)-(C75/2/57.3))))/5280</f>
        <v>-1.0923603805663149</v>
      </c>
    </row>
    <row r="81" spans="2:10" x14ac:dyDescent="0.2">
      <c r="B81" s="29">
        <f>IF(H80&gt;C77,"&gt; Horizon",H80)</f>
        <v>-1.0923603805663149</v>
      </c>
      <c r="E81" s="14"/>
      <c r="J81" s="13"/>
    </row>
    <row r="82" spans="2:10" x14ac:dyDescent="0.2">
      <c r="B82" s="13" t="s">
        <v>113</v>
      </c>
      <c r="E82" s="14"/>
    </row>
    <row r="83" spans="2:10" x14ac:dyDescent="0.2">
      <c r="B83" t="s">
        <v>62</v>
      </c>
      <c r="C83" s="19">
        <v>500</v>
      </c>
      <c r="D83" t="s">
        <v>114</v>
      </c>
    </row>
    <row r="84" spans="2:10" x14ac:dyDescent="0.2">
      <c r="B84" t="s">
        <v>62</v>
      </c>
      <c r="C84" s="19">
        <v>45</v>
      </c>
      <c r="D84" t="s">
        <v>115</v>
      </c>
      <c r="E84" s="14"/>
      <c r="I84" s="29">
        <f>36.6+(20*LOG(C83))+(20*LOG(C77))</f>
        <v>113.58970004336018</v>
      </c>
    </row>
    <row r="85" spans="2:10" x14ac:dyDescent="0.2">
      <c r="B85" s="31" t="s">
        <v>116</v>
      </c>
      <c r="C85" s="21">
        <f>C78</f>
        <v>0.11949809190737198</v>
      </c>
      <c r="D85" s="21" t="s">
        <v>117</v>
      </c>
      <c r="E85" s="32">
        <f>(C84-I85)-3</f>
        <v>-30.126619501070408</v>
      </c>
      <c r="F85" t="s">
        <v>14</v>
      </c>
      <c r="I85" s="29">
        <f>36.6+(20*LOG(C83))+(20*LOG(C78))</f>
        <v>72.126619501070408</v>
      </c>
    </row>
    <row r="86" spans="2:10" x14ac:dyDescent="0.2">
      <c r="B86" s="31" t="s">
        <v>116</v>
      </c>
      <c r="C86" s="21">
        <f>C79</f>
        <v>0.27041632172497987</v>
      </c>
      <c r="D86" s="21" t="s">
        <v>117</v>
      </c>
      <c r="E86" s="32">
        <f>C84-I86</f>
        <v>-34.220058108825981</v>
      </c>
      <c r="F86" t="s">
        <v>14</v>
      </c>
      <c r="I86" s="29">
        <f>36.6+(20*LOG(C83))+(20*LOG(C79))</f>
        <v>79.220058108825981</v>
      </c>
    </row>
    <row r="87" spans="2:10" x14ac:dyDescent="0.2">
      <c r="B87" s="31" t="s">
        <v>116</v>
      </c>
      <c r="C87" s="21">
        <f>IF(C80="&gt; Horizon",C77,C80)</f>
        <v>14.142135623730951</v>
      </c>
      <c r="D87" s="21" t="s">
        <v>117</v>
      </c>
      <c r="E87" s="32">
        <f>IF(C86&lt;C87,(C84-I87)-3,E86)</f>
        <v>-71.589700043360182</v>
      </c>
      <c r="F87" t="s">
        <v>118</v>
      </c>
      <c r="I87" s="29">
        <f>IF(C80="&gt; Horizon",36.6+(20*LOG(C83))+(20*LOG(C77)),36.6+(20*LOG(C83))+(20*LOG(C80)))</f>
        <v>113.58970004336018</v>
      </c>
    </row>
    <row r="88" spans="2:10" x14ac:dyDescent="0.2">
      <c r="E88" s="14"/>
    </row>
    <row r="89" spans="2:10" x14ac:dyDescent="0.2">
      <c r="B89" s="13" t="s">
        <v>119</v>
      </c>
    </row>
    <row r="90" spans="2:10" x14ac:dyDescent="0.2">
      <c r="B90" t="s">
        <v>120</v>
      </c>
    </row>
    <row r="91" spans="2:10" x14ac:dyDescent="0.2">
      <c r="C91" s="3" t="s">
        <v>121</v>
      </c>
      <c r="D91" s="3" t="s">
        <v>122</v>
      </c>
      <c r="E91" s="3" t="s">
        <v>123</v>
      </c>
    </row>
    <row r="92" spans="2:10" x14ac:dyDescent="0.2">
      <c r="B92" t="s">
        <v>62</v>
      </c>
      <c r="C92" s="25">
        <v>30</v>
      </c>
      <c r="D92" s="25">
        <v>30.25</v>
      </c>
      <c r="E92" t="s">
        <v>124</v>
      </c>
      <c r="G92" t="s">
        <v>125</v>
      </c>
    </row>
    <row r="93" spans="2:10" x14ac:dyDescent="0.2">
      <c r="B93" t="s">
        <v>64</v>
      </c>
      <c r="C93" s="33">
        <f>C92</f>
        <v>30</v>
      </c>
      <c r="D93" s="33">
        <f>INT(D92)</f>
        <v>30</v>
      </c>
      <c r="E93" s="34">
        <f>60*(D92-D93)</f>
        <v>15</v>
      </c>
      <c r="G93" t="s">
        <v>126</v>
      </c>
    </row>
    <row r="94" spans="2:10" x14ac:dyDescent="0.2">
      <c r="B94" t="s">
        <v>64</v>
      </c>
      <c r="C94" s="33">
        <f>C92+(D92/60)</f>
        <v>30.504166666666666</v>
      </c>
      <c r="D94" s="35" t="s">
        <v>127</v>
      </c>
      <c r="E94" s="36" t="s">
        <v>127</v>
      </c>
      <c r="G94" t="s">
        <v>128</v>
      </c>
    </row>
    <row r="95" spans="2:10" x14ac:dyDescent="0.2">
      <c r="E95" s="14"/>
    </row>
    <row r="96" spans="2:10" x14ac:dyDescent="0.2">
      <c r="B96" s="13" t="s">
        <v>129</v>
      </c>
      <c r="E96" s="14"/>
    </row>
    <row r="97" spans="2:9" x14ac:dyDescent="0.2">
      <c r="C97" s="3" t="s">
        <v>121</v>
      </c>
      <c r="D97" s="3" t="s">
        <v>122</v>
      </c>
      <c r="E97" s="37" t="s">
        <v>123</v>
      </c>
    </row>
    <row r="98" spans="2:9" x14ac:dyDescent="0.2">
      <c r="B98" t="s">
        <v>62</v>
      </c>
      <c r="C98" s="25">
        <v>30</v>
      </c>
      <c r="D98" s="25">
        <v>30</v>
      </c>
      <c r="E98" s="38">
        <v>15</v>
      </c>
      <c r="G98" t="s">
        <v>126</v>
      </c>
    </row>
    <row r="99" spans="2:9" x14ac:dyDescent="0.2">
      <c r="B99" t="s">
        <v>64</v>
      </c>
      <c r="C99" s="33">
        <f>C98</f>
        <v>30</v>
      </c>
      <c r="D99" s="34">
        <f>(D98*3600+E98*60)/3600</f>
        <v>30.25</v>
      </c>
      <c r="E99" s="35" t="s">
        <v>127</v>
      </c>
      <c r="F99" s="33"/>
      <c r="G99" t="s">
        <v>125</v>
      </c>
    </row>
    <row r="100" spans="2:9" x14ac:dyDescent="0.2">
      <c r="B100" t="s">
        <v>64</v>
      </c>
      <c r="C100" s="33">
        <f>C99+(D99/60)</f>
        <v>30.504166666666666</v>
      </c>
      <c r="D100" s="35" t="s">
        <v>127</v>
      </c>
      <c r="E100" s="35" t="s">
        <v>127</v>
      </c>
      <c r="F100" s="33"/>
      <c r="G100" t="s">
        <v>128</v>
      </c>
    </row>
    <row r="101" spans="2:9" x14ac:dyDescent="0.2">
      <c r="E101" s="14"/>
    </row>
    <row r="102" spans="2:9" x14ac:dyDescent="0.2">
      <c r="B102" s="13" t="s">
        <v>130</v>
      </c>
      <c r="E102" s="14"/>
    </row>
    <row r="103" spans="2:9" x14ac:dyDescent="0.2">
      <c r="C103" s="3" t="s">
        <v>121</v>
      </c>
      <c r="D103" s="3" t="s">
        <v>122</v>
      </c>
      <c r="E103" s="37" t="s">
        <v>123</v>
      </c>
    </row>
    <row r="104" spans="2:9" x14ac:dyDescent="0.2">
      <c r="B104" t="s">
        <v>62</v>
      </c>
      <c r="C104" s="25">
        <v>30.5504167</v>
      </c>
      <c r="D104" s="3" t="s">
        <v>127</v>
      </c>
      <c r="E104" s="37" t="s">
        <v>127</v>
      </c>
      <c r="F104" t="s">
        <v>128</v>
      </c>
      <c r="H104" s="29">
        <f xml:space="preserve"> C104-(INT(C104))</f>
        <v>0.55041669999999954</v>
      </c>
    </row>
    <row r="105" spans="2:9" x14ac:dyDescent="0.2">
      <c r="B105" t="s">
        <v>64</v>
      </c>
      <c r="C105" s="33">
        <f>INT(C104)</f>
        <v>30</v>
      </c>
      <c r="D105" s="33">
        <f>INT(60*H104)</f>
        <v>33</v>
      </c>
      <c r="E105" s="34">
        <f>H105*60</f>
        <v>1.5001199999983328</v>
      </c>
      <c r="F105" t="s">
        <v>126</v>
      </c>
      <c r="H105" s="29">
        <f>60*H104-D105</f>
        <v>2.5001999999972213E-2</v>
      </c>
    </row>
    <row r="106" spans="2:9" x14ac:dyDescent="0.2">
      <c r="B106" t="s">
        <v>64</v>
      </c>
      <c r="C106" s="33">
        <f>C105</f>
        <v>30</v>
      </c>
      <c r="D106" s="33">
        <f>60*H104</f>
        <v>33.025001999999972</v>
      </c>
      <c r="E106" s="35" t="s">
        <v>127</v>
      </c>
      <c r="F106" t="s">
        <v>125</v>
      </c>
      <c r="H106" s="33"/>
    </row>
    <row r="107" spans="2:9" x14ac:dyDescent="0.2">
      <c r="E107" s="14"/>
    </row>
    <row r="108" spans="2:9" x14ac:dyDescent="0.2">
      <c r="B108" s="13" t="s">
        <v>131</v>
      </c>
    </row>
    <row r="109" spans="2:9" x14ac:dyDescent="0.2">
      <c r="B109" t="s">
        <v>132</v>
      </c>
    </row>
    <row r="110" spans="2:9" x14ac:dyDescent="0.2">
      <c r="B110" s="33" t="s">
        <v>62</v>
      </c>
      <c r="C110" s="33"/>
      <c r="D110" s="35" t="s">
        <v>133</v>
      </c>
      <c r="E110" s="33"/>
      <c r="F110" s="39">
        <f>C112+(D112/60)+(E112/3600)</f>
        <v>34.5</v>
      </c>
      <c r="G110" s="33"/>
      <c r="H110" s="35" t="s">
        <v>134</v>
      </c>
      <c r="I110" s="33"/>
    </row>
    <row r="111" spans="2:9" x14ac:dyDescent="0.2">
      <c r="B111" s="33" t="s">
        <v>135</v>
      </c>
      <c r="C111" s="35" t="s">
        <v>136</v>
      </c>
      <c r="D111" s="35" t="s">
        <v>137</v>
      </c>
      <c r="E111" s="35" t="s">
        <v>138</v>
      </c>
      <c r="F111" s="40">
        <f>G112+(H112/60)+(I112/3600)</f>
        <v>116.5</v>
      </c>
      <c r="G111" s="35" t="s">
        <v>139</v>
      </c>
      <c r="H111" s="35" t="s">
        <v>137</v>
      </c>
      <c r="I111" s="35" t="s">
        <v>138</v>
      </c>
    </row>
    <row r="112" spans="2:9" x14ac:dyDescent="0.2">
      <c r="B112" s="41" t="s">
        <v>140</v>
      </c>
      <c r="C112" s="42">
        <v>34</v>
      </c>
      <c r="D112" s="42">
        <v>30</v>
      </c>
      <c r="E112" s="42">
        <v>0</v>
      </c>
      <c r="F112" s="43">
        <f>C113+(D113/60)+(E113/3600)</f>
        <v>33.75</v>
      </c>
      <c r="G112" s="42">
        <v>116</v>
      </c>
      <c r="H112" s="42">
        <v>30</v>
      </c>
      <c r="I112" s="42">
        <v>0</v>
      </c>
    </row>
    <row r="113" spans="2:11" x14ac:dyDescent="0.2">
      <c r="B113" s="41" t="s">
        <v>141</v>
      </c>
      <c r="C113" s="42">
        <v>33</v>
      </c>
      <c r="D113" s="42">
        <v>45</v>
      </c>
      <c r="E113" s="42">
        <v>0</v>
      </c>
      <c r="F113" s="43">
        <f>G113+(H113/60)+(I113/3600)</f>
        <v>116.75833333333334</v>
      </c>
      <c r="G113" s="42">
        <v>116</v>
      </c>
      <c r="H113" s="42">
        <v>45</v>
      </c>
      <c r="I113" s="42">
        <v>30</v>
      </c>
    </row>
    <row r="114" spans="2:11" x14ac:dyDescent="0.2">
      <c r="B114" s="41" t="s">
        <v>64</v>
      </c>
      <c r="C114" s="44">
        <f>((DLat^2)+(DLon^2))^0.5</f>
        <v>53.771665982947724</v>
      </c>
      <c r="D114" s="45" t="s">
        <v>142</v>
      </c>
      <c r="E114" s="33"/>
      <c r="F114" s="33"/>
      <c r="G114" s="35"/>
      <c r="H114" s="33"/>
      <c r="I114" s="33"/>
    </row>
    <row r="115" spans="2:11" x14ac:dyDescent="0.2">
      <c r="B115" s="33" t="s">
        <v>64</v>
      </c>
      <c r="C115" s="46">
        <f>AtoB</f>
        <v>195.98531948074904</v>
      </c>
      <c r="D115" s="33" t="s">
        <v>143</v>
      </c>
      <c r="E115" s="35"/>
      <c r="F115" s="33"/>
      <c r="G115" s="33"/>
      <c r="H115" s="33"/>
      <c r="I115" s="33"/>
      <c r="J115" s="47">
        <f>((ALat+BLat)/2)*(3.141593/180)</f>
        <v>0.59559367291666665</v>
      </c>
      <c r="K115" s="33"/>
    </row>
    <row r="116" spans="2:11" x14ac:dyDescent="0.2">
      <c r="B116" s="33" t="s">
        <v>64</v>
      </c>
      <c r="C116" s="46">
        <f>BtoA</f>
        <v>15.98531948074903</v>
      </c>
      <c r="D116" s="48" t="s">
        <v>144</v>
      </c>
      <c r="E116" s="35"/>
      <c r="F116" s="35"/>
      <c r="G116" s="33"/>
      <c r="H116" s="33"/>
      <c r="I116" s="35"/>
      <c r="J116" s="43">
        <f>69.054141-0.3517626*COS(2*J115)+ 0.000746*COS(4*J115)</f>
        <v>68.923251665830364</v>
      </c>
      <c r="K116" s="33"/>
    </row>
    <row r="117" spans="2:11" x14ac:dyDescent="0.2">
      <c r="E117" s="14"/>
      <c r="J117" s="40">
        <f>69.230014*COS(J115)-0.0587505*COS(3*J115)+0.000075*COS(5*J115)</f>
        <v>57.32220194862871</v>
      </c>
      <c r="K117" s="33"/>
    </row>
    <row r="118" spans="2:11" x14ac:dyDescent="0.2">
      <c r="B118" s="13" t="s">
        <v>145</v>
      </c>
      <c r="E118" s="14"/>
      <c r="J118" s="40">
        <f>ABS(BLat-ALat)*J116</f>
        <v>51.692438749372769</v>
      </c>
      <c r="K118" s="33"/>
    </row>
    <row r="119" spans="2:11" x14ac:dyDescent="0.2">
      <c r="E119" s="14"/>
      <c r="J119" s="40">
        <f>ABS(ALon-BLon)*J117</f>
        <v>14.80823550339613</v>
      </c>
      <c r="K119" s="33"/>
    </row>
    <row r="120" spans="2:11" x14ac:dyDescent="0.2">
      <c r="B120" s="13" t="s">
        <v>146</v>
      </c>
      <c r="C120" s="13"/>
      <c r="E120" s="21"/>
      <c r="J120" s="40">
        <f>IF(BLat&gt;=ALat,IF(ALon&gt;=BLon,DEGREES(ATAN2(DLat,DLon)),BtoA+180),IF(BLon&gt;=ALon,BtoA+180,DEGREES(ATAN2(DLon,DLat))+90))</f>
        <v>195.98531948074904</v>
      </c>
      <c r="K120" s="33"/>
    </row>
    <row r="121" spans="2:11" x14ac:dyDescent="0.2">
      <c r="B121" s="13" t="s">
        <v>147</v>
      </c>
      <c r="C121" s="13"/>
      <c r="E121" s="21"/>
      <c r="J121" s="40"/>
      <c r="K121" s="33"/>
    </row>
    <row r="122" spans="2:11" x14ac:dyDescent="0.2">
      <c r="B122" t="s">
        <v>62</v>
      </c>
      <c r="C122" s="25">
        <v>160</v>
      </c>
      <c r="D122" t="s">
        <v>10</v>
      </c>
      <c r="E122" s="21"/>
      <c r="J122" s="40">
        <f>IF(BLat&gt;=ALat,IF(ALon&gt;=BLon,AtoB+180,DEGREES(ATAN2(DLon,DLat))+90),IF(BLon&gt;=ALon,DEGREES(ATAN2(DLat,DLon)),AtoB+180))</f>
        <v>15.98531948074903</v>
      </c>
      <c r="K122" s="33"/>
    </row>
    <row r="123" spans="2:11" x14ac:dyDescent="0.2">
      <c r="B123" t="s">
        <v>62</v>
      </c>
      <c r="C123" s="25">
        <v>10</v>
      </c>
      <c r="D123" t="s">
        <v>148</v>
      </c>
      <c r="E123" s="21"/>
    </row>
    <row r="124" spans="2:11" x14ac:dyDescent="0.2">
      <c r="B124" t="s">
        <v>64</v>
      </c>
      <c r="C124" s="20">
        <f>36.6+(20*LOG(C122))+(20*LOG(C123/5280))</f>
        <v>26.229721202442249</v>
      </c>
      <c r="D124" t="s">
        <v>12</v>
      </c>
      <c r="E124" s="21"/>
    </row>
    <row r="125" spans="2:11" x14ac:dyDescent="0.2">
      <c r="E125" s="14"/>
    </row>
    <row r="126" spans="2:11" x14ac:dyDescent="0.2">
      <c r="B126" s="13" t="s">
        <v>149</v>
      </c>
      <c r="C126" s="21"/>
      <c r="E126" s="21"/>
    </row>
    <row r="127" spans="2:11" x14ac:dyDescent="0.2">
      <c r="B127" t="s">
        <v>150</v>
      </c>
      <c r="C127" s="21"/>
      <c r="E127" s="21"/>
    </row>
    <row r="128" spans="2:11" x14ac:dyDescent="0.2">
      <c r="B128" t="s">
        <v>151</v>
      </c>
      <c r="C128" s="21"/>
      <c r="E128" s="21"/>
    </row>
    <row r="129" spans="2:6" x14ac:dyDescent="0.2">
      <c r="B129" t="s">
        <v>152</v>
      </c>
      <c r="C129" s="21"/>
      <c r="D129" s="25">
        <v>-67</v>
      </c>
      <c r="E129" s="21" t="s">
        <v>14</v>
      </c>
      <c r="F129" s="29">
        <f t="shared" ref="F129:F137" si="0">10^(D129/10)/1000</f>
        <v>1.9952623149688761E-10</v>
      </c>
    </row>
    <row r="130" spans="2:6" x14ac:dyDescent="0.2">
      <c r="B130" t="s">
        <v>153</v>
      </c>
      <c r="C130" s="21"/>
      <c r="D130" s="25">
        <v>-67</v>
      </c>
      <c r="E130" s="21" t="s">
        <v>14</v>
      </c>
      <c r="F130" s="29">
        <f t="shared" si="0"/>
        <v>1.9952623149688761E-10</v>
      </c>
    </row>
    <row r="131" spans="2:6" x14ac:dyDescent="0.2">
      <c r="B131" t="s">
        <v>154</v>
      </c>
      <c r="C131" s="21"/>
      <c r="D131" s="25">
        <v>-67</v>
      </c>
      <c r="E131" s="21" t="s">
        <v>14</v>
      </c>
      <c r="F131" s="29">
        <f t="shared" si="0"/>
        <v>1.9952623149688761E-10</v>
      </c>
    </row>
    <row r="132" spans="2:6" x14ac:dyDescent="0.2">
      <c r="B132" t="s">
        <v>155</v>
      </c>
      <c r="C132" s="21"/>
      <c r="D132" s="25">
        <v>-57</v>
      </c>
      <c r="E132" s="21" t="s">
        <v>14</v>
      </c>
      <c r="F132" s="29">
        <f t="shared" si="0"/>
        <v>1.9952623149688749E-9</v>
      </c>
    </row>
    <row r="133" spans="2:6" x14ac:dyDescent="0.2">
      <c r="B133" t="s">
        <v>201</v>
      </c>
      <c r="C133" s="21"/>
      <c r="D133" s="25">
        <v>-200</v>
      </c>
      <c r="E133" s="21" t="s">
        <v>14</v>
      </c>
      <c r="F133" s="29">
        <f t="shared" si="0"/>
        <v>9.9999999999999996E-24</v>
      </c>
    </row>
    <row r="134" spans="2:6" x14ac:dyDescent="0.2">
      <c r="B134" t="s">
        <v>202</v>
      </c>
      <c r="C134" s="21"/>
      <c r="D134" s="25">
        <v>-200</v>
      </c>
      <c r="E134" s="21" t="s">
        <v>14</v>
      </c>
      <c r="F134" s="29">
        <f t="shared" si="0"/>
        <v>9.9999999999999996E-24</v>
      </c>
    </row>
    <row r="135" spans="2:6" x14ac:dyDescent="0.2">
      <c r="B135" t="s">
        <v>203</v>
      </c>
      <c r="C135" s="21"/>
      <c r="D135" s="25">
        <v>-200</v>
      </c>
      <c r="E135" s="21" t="s">
        <v>14</v>
      </c>
      <c r="F135" s="29">
        <f t="shared" si="0"/>
        <v>9.9999999999999996E-24</v>
      </c>
    </row>
    <row r="136" spans="2:6" x14ac:dyDescent="0.2">
      <c r="B136" t="s">
        <v>204</v>
      </c>
      <c r="C136" s="21"/>
      <c r="D136" s="25">
        <v>-200</v>
      </c>
      <c r="E136" s="21" t="s">
        <v>14</v>
      </c>
      <c r="F136" s="29">
        <f t="shared" si="0"/>
        <v>9.9999999999999996E-24</v>
      </c>
    </row>
    <row r="137" spans="2:6" x14ac:dyDescent="0.2">
      <c r="B137" t="s">
        <v>205</v>
      </c>
      <c r="C137" s="21"/>
      <c r="D137" s="25">
        <v>-200</v>
      </c>
      <c r="E137" s="21" t="s">
        <v>14</v>
      </c>
      <c r="F137" s="29">
        <f t="shared" si="0"/>
        <v>9.9999999999999996E-24</v>
      </c>
    </row>
    <row r="138" spans="2:6" x14ac:dyDescent="0.2">
      <c r="B138" t="s">
        <v>156</v>
      </c>
      <c r="C138" s="21"/>
      <c r="D138" s="20">
        <f>10*LOG(F138)+30</f>
        <v>-55.860566476931552</v>
      </c>
      <c r="E138" s="21" t="s">
        <v>14</v>
      </c>
      <c r="F138" s="29">
        <f>F129+F130+F131+F132+F133+F134+F135+F136+F137</f>
        <v>2.5938410094595876E-9</v>
      </c>
    </row>
    <row r="139" spans="2:6" x14ac:dyDescent="0.2">
      <c r="E139" s="14"/>
    </row>
    <row r="140" spans="2:6" x14ac:dyDescent="0.2">
      <c r="B140" s="13" t="s">
        <v>157</v>
      </c>
      <c r="E140" s="14"/>
    </row>
    <row r="141" spans="2:6" x14ac:dyDescent="0.2">
      <c r="B141" t="s">
        <v>158</v>
      </c>
      <c r="E141" s="19">
        <v>6</v>
      </c>
      <c r="F141" t="s">
        <v>12</v>
      </c>
    </row>
    <row r="142" spans="2:6" x14ac:dyDescent="0.2">
      <c r="B142" t="s">
        <v>159</v>
      </c>
      <c r="E142" s="49">
        <v>0.03</v>
      </c>
      <c r="F142" t="s">
        <v>10</v>
      </c>
    </row>
    <row r="143" spans="2:6" x14ac:dyDescent="0.2">
      <c r="B143" t="s">
        <v>160</v>
      </c>
      <c r="E143" s="19">
        <v>80</v>
      </c>
      <c r="F143" t="s">
        <v>12</v>
      </c>
    </row>
    <row r="144" spans="2:6" x14ac:dyDescent="0.2">
      <c r="B144" t="s">
        <v>161</v>
      </c>
      <c r="E144" s="19">
        <v>2</v>
      </c>
      <c r="F144" t="s">
        <v>162</v>
      </c>
    </row>
    <row r="145" spans="2:9" x14ac:dyDescent="0.2">
      <c r="B145" s="50" t="s">
        <v>163</v>
      </c>
      <c r="E145" s="20">
        <f>-174+((10*LOG(E142*1000000))+E141)</f>
        <v>-123.22878745280337</v>
      </c>
      <c r="F145" t="s">
        <v>162</v>
      </c>
    </row>
    <row r="146" spans="2:9" x14ac:dyDescent="0.2">
      <c r="B146" t="s">
        <v>164</v>
      </c>
      <c r="E146" s="20">
        <f>E143+E145</f>
        <v>-43.228787452803374</v>
      </c>
      <c r="F146" t="s">
        <v>162</v>
      </c>
      <c r="I146" s="21"/>
    </row>
    <row r="147" spans="2:9" x14ac:dyDescent="0.2">
      <c r="B147" t="s">
        <v>165</v>
      </c>
      <c r="E147" s="20">
        <f>-174+E143+E141+(10*LOG(25000))</f>
        <v>-44.020599913279625</v>
      </c>
      <c r="F147" t="s">
        <v>162</v>
      </c>
      <c r="I147" s="21"/>
    </row>
    <row r="148" spans="2:9" x14ac:dyDescent="0.2">
      <c r="B148" t="s">
        <v>166</v>
      </c>
      <c r="E148" s="20">
        <f>-174+E143+E141+(10*LOG(12500))</f>
        <v>-47.030899869919438</v>
      </c>
      <c r="F148" t="s">
        <v>162</v>
      </c>
      <c r="I148" s="21"/>
    </row>
    <row r="149" spans="2:9" x14ac:dyDescent="0.2">
      <c r="E149" s="14"/>
    </row>
    <row r="150" spans="2:9" x14ac:dyDescent="0.2">
      <c r="B150" s="13" t="s">
        <v>167</v>
      </c>
      <c r="E150" s="14"/>
    </row>
    <row r="151" spans="2:9" x14ac:dyDescent="0.2">
      <c r="B151" t="s">
        <v>168</v>
      </c>
      <c r="E151" s="51">
        <v>15</v>
      </c>
      <c r="F151" t="s">
        <v>12</v>
      </c>
    </row>
    <row r="152" spans="2:9" x14ac:dyDescent="0.2">
      <c r="B152" t="s">
        <v>169</v>
      </c>
      <c r="E152" s="51">
        <v>26</v>
      </c>
      <c r="F152" t="s">
        <v>14</v>
      </c>
    </row>
    <row r="153" spans="2:9" x14ac:dyDescent="0.2">
      <c r="B153" t="s">
        <v>170</v>
      </c>
      <c r="E153" s="51">
        <v>-40</v>
      </c>
      <c r="F153" t="s">
        <v>14</v>
      </c>
    </row>
    <row r="154" spans="2:9" x14ac:dyDescent="0.2">
      <c r="B154" t="s">
        <v>171</v>
      </c>
      <c r="E154" s="52">
        <f>E152-10</f>
        <v>16</v>
      </c>
      <c r="F154" t="s">
        <v>172</v>
      </c>
    </row>
    <row r="155" spans="2:9" x14ac:dyDescent="0.2">
      <c r="B155" t="s">
        <v>173</v>
      </c>
      <c r="E155" s="52">
        <f>E151+E153</f>
        <v>-25</v>
      </c>
      <c r="F155" t="s">
        <v>14</v>
      </c>
    </row>
    <row r="156" spans="2:9" x14ac:dyDescent="0.2">
      <c r="B156" t="s">
        <v>174</v>
      </c>
      <c r="E156" s="52">
        <f>3*E155-2*E152</f>
        <v>-127</v>
      </c>
      <c r="F156" t="s">
        <v>14</v>
      </c>
    </row>
    <row r="157" spans="2:9" x14ac:dyDescent="0.2">
      <c r="B157" t="s">
        <v>175</v>
      </c>
      <c r="E157" s="52">
        <f>-E155+E156</f>
        <v>-102</v>
      </c>
      <c r="F157" t="s">
        <v>12</v>
      </c>
    </row>
    <row r="158" spans="2:9" x14ac:dyDescent="0.2">
      <c r="E158" s="10"/>
    </row>
    <row r="159" spans="2:9" x14ac:dyDescent="0.2">
      <c r="B159" s="13" t="s">
        <v>176</v>
      </c>
      <c r="C159" s="13"/>
      <c r="D159" s="13"/>
      <c r="E159" s="53"/>
      <c r="F159" s="13"/>
      <c r="G159" s="13"/>
    </row>
    <row r="160" spans="2:9" x14ac:dyDescent="0.2">
      <c r="B160" t="s">
        <v>177</v>
      </c>
      <c r="E160" s="51">
        <v>44</v>
      </c>
      <c r="F160" t="s">
        <v>14</v>
      </c>
    </row>
    <row r="161" spans="2:13" x14ac:dyDescent="0.2">
      <c r="B161" t="s">
        <v>178</v>
      </c>
      <c r="E161" s="51">
        <v>10</v>
      </c>
      <c r="F161" t="s">
        <v>14</v>
      </c>
    </row>
    <row r="162" spans="2:13" x14ac:dyDescent="0.2">
      <c r="B162" t="s">
        <v>179</v>
      </c>
      <c r="E162" s="52">
        <f>E160-(2*(E160-E161))</f>
        <v>-24</v>
      </c>
      <c r="F162" t="s">
        <v>14</v>
      </c>
    </row>
    <row r="163" spans="2:13" x14ac:dyDescent="0.2">
      <c r="B163" t="s">
        <v>180</v>
      </c>
      <c r="E163" s="52">
        <f>E161+E162</f>
        <v>-14</v>
      </c>
      <c r="F163" t="s">
        <v>12</v>
      </c>
    </row>
    <row r="164" spans="2:13" x14ac:dyDescent="0.2">
      <c r="B164" t="s">
        <v>181</v>
      </c>
      <c r="E164" s="52">
        <f>E160-(3*(E160-E161))</f>
        <v>-58</v>
      </c>
      <c r="F164" t="s">
        <v>14</v>
      </c>
    </row>
    <row r="165" spans="2:13" x14ac:dyDescent="0.2">
      <c r="B165" t="s">
        <v>182</v>
      </c>
      <c r="E165" s="52">
        <f>E161+E164</f>
        <v>-48</v>
      </c>
      <c r="F165" t="s">
        <v>12</v>
      </c>
    </row>
    <row r="166" spans="2:13" x14ac:dyDescent="0.2">
      <c r="E166" s="14"/>
    </row>
    <row r="167" spans="2:13" x14ac:dyDescent="0.2">
      <c r="B167" s="13" t="s">
        <v>183</v>
      </c>
      <c r="E167" s="14"/>
    </row>
    <row r="168" spans="2:13" x14ac:dyDescent="0.2">
      <c r="B168" t="s">
        <v>184</v>
      </c>
      <c r="E168" s="14"/>
    </row>
    <row r="169" spans="2:13" x14ac:dyDescent="0.2">
      <c r="B169" t="s">
        <v>185</v>
      </c>
      <c r="E169" s="14"/>
    </row>
    <row r="170" spans="2:13" x14ac:dyDescent="0.2">
      <c r="B170" t="s">
        <v>169</v>
      </c>
      <c r="E170" s="51">
        <v>45</v>
      </c>
      <c r="F170" t="s">
        <v>14</v>
      </c>
    </row>
    <row r="171" spans="2:13" x14ac:dyDescent="0.2">
      <c r="B171" t="s">
        <v>186</v>
      </c>
      <c r="E171" s="25">
        <v>2</v>
      </c>
      <c r="F171" t="s">
        <v>187</v>
      </c>
    </row>
    <row r="172" spans="2:13" x14ac:dyDescent="0.2">
      <c r="B172" t="s">
        <v>188</v>
      </c>
      <c r="E172" s="52">
        <f>(2/3)*(E170+0.409-24.75*LOG(E171)+1.437*LOG(E171)^2)</f>
        <v>25.392484796052273</v>
      </c>
      <c r="F172" t="s">
        <v>14</v>
      </c>
    </row>
    <row r="173" spans="2:13" x14ac:dyDescent="0.2">
      <c r="B173" t="s">
        <v>188</v>
      </c>
      <c r="E173" s="52">
        <f>10^(E172/10)</f>
        <v>346.13736209439764</v>
      </c>
      <c r="F173" t="s">
        <v>72</v>
      </c>
    </row>
    <row r="174" spans="2:13" x14ac:dyDescent="0.2">
      <c r="E174" s="14"/>
    </row>
    <row r="175" spans="2:13" x14ac:dyDescent="0.2">
      <c r="B175" s="13" t="s">
        <v>189</v>
      </c>
      <c r="C175" s="13"/>
      <c r="D175" s="13"/>
      <c r="E175" s="17"/>
      <c r="F175" s="13"/>
      <c r="G175" s="13"/>
      <c r="H175" s="13"/>
      <c r="I175" s="13"/>
      <c r="J175" s="13"/>
      <c r="K175" s="13"/>
      <c r="L175" s="13"/>
      <c r="M175" s="13"/>
    </row>
    <row r="176" spans="2:13" x14ac:dyDescent="0.2">
      <c r="B176" s="13"/>
      <c r="C176" s="13"/>
      <c r="D176" s="13"/>
      <c r="E176" s="17"/>
      <c r="F176" s="13"/>
      <c r="G176" s="13"/>
      <c r="H176" s="13"/>
      <c r="I176" s="13"/>
      <c r="J176" s="13"/>
      <c r="K176" s="13"/>
      <c r="L176" s="13"/>
      <c r="M176" s="13"/>
    </row>
    <row r="177" spans="2:13" x14ac:dyDescent="0.2">
      <c r="B177" s="13" t="s">
        <v>190</v>
      </c>
      <c r="C177" s="13"/>
      <c r="D177" s="13"/>
      <c r="E177" s="17"/>
      <c r="F177" s="13"/>
      <c r="G177" s="13"/>
      <c r="H177" s="13"/>
      <c r="I177" s="13"/>
      <c r="J177" s="13"/>
      <c r="K177" s="13"/>
      <c r="L177" s="13"/>
      <c r="M177" s="13"/>
    </row>
    <row r="178" spans="2:13" x14ac:dyDescent="0.2">
      <c r="B178" s="16" t="s">
        <v>62</v>
      </c>
      <c r="C178" s="54">
        <v>6</v>
      </c>
      <c r="D178" s="16" t="s">
        <v>191</v>
      </c>
      <c r="E178" s="55"/>
      <c r="F178" s="13"/>
      <c r="G178" s="13"/>
      <c r="H178" s="13"/>
      <c r="I178" s="13"/>
      <c r="J178" s="13"/>
      <c r="K178" s="13"/>
      <c r="L178" s="13"/>
      <c r="M178" s="13"/>
    </row>
    <row r="179" spans="2:13" x14ac:dyDescent="0.2">
      <c r="B179" s="16" t="s">
        <v>64</v>
      </c>
      <c r="C179" s="28">
        <f>C178*2.54</f>
        <v>15.24</v>
      </c>
      <c r="D179" s="16" t="s">
        <v>192</v>
      </c>
      <c r="E179" s="55"/>
      <c r="F179" s="13"/>
      <c r="G179" s="13"/>
      <c r="H179" s="13"/>
      <c r="I179" s="13"/>
      <c r="J179" s="13"/>
      <c r="K179" s="13"/>
      <c r="L179" s="13"/>
      <c r="M179" s="13"/>
    </row>
    <row r="180" spans="2:13" x14ac:dyDescent="0.2">
      <c r="B180" s="16" t="s">
        <v>64</v>
      </c>
      <c r="C180" s="28">
        <f>C179/100</f>
        <v>0.15240000000000001</v>
      </c>
      <c r="D180" s="16" t="s">
        <v>193</v>
      </c>
      <c r="E180" s="55"/>
    </row>
    <row r="181" spans="2:13" x14ac:dyDescent="0.2">
      <c r="B181" s="16"/>
      <c r="C181" s="16"/>
      <c r="D181" s="16"/>
      <c r="E181" s="55"/>
    </row>
    <row r="182" spans="2:13" x14ac:dyDescent="0.2">
      <c r="B182" s="13" t="s">
        <v>194</v>
      </c>
      <c r="E182" s="14"/>
    </row>
    <row r="183" spans="2:13" x14ac:dyDescent="0.2">
      <c r="B183" t="s">
        <v>62</v>
      </c>
      <c r="C183" s="25">
        <v>6</v>
      </c>
      <c r="D183" t="s">
        <v>195</v>
      </c>
      <c r="E183" s="14"/>
    </row>
    <row r="184" spans="2:13" x14ac:dyDescent="0.2">
      <c r="B184" t="s">
        <v>64</v>
      </c>
      <c r="C184" s="21">
        <f>C183*0.3048</f>
        <v>1.8288000000000002</v>
      </c>
      <c r="D184" t="s">
        <v>193</v>
      </c>
      <c r="E184" s="14"/>
    </row>
    <row r="185" spans="2:13" x14ac:dyDescent="0.2">
      <c r="B185" t="s">
        <v>64</v>
      </c>
      <c r="C185" s="14">
        <f>C184/1000</f>
        <v>1.8288000000000002E-3</v>
      </c>
      <c r="D185" t="s">
        <v>196</v>
      </c>
      <c r="E185" s="14"/>
    </row>
    <row r="186" spans="2:13" x14ac:dyDescent="0.2">
      <c r="E186" s="14"/>
    </row>
    <row r="187" spans="2:13" x14ac:dyDescent="0.2">
      <c r="B187" s="13" t="s">
        <v>197</v>
      </c>
      <c r="C187" s="13"/>
      <c r="D187" s="13"/>
      <c r="E187" s="17"/>
      <c r="F187" s="13"/>
      <c r="G187" s="13"/>
      <c r="H187" s="13"/>
      <c r="I187" s="13"/>
      <c r="J187" s="13"/>
      <c r="K187" s="13"/>
      <c r="L187" s="13"/>
      <c r="M187" s="13"/>
    </row>
    <row r="188" spans="2:13" x14ac:dyDescent="0.2">
      <c r="B188" t="s">
        <v>78</v>
      </c>
      <c r="C188" s="25">
        <v>6</v>
      </c>
      <c r="D188" t="s">
        <v>103</v>
      </c>
      <c r="E188" s="14"/>
    </row>
    <row r="189" spans="2:13" x14ac:dyDescent="0.2">
      <c r="B189" t="s">
        <v>64</v>
      </c>
      <c r="C189" s="21">
        <f>C188*1609.3</f>
        <v>9655.7999999999993</v>
      </c>
      <c r="D189" t="s">
        <v>193</v>
      </c>
      <c r="E189" s="14"/>
    </row>
    <row r="190" spans="2:13" x14ac:dyDescent="0.2">
      <c r="B190" t="s">
        <v>64</v>
      </c>
      <c r="C190" s="21">
        <f>C188*1.6093</f>
        <v>9.6557999999999993</v>
      </c>
      <c r="D190" t="s">
        <v>196</v>
      </c>
      <c r="E190" s="14"/>
    </row>
    <row r="191" spans="2:13" x14ac:dyDescent="0.2">
      <c r="E191" s="14"/>
    </row>
    <row r="192" spans="2:13" x14ac:dyDescent="0.2">
      <c r="B192" s="13" t="s">
        <v>198</v>
      </c>
      <c r="C192" s="13"/>
      <c r="D192" s="13"/>
      <c r="E192" s="17"/>
      <c r="F192" s="13"/>
      <c r="G192" s="13"/>
      <c r="H192" s="13"/>
      <c r="I192" s="13"/>
      <c r="J192" s="13"/>
      <c r="K192" s="13"/>
      <c r="L192" s="13"/>
      <c r="M192" s="13"/>
    </row>
    <row r="193" spans="2:5" x14ac:dyDescent="0.2">
      <c r="B193" t="s">
        <v>62</v>
      </c>
      <c r="C193" s="25">
        <v>6</v>
      </c>
      <c r="D193" t="s">
        <v>193</v>
      </c>
      <c r="E193" s="14"/>
    </row>
    <row r="194" spans="2:5" x14ac:dyDescent="0.2">
      <c r="B194" t="s">
        <v>64</v>
      </c>
      <c r="C194">
        <f>C193*12*3.281</f>
        <v>236.232</v>
      </c>
      <c r="D194" t="s">
        <v>191</v>
      </c>
      <c r="E194" s="14"/>
    </row>
    <row r="195" spans="2:5" x14ac:dyDescent="0.2">
      <c r="B195" t="s">
        <v>64</v>
      </c>
      <c r="C195">
        <f>C193*3.281</f>
        <v>19.686</v>
      </c>
      <c r="D195" t="s">
        <v>195</v>
      </c>
      <c r="E195" s="14"/>
    </row>
    <row r="196" spans="2:5" x14ac:dyDescent="0.2">
      <c r="B196" t="s">
        <v>64</v>
      </c>
      <c r="C196" s="21">
        <f>C195/3</f>
        <v>6.5620000000000003</v>
      </c>
      <c r="D196" t="s">
        <v>199</v>
      </c>
      <c r="E196" s="14"/>
    </row>
    <row r="197" spans="2:5" x14ac:dyDescent="0.2">
      <c r="B197" t="s">
        <v>64</v>
      </c>
      <c r="C197">
        <f>C193*0.0006214</f>
        <v>3.7284000000000002E-3</v>
      </c>
      <c r="D197" t="s">
        <v>103</v>
      </c>
      <c r="E197" s="14"/>
    </row>
  </sheetData>
  <sheetProtection sheet="1" objects="1" scenarios="1"/>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Introduction</vt:lpstr>
      <vt:lpstr>Link Budgets</vt:lpstr>
      <vt:lpstr>BDA Gain Calculator</vt:lpstr>
      <vt:lpstr>Noise Power Link Budget</vt:lpstr>
      <vt:lpstr>Frequency Bands</vt:lpstr>
      <vt:lpstr>RF Calculations</vt:lpstr>
      <vt:lpstr>ALat</vt:lpstr>
      <vt:lpstr>ALon</vt:lpstr>
      <vt:lpstr>AtoB</vt:lpstr>
      <vt:lpstr>BLat</vt:lpstr>
      <vt:lpstr>BLon</vt:lpstr>
      <vt:lpstr>BtoA</vt:lpstr>
      <vt:lpstr>DLat</vt:lpstr>
      <vt:lpstr>DLon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phantomcreekllc.com</dc:creator>
  <cp:lastModifiedBy>mike phantomcreekllc.com</cp:lastModifiedBy>
  <dcterms:created xsi:type="dcterms:W3CDTF">2025-03-07T04:35:54Z</dcterms:created>
  <dcterms:modified xsi:type="dcterms:W3CDTF">2025-05-14T21:22:11Z</dcterms:modified>
</cp:coreProperties>
</file>