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Cashflow &amp; ROI" sheetId="3" r:id="rId1"/>
    <sheet name="Customer Data  " sheetId="6" r:id="rId2"/>
  </sheets>
  <calcPr calcId="145621"/>
</workbook>
</file>

<file path=xl/calcChain.xml><?xml version="1.0" encoding="utf-8"?>
<calcChain xmlns="http://schemas.openxmlformats.org/spreadsheetml/2006/main">
  <c r="Q2" i="3" l="1"/>
  <c r="C20" i="6" l="1"/>
  <c r="C6" i="3"/>
  <c r="C11" i="3" s="1"/>
  <c r="C5" i="3"/>
  <c r="G5" i="3" l="1"/>
  <c r="K5" i="3" s="1"/>
  <c r="K6" i="3" s="1"/>
  <c r="C19" i="3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G6" i="3" l="1"/>
  <c r="D17" i="6" s="1"/>
  <c r="D16" i="6"/>
  <c r="C13" i="3"/>
  <c r="D18" i="6" s="1"/>
  <c r="M24" i="3"/>
  <c r="L24" i="3"/>
  <c r="K24" i="3"/>
  <c r="J24" i="3"/>
  <c r="I24" i="3"/>
  <c r="H24" i="3"/>
  <c r="G24" i="3"/>
  <c r="F24" i="3"/>
  <c r="C30" i="3" l="1"/>
  <c r="E23" i="3"/>
  <c r="D23" i="3"/>
  <c r="C23" i="3"/>
  <c r="G31" i="3" l="1"/>
  <c r="K31" i="3"/>
  <c r="AA31" i="3"/>
  <c r="D31" i="3"/>
  <c r="L31" i="3"/>
  <c r="P31" i="3"/>
  <c r="T31" i="3"/>
  <c r="X31" i="3"/>
  <c r="H31" i="3"/>
  <c r="W31" i="3"/>
  <c r="E31" i="3"/>
  <c r="I31" i="3"/>
  <c r="M31" i="3"/>
  <c r="Q31" i="3"/>
  <c r="U31" i="3"/>
  <c r="Y31" i="3"/>
  <c r="S31" i="3"/>
  <c r="F31" i="3"/>
  <c r="J31" i="3"/>
  <c r="N31" i="3"/>
  <c r="R31" i="3"/>
  <c r="V31" i="3"/>
  <c r="Z31" i="3"/>
  <c r="O31" i="3"/>
  <c r="D24" i="3"/>
  <c r="E24" i="3"/>
  <c r="C24" i="3"/>
  <c r="C20" i="3"/>
  <c r="D20" i="3" s="1"/>
  <c r="C21" i="3" l="1"/>
  <c r="C26" i="3" s="1"/>
  <c r="C32" i="3" s="1"/>
  <c r="D21" i="3"/>
  <c r="D26" i="3" s="1"/>
  <c r="D32" i="3" s="1"/>
  <c r="E20" i="3"/>
  <c r="C33" i="3" l="1"/>
  <c r="C34" i="3" s="1"/>
  <c r="C35" i="3" s="1"/>
  <c r="D29" i="3" s="1"/>
  <c r="D33" i="3" s="1"/>
  <c r="D34" i="3" s="1"/>
  <c r="E21" i="3"/>
  <c r="E26" i="3" s="1"/>
  <c r="E32" i="3" s="1"/>
  <c r="F20" i="3"/>
  <c r="D35" i="3" l="1"/>
  <c r="E29" i="3" s="1"/>
  <c r="E33" i="3" s="1"/>
  <c r="G20" i="3"/>
  <c r="F21" i="3"/>
  <c r="F26" i="3" s="1"/>
  <c r="F32" i="3" s="1"/>
  <c r="E34" i="3" l="1"/>
  <c r="E35" i="3" s="1"/>
  <c r="G21" i="3"/>
  <c r="G26" i="3" s="1"/>
  <c r="G32" i="3" s="1"/>
  <c r="H20" i="3"/>
  <c r="F29" i="3" l="1"/>
  <c r="F33" i="3" s="1"/>
  <c r="F34" i="3" s="1"/>
  <c r="F35" i="3" s="1"/>
  <c r="I20" i="3"/>
  <c r="H21" i="3"/>
  <c r="H26" i="3" s="1"/>
  <c r="H32" i="3" s="1"/>
  <c r="G29" i="3" l="1"/>
  <c r="G33" i="3" s="1"/>
  <c r="G34" i="3" s="1"/>
  <c r="G35" i="3" s="1"/>
  <c r="I21" i="3"/>
  <c r="I26" i="3" s="1"/>
  <c r="I32" i="3" s="1"/>
  <c r="J20" i="3"/>
  <c r="H29" i="3" l="1"/>
  <c r="H33" i="3" s="1"/>
  <c r="H34" i="3" s="1"/>
  <c r="H35" i="3" s="1"/>
  <c r="J21" i="3"/>
  <c r="J26" i="3" s="1"/>
  <c r="J32" i="3" s="1"/>
  <c r="K20" i="3"/>
  <c r="I29" i="3" l="1"/>
  <c r="I33" i="3" s="1"/>
  <c r="I34" i="3" s="1"/>
  <c r="I35" i="3" s="1"/>
  <c r="L20" i="3"/>
  <c r="K21" i="3"/>
  <c r="K26" i="3" s="1"/>
  <c r="K32" i="3" s="1"/>
  <c r="J29" i="3" l="1"/>
  <c r="J33" i="3" s="1"/>
  <c r="J34" i="3" s="1"/>
  <c r="J35" i="3" s="1"/>
  <c r="K29" i="3" s="1"/>
  <c r="K33" i="3" s="1"/>
  <c r="K34" i="3" s="1"/>
  <c r="L21" i="3"/>
  <c r="L26" i="3" s="1"/>
  <c r="L32" i="3" s="1"/>
  <c r="M20" i="3"/>
  <c r="K35" i="3" l="1"/>
  <c r="L29" i="3" s="1"/>
  <c r="L33" i="3" s="1"/>
  <c r="L34" i="3" s="1"/>
  <c r="M21" i="3"/>
  <c r="M26" i="3" s="1"/>
  <c r="M32" i="3" s="1"/>
  <c r="N20" i="3"/>
  <c r="L35" i="3" l="1"/>
  <c r="M29" i="3" s="1"/>
  <c r="M33" i="3" s="1"/>
  <c r="M34" i="3" s="1"/>
  <c r="O20" i="3"/>
  <c r="N21" i="3"/>
  <c r="N26" i="3" s="1"/>
  <c r="N32" i="3" s="1"/>
  <c r="C39" i="3" l="1"/>
  <c r="M35" i="3"/>
  <c r="N29" i="3" s="1"/>
  <c r="N33" i="3" s="1"/>
  <c r="N34" i="3" s="1"/>
  <c r="O21" i="3"/>
  <c r="O26" i="3" s="1"/>
  <c r="O32" i="3" s="1"/>
  <c r="P20" i="3"/>
  <c r="N35" i="3" l="1"/>
  <c r="O29" i="3" s="1"/>
  <c r="O33" i="3" s="1"/>
  <c r="O34" i="3" s="1"/>
  <c r="P21" i="3"/>
  <c r="P26" i="3" s="1"/>
  <c r="P32" i="3" s="1"/>
  <c r="Q20" i="3"/>
  <c r="O35" i="3" l="1"/>
  <c r="P29" i="3" s="1"/>
  <c r="P33" i="3" s="1"/>
  <c r="P34" i="3" s="1"/>
  <c r="Q21" i="3"/>
  <c r="Q26" i="3" s="1"/>
  <c r="Q32" i="3" s="1"/>
  <c r="R20" i="3"/>
  <c r="P35" i="3" l="1"/>
  <c r="Q29" i="3" s="1"/>
  <c r="Q33" i="3" s="1"/>
  <c r="Q34" i="3" s="1"/>
  <c r="S20" i="3"/>
  <c r="R21" i="3"/>
  <c r="R26" i="3" s="1"/>
  <c r="R32" i="3" s="1"/>
  <c r="Q35" i="3" l="1"/>
  <c r="S21" i="3"/>
  <c r="S26" i="3" s="1"/>
  <c r="S32" i="3" s="1"/>
  <c r="T20" i="3"/>
  <c r="C38" i="3" l="1"/>
  <c r="R29" i="3"/>
  <c r="R33" i="3" s="1"/>
  <c r="R34" i="3" s="1"/>
  <c r="R35" i="3" s="1"/>
  <c r="S29" i="3" s="1"/>
  <c r="S33" i="3" s="1"/>
  <c r="S34" i="3" s="1"/>
  <c r="T21" i="3"/>
  <c r="T26" i="3" s="1"/>
  <c r="T32" i="3" s="1"/>
  <c r="U20" i="3"/>
  <c r="S35" i="3" l="1"/>
  <c r="T29" i="3" s="1"/>
  <c r="T33" i="3" s="1"/>
  <c r="T34" i="3" s="1"/>
  <c r="U21" i="3"/>
  <c r="U26" i="3" s="1"/>
  <c r="U32" i="3" s="1"/>
  <c r="V20" i="3"/>
  <c r="T35" i="3" l="1"/>
  <c r="U29" i="3" s="1"/>
  <c r="U33" i="3" s="1"/>
  <c r="U34" i="3" s="1"/>
  <c r="W20" i="3"/>
  <c r="V21" i="3"/>
  <c r="V26" i="3" s="1"/>
  <c r="V32" i="3" s="1"/>
  <c r="U35" i="3" l="1"/>
  <c r="V29" i="3" s="1"/>
  <c r="V33" i="3" s="1"/>
  <c r="V34" i="3" s="1"/>
  <c r="W21" i="3"/>
  <c r="W26" i="3" s="1"/>
  <c r="W32" i="3" s="1"/>
  <c r="X20" i="3"/>
  <c r="V35" i="3" l="1"/>
  <c r="W29" i="3" s="1"/>
  <c r="W33" i="3" s="1"/>
  <c r="W34" i="3" s="1"/>
  <c r="Y20" i="3"/>
  <c r="X21" i="3"/>
  <c r="X26" i="3" s="1"/>
  <c r="X32" i="3" s="1"/>
  <c r="W35" i="3" l="1"/>
  <c r="X29" i="3" s="1"/>
  <c r="X33" i="3" s="1"/>
  <c r="X34" i="3" s="1"/>
  <c r="Y21" i="3"/>
  <c r="Y26" i="3" s="1"/>
  <c r="Y32" i="3" s="1"/>
  <c r="Z20" i="3"/>
  <c r="X35" i="3" l="1"/>
  <c r="Y29" i="3" s="1"/>
  <c r="Y33" i="3" s="1"/>
  <c r="Y34" i="3" s="1"/>
  <c r="AA20" i="3"/>
  <c r="AA21" i="3" s="1"/>
  <c r="AA26" i="3" s="1"/>
  <c r="AA32" i="3" s="1"/>
  <c r="Z21" i="3"/>
  <c r="Z26" i="3" s="1"/>
  <c r="Z32" i="3" s="1"/>
  <c r="Y35" i="3" l="1"/>
  <c r="Z29" i="3" s="1"/>
  <c r="Z33" i="3" s="1"/>
  <c r="Z34" i="3" s="1"/>
  <c r="Z35" i="3" l="1"/>
  <c r="AA29" i="3" l="1"/>
  <c r="AA33" i="3" s="1"/>
  <c r="AA34" i="3" s="1"/>
  <c r="AA35" i="3" s="1"/>
  <c r="C37" i="3" s="1"/>
</calcChain>
</file>

<file path=xl/sharedStrings.xml><?xml version="1.0" encoding="utf-8"?>
<sst xmlns="http://schemas.openxmlformats.org/spreadsheetml/2006/main" count="83" uniqueCount="78">
  <si>
    <t>Power Rate</t>
  </si>
  <si>
    <t>Outflow</t>
  </si>
  <si>
    <t>Capital Expenditure</t>
  </si>
  <si>
    <t>Cost of Capital</t>
  </si>
  <si>
    <t>Inflow</t>
  </si>
  <si>
    <t>Power Savings</t>
  </si>
  <si>
    <t>Power Units Saved</t>
  </si>
  <si>
    <t>Total Inflow</t>
  </si>
  <si>
    <t>Cash flow</t>
  </si>
  <si>
    <t>Total Outflow</t>
  </si>
  <si>
    <t>Cumulative Cash flow</t>
  </si>
  <si>
    <t>Net Cash flow</t>
  </si>
  <si>
    <t>Op. Balance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</si>
  <si>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</si>
  <si>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</si>
  <si>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</si>
  <si>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</si>
  <si>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</si>
  <si>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</si>
  <si>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</si>
  <si>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</si>
  <si>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</si>
  <si>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</si>
  <si>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</si>
  <si>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</si>
  <si>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</si>
  <si>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</si>
  <si>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</si>
  <si>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</si>
  <si>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</si>
  <si>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</si>
  <si>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</si>
  <si>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</si>
  <si>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2037-2038</t>
  </si>
  <si>
    <t>2038-2039</t>
  </si>
  <si>
    <t>2039-2040</t>
  </si>
  <si>
    <t>2041-2042</t>
  </si>
  <si>
    <t>2040-2041</t>
  </si>
  <si>
    <t>Total Inflow ( A + B )</t>
  </si>
  <si>
    <t>Power Savings - A</t>
  </si>
  <si>
    <t>Tax Benfit - B</t>
  </si>
  <si>
    <t>Total benefit after 25 years</t>
  </si>
  <si>
    <t>Interest Cost</t>
  </si>
  <si>
    <t>Electric company unit rate</t>
  </si>
  <si>
    <t>No. of Unit consumption /month</t>
  </si>
  <si>
    <t>Kwatt</t>
  </si>
  <si>
    <t>Rooftop Space required</t>
  </si>
  <si>
    <t>sqft</t>
  </si>
  <si>
    <t>Total benefit after 15 years</t>
  </si>
  <si>
    <t>Total benefit after 10 years</t>
  </si>
  <si>
    <t xml:space="preserve">Solar System capacity </t>
  </si>
  <si>
    <t>Depreciation Benefit*</t>
  </si>
  <si>
    <t xml:space="preserve">Electricity Rate </t>
  </si>
  <si>
    <t>Monthly Consumption</t>
  </si>
  <si>
    <t>Customer Data</t>
  </si>
  <si>
    <t>Customer Information</t>
  </si>
  <si>
    <t xml:space="preserve">Solar Plant capacity </t>
  </si>
  <si>
    <t xml:space="preserve">Space Requirement </t>
  </si>
  <si>
    <t xml:space="preserve">Approximate Cost </t>
  </si>
  <si>
    <t>( Do not enter any information below)</t>
  </si>
  <si>
    <t>( Use numeric value like 8.00, 9.50…)</t>
  </si>
  <si>
    <t>( Use numeric value like 200, 3450,5354…)</t>
  </si>
  <si>
    <t>Kwatts</t>
  </si>
  <si>
    <t>Rs/-</t>
  </si>
  <si>
    <t>Customer Data and Information Dashboard</t>
  </si>
  <si>
    <t>Sq Feet</t>
  </si>
  <si>
    <t>The document is a property PlasmaBerry Solar Pvt Ltd.
The document is confidential and not shareable.</t>
  </si>
  <si>
    <t>( Enter your information in Yellow cells only)</t>
  </si>
  <si>
    <t xml:space="preserve">         Projected Cashflow statement for Solar System</t>
  </si>
  <si>
    <t>Interest Rate</t>
  </si>
  <si>
    <t>O &amp; M ( 0.5% to 2%)</t>
  </si>
  <si>
    <t>Approx. Wt. Of Panel(Kg)</t>
  </si>
  <si>
    <t>Approx. No. of Panels</t>
  </si>
  <si>
    <t>5 Years</t>
  </si>
  <si>
    <t>10 Years</t>
  </si>
  <si>
    <t>15 Years</t>
  </si>
  <si>
    <t>20 Years</t>
  </si>
  <si>
    <t>25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</si>
</sst>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8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43" fontId="0" fillId="0" borderId="0" xfId="1" applyFont="1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3" fillId="0" borderId="9" xfId="0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0" fillId="0" borderId="1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wrapText="1"/>
      <protection hidden="1"/>
    </xf>
    <xf numFmtId="164" fontId="0" fillId="0" borderId="0" xfId="0" applyNumberFormat="1" applyBorder="1" applyProtection="1">
      <protection hidden="1"/>
    </xf>
    <xf numFmtId="43" fontId="0" fillId="0" borderId="0" xfId="0" applyNumberFormat="1" applyBorder="1" applyProtection="1">
      <protection hidden="1"/>
    </xf>
    <xf numFmtId="43" fontId="0" fillId="4" borderId="0" xfId="1" applyFont="1" applyFill="1" applyBorder="1" applyProtection="1">
      <protection hidden="1"/>
    </xf>
    <xf numFmtId="43" fontId="0" fillId="4" borderId="0" xfId="1" applyFont="1" applyFill="1" applyBorder="1" applyAlignment="1" applyProtection="1">
      <alignment wrapText="1"/>
      <protection hidden="1"/>
    </xf>
    <xf numFmtId="0" fontId="0" fillId="4" borderId="0" xfId="0" applyFill="1" applyBorder="1" applyProtection="1">
      <protection hidden="1"/>
    </xf>
    <xf numFmtId="43" fontId="0" fillId="4" borderId="3" xfId="1" applyFont="1" applyFill="1" applyBorder="1" applyProtection="1">
      <protection hidden="1"/>
    </xf>
    <xf numFmtId="43" fontId="0" fillId="4" borderId="3" xfId="1" applyFont="1" applyFill="1" applyBorder="1" applyAlignment="1" applyProtection="1">
      <alignment wrapText="1"/>
      <protection hidden="1"/>
    </xf>
    <xf numFmtId="0" fontId="0" fillId="4" borderId="3" xfId="0" applyFill="1" applyBorder="1" applyProtection="1">
      <protection hidden="1"/>
    </xf>
    <xf numFmtId="43" fontId="0" fillId="0" borderId="0" xfId="1" applyFont="1" applyProtection="1">
      <protection hidden="1"/>
    </xf>
    <xf numFmtId="43" fontId="0" fillId="0" borderId="0" xfId="1" applyFont="1" applyAlignment="1" applyProtection="1">
      <alignment wrapText="1"/>
      <protection hidden="1"/>
    </xf>
    <xf numFmtId="43" fontId="0" fillId="4" borderId="10" xfId="1" applyFont="1" applyFill="1" applyBorder="1" applyProtection="1">
      <protection hidden="1"/>
    </xf>
    <xf numFmtId="43" fontId="0" fillId="4" borderId="10" xfId="1" applyFont="1" applyFill="1" applyBorder="1" applyAlignment="1" applyProtection="1">
      <alignment wrapText="1"/>
      <protection hidden="1"/>
    </xf>
    <xf numFmtId="1" fontId="0" fillId="4" borderId="10" xfId="0" applyNumberFormat="1" applyFill="1" applyBorder="1" applyProtection="1">
      <protection hidden="1"/>
    </xf>
    <xf numFmtId="0" fontId="2" fillId="0" borderId="1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43" fontId="0" fillId="0" borderId="0" xfId="1" applyFont="1" applyBorder="1" applyAlignment="1" applyProtection="1">
      <alignment wrapText="1"/>
      <protection hidden="1"/>
    </xf>
    <xf numFmtId="0" fontId="3" fillId="0" borderId="12" xfId="0" applyFont="1" applyBorder="1" applyProtection="1">
      <protection hidden="1"/>
    </xf>
    <xf numFmtId="43" fontId="0" fillId="0" borderId="3" xfId="1" applyFont="1" applyBorder="1" applyProtection="1">
      <protection hidden="1"/>
    </xf>
    <xf numFmtId="0" fontId="0" fillId="0" borderId="13" xfId="0" applyBorder="1" applyAlignment="1" applyProtection="1">
      <alignment wrapText="1"/>
      <protection hidden="1"/>
    </xf>
    <xf numFmtId="43" fontId="0" fillId="0" borderId="14" xfId="1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8" fillId="5" borderId="13" xfId="0" applyFont="1" applyFill="1" applyBorder="1"/>
    <xf numFmtId="0" fontId="8" fillId="5" borderId="7" xfId="0" applyFont="1" applyFill="1" applyBorder="1"/>
    <xf numFmtId="0" fontId="8" fillId="6" borderId="13" xfId="0" applyFont="1" applyFill="1" applyBorder="1"/>
    <xf numFmtId="0" fontId="8" fillId="6" borderId="7" xfId="0" applyFont="1" applyFill="1" applyBorder="1"/>
    <xf numFmtId="2" fontId="8" fillId="6" borderId="2" xfId="0" applyNumberFormat="1" applyFont="1" applyFill="1" applyBorder="1" applyAlignment="1">
      <alignment horizontal="center"/>
    </xf>
    <xf numFmtId="0" fontId="7" fillId="6" borderId="14" xfId="0" applyFont="1" applyFill="1" applyBorder="1"/>
    <xf numFmtId="0" fontId="7" fillId="6" borderId="8" xfId="0" applyFont="1" applyFill="1" applyBorder="1"/>
    <xf numFmtId="1" fontId="8" fillId="6" borderId="1" xfId="0" applyNumberFormat="1" applyFont="1" applyFill="1" applyBorder="1" applyAlignment="1">
      <alignment horizontal="center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/>
    </xf>
    <xf numFmtId="0" fontId="0" fillId="3" borderId="0" xfId="0" applyFont="1" applyFill="1" applyAlignment="1" applyProtection="1">
      <alignment horizontal="center" vertical="center" wrapText="1"/>
      <protection hidden="1"/>
    </xf>
    <xf numFmtId="0" fontId="0" fillId="3" borderId="0" xfId="0" applyFont="1" applyFill="1" applyAlignment="1" applyProtection="1">
      <alignment horizontal="center" vertical="center"/>
      <protection hidden="1"/>
    </xf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2" fontId="0" fillId="0" borderId="0" xfId="1" applyNumberFormat="1" applyFont="1" applyBorder="1" applyAlignment="1" applyProtection="1">
      <alignment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1" fontId="4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1" fontId="2" fillId="0" borderId="8" xfId="0" applyNumberFormat="1" applyFont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1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9" fontId="2" fillId="0" borderId="8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wrapText="1"/>
      <protection hidden="1"/>
    </xf>
    <xf numFmtId="43" fontId="0" fillId="0" borderId="6" xfId="1" applyNumberFormat="1" applyFont="1" applyBorder="1" applyAlignment="1" applyProtection="1">
      <alignment horizontal="center" vertical="center"/>
      <protection hidden="1"/>
    </xf>
    <xf numFmtId="43" fontId="0" fillId="0" borderId="8" xfId="1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8" borderId="20" xfId="0" applyFont="1" applyFill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0" xfId="0" applyBorder="1" applyProtection="1">
      <protection hidden="1"/>
    </xf>
    <xf numFmtId="164" fontId="0" fillId="0" borderId="21" xfId="0" applyNumberFormat="1" applyBorder="1" applyProtection="1">
      <protection hidden="1"/>
    </xf>
    <xf numFmtId="43" fontId="0" fillId="0" borderId="21" xfId="0" applyNumberFormat="1" applyBorder="1" applyProtection="1">
      <protection hidden="1"/>
    </xf>
    <xf numFmtId="43" fontId="0" fillId="4" borderId="21" xfId="1" applyFont="1" applyFill="1" applyBorder="1" applyProtection="1">
      <protection hidden="1"/>
    </xf>
    <xf numFmtId="43" fontId="0" fillId="4" borderId="22" xfId="1" applyFont="1" applyFill="1" applyBorder="1" applyProtection="1">
      <protection hidden="1"/>
    </xf>
    <xf numFmtId="43" fontId="0" fillId="0" borderId="21" xfId="1" applyFont="1" applyBorder="1" applyProtection="1">
      <protection hidden="1"/>
    </xf>
    <xf numFmtId="43" fontId="0" fillId="4" borderId="20" xfId="1" applyFont="1" applyFill="1" applyBorder="1" applyProtection="1">
      <protection hidden="1"/>
    </xf>
    <xf numFmtId="43" fontId="0" fillId="0" borderId="22" xfId="1" applyFont="1" applyBorder="1" applyProtection="1">
      <protection hidden="1"/>
    </xf>
    <xf numFmtId="2" fontId="0" fillId="0" borderId="21" xfId="1" applyNumberFormat="1" applyFont="1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4" borderId="22" xfId="0" applyFill="1" applyBorder="1" applyProtection="1">
      <protection hidden="1"/>
    </xf>
    <xf numFmtId="1" fontId="0" fillId="4" borderId="20" xfId="0" applyNumberFormat="1" applyFill="1" applyBorder="1" applyProtection="1"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0" fontId="12" fillId="7" borderId="18" xfId="0" applyFont="1" applyFill="1" applyBorder="1" applyAlignment="1" applyProtection="1">
      <alignment horizontal="center" vertical="center"/>
      <protection hidden="1"/>
    </xf>
    <xf numFmtId="0" fontId="12" fillId="7" borderId="19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68" fontId="12" fillId="0" borderId="0" xfId="0" applyNumberFormat="1" applyFont="1" applyFill="1" applyBorder="1" applyAlignment="1" applyProtection="1">
      <alignment vertical="center"/>
      <protection hidden="1"/>
    </xf>
  </cellXfs>
  <cellStyles count="2">
    <cellStyle name="Comma" xfId="1" builtinId="3"/>
    <cellStyle name="Normal" xfId="0" builtinId="0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1206500</xdr:colOff>
      <xdr:row>1</xdr:row>
      <xdr:rowOff>412750</xdr:rowOff>
    </xdr:from>
    <xdr:ext cx="2301875" cy="867810"/>
    <xdr:sp macro="" textlink="">
      <xdr:nvSpPr>
        <xdr:cNvPr id="2" name="TextBox 1"/>
        <xdr:cNvSpPr txBox="1"/>
      </xdr:nvSpPr>
      <xdr:spPr>
        <a:xfrm>
          <a:off x="1809750" y="412750"/>
          <a:ext cx="2301875" cy="867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15876</xdr:colOff>
      <xdr:row>1</xdr:row>
      <xdr:rowOff>79376</xdr:rowOff>
    </xdr:from>
    <xdr:to>
      <xdr:col>2</xdr:col>
      <xdr:colOff>238125</xdr:colOff>
      <xdr:row>3</xdr:row>
      <xdr:rowOff>86149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285751"/>
          <a:ext cx="3047999" cy="1133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1400176</xdr:colOff>
      <xdr:row>1</xdr:row>
      <xdr:rowOff>152401</xdr:rowOff>
    </xdr:from>
    <xdr:to>
      <xdr:col>4</xdr:col>
      <xdr:colOff>361950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342901"/>
          <a:ext cx="1904999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C41"/>
  <sheetViews>
    <sheetView tabSelected="1" zoomScale="60" zoomScaleNormal="60" workbookViewId="0">
      <selection activeCell="Q5" sqref="Q5"/>
    </sheetView>
  </sheetViews>
  <sheetFormatPr defaultColWidth="17.7109375" defaultRowHeight="15" outlineLevelCol="2" x14ac:dyDescent="0.25"/>
  <cols>
    <col min="1" max="1" width="17.7109375" style="2"/>
    <col min="2" max="2" width="42.28515625" style="2" bestFit="1" customWidth="1"/>
    <col min="3" max="5" width="17.7109375" style="2"/>
    <col min="6" max="6" width="17.7109375" style="4"/>
    <col min="7" max="7" width="17.7109375" style="2"/>
    <col min="8" max="8" width="17.7109375" style="4"/>
    <col min="9" max="9" width="17.7109375" style="2"/>
    <col min="10" max="10" width="22.5703125" style="2" bestFit="1" customWidth="1"/>
    <col min="11" max="12" width="17.7109375" style="2"/>
    <col min="13" max="16" width="0" style="2" hidden="1" customWidth="1" outlineLevel="1"/>
    <col min="17" max="17" width="25.140625" style="2" bestFit="1" customWidth="1" collapsed="1"/>
    <col min="18" max="21" width="0" style="2" hidden="1" customWidth="1" outlineLevel="1"/>
    <col min="22" max="22" width="17.7109375" style="2" collapsed="1"/>
    <col min="23" max="26" width="0" style="2" hidden="1" customWidth="1" outlineLevel="2"/>
    <col min="27" max="27" width="17.7109375" style="2" collapsed="1"/>
    <col min="28" max="16384" width="17.7109375" style="2"/>
  </cols>
  <sheetData>
    <row r="1" spans="2:29" ht="15.75" thickBot="1" x14ac:dyDescent="0.3"/>
    <row r="2" spans="2:29" ht="64.5" customHeight="1" thickBot="1" x14ac:dyDescent="0.3">
      <c r="B2" s="47"/>
      <c r="C2" s="48"/>
      <c r="D2" s="48"/>
      <c r="E2" s="48"/>
      <c r="F2" s="116" t="s">
        <v>68</v>
      </c>
      <c r="G2" s="117"/>
      <c r="H2" s="117"/>
      <c r="I2" s="117"/>
      <c r="J2" s="117"/>
      <c r="K2" s="118"/>
      <c r="L2" s="115"/>
      <c r="M2" s="115"/>
      <c r="N2" s="115"/>
      <c r="O2" s="115"/>
      <c r="P2" s="115"/>
      <c r="Q2" s="120">
        <f ca="1">+TODAY()</f>
        <v>43003</v>
      </c>
      <c r="R2" s="115"/>
      <c r="S2" s="115"/>
      <c r="T2" s="115"/>
      <c r="U2" s="115"/>
      <c r="V2" s="53"/>
      <c r="W2" s="53"/>
      <c r="X2" s="53"/>
      <c r="Y2" s="53"/>
      <c r="Z2" s="53"/>
      <c r="AA2" s="53"/>
    </row>
    <row r="3" spans="2:29" ht="23.25" x14ac:dyDescent="0.35">
      <c r="B3" s="49"/>
      <c r="C3" s="49"/>
      <c r="D3" s="49"/>
      <c r="E3" s="37"/>
      <c r="F3" s="113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54"/>
      <c r="W3" s="54"/>
      <c r="X3" s="54"/>
      <c r="Y3" s="54"/>
      <c r="Z3" s="54"/>
      <c r="AA3" s="54"/>
      <c r="AB3" s="37"/>
      <c r="AC3" s="37"/>
    </row>
    <row r="4" spans="2:29" ht="19.5" thickBo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V4" s="9"/>
      <c r="W4" s="9"/>
      <c r="X4" s="9"/>
      <c r="Y4" s="9"/>
      <c r="Z4" s="9"/>
      <c r="AA4" s="9"/>
    </row>
    <row r="5" spans="2:29" ht="36" customHeight="1" x14ac:dyDescent="0.25">
      <c r="B5" s="75" t="s">
        <v>43</v>
      </c>
      <c r="C5" s="76">
        <f>+'Customer Data  '!D11</f>
        <v>12</v>
      </c>
      <c r="D5" s="77"/>
      <c r="E5" s="78" t="s">
        <v>50</v>
      </c>
      <c r="F5" s="79"/>
      <c r="G5" s="80">
        <f>+C6/110</f>
        <v>45.454545454545453</v>
      </c>
      <c r="H5" s="81" t="s">
        <v>45</v>
      </c>
      <c r="J5" s="90" t="s">
        <v>72</v>
      </c>
      <c r="K5" s="74">
        <f>EVEN(ROUNDDOWN(G5*1000/300,0))</f>
        <v>152</v>
      </c>
      <c r="L5" s="38"/>
      <c r="M5" s="38"/>
      <c r="N5" s="38"/>
      <c r="O5" s="38"/>
      <c r="P5" s="38"/>
      <c r="Q5" s="38"/>
      <c r="R5" s="38"/>
      <c r="S5" s="38"/>
      <c r="T5" s="9"/>
    </row>
    <row r="6" spans="2:29" ht="30.75" thickBot="1" x14ac:dyDescent="0.3">
      <c r="B6" s="82" t="s">
        <v>44</v>
      </c>
      <c r="C6" s="83">
        <f>+'Customer Data  '!D12</f>
        <v>5000</v>
      </c>
      <c r="D6" s="77"/>
      <c r="E6" s="84" t="s">
        <v>46</v>
      </c>
      <c r="F6" s="85"/>
      <c r="G6" s="86">
        <f>+G5*100</f>
        <v>4545.454545454545</v>
      </c>
      <c r="H6" s="87" t="s">
        <v>47</v>
      </c>
      <c r="J6" s="91" t="s">
        <v>71</v>
      </c>
      <c r="K6" s="88">
        <f>+K5*20</f>
        <v>3040</v>
      </c>
      <c r="L6" s="38"/>
      <c r="M6" s="38"/>
      <c r="N6" s="38"/>
      <c r="O6" s="38"/>
      <c r="P6" s="38"/>
      <c r="Q6" s="38"/>
      <c r="R6" s="38"/>
      <c r="S6" s="38"/>
      <c r="T6" s="9"/>
    </row>
    <row r="7" spans="2:29" ht="30.75" customHeight="1" thickBot="1" x14ac:dyDescent="0.3">
      <c r="J7" s="82" t="s">
        <v>69</v>
      </c>
      <c r="K7" s="89">
        <v>0.12</v>
      </c>
      <c r="L7" s="9"/>
      <c r="M7" s="9"/>
      <c r="N7" s="9"/>
      <c r="O7" s="9"/>
      <c r="P7" s="9"/>
      <c r="Q7" s="9"/>
      <c r="R7" s="9"/>
      <c r="S7" s="9"/>
      <c r="T7" s="9"/>
    </row>
    <row r="8" spans="2:29" s="95" customFormat="1" ht="19.5" thickBot="1" x14ac:dyDescent="0.3">
      <c r="F8" s="96"/>
      <c r="G8" s="97" t="s">
        <v>73</v>
      </c>
      <c r="H8" s="96"/>
      <c r="L8" s="97" t="s">
        <v>74</v>
      </c>
      <c r="Q8" s="97" t="s">
        <v>75</v>
      </c>
      <c r="V8" s="97" t="s">
        <v>76</v>
      </c>
      <c r="AA8" s="97" t="s">
        <v>77</v>
      </c>
    </row>
    <row r="9" spans="2:29" x14ac:dyDescent="0.25">
      <c r="B9" s="5" t="s">
        <v>1</v>
      </c>
      <c r="C9" s="6" t="s">
        <v>13</v>
      </c>
      <c r="D9" s="6" t="s">
        <v>14</v>
      </c>
      <c r="E9" s="6" t="s">
        <v>15</v>
      </c>
      <c r="F9" s="7" t="s">
        <v>16</v>
      </c>
      <c r="G9" s="98" t="s">
        <v>17</v>
      </c>
      <c r="H9" s="7" t="s">
        <v>18</v>
      </c>
      <c r="I9" s="6" t="s">
        <v>19</v>
      </c>
      <c r="J9" s="6" t="s">
        <v>20</v>
      </c>
      <c r="K9" s="6" t="s">
        <v>21</v>
      </c>
      <c r="L9" s="98" t="s">
        <v>22</v>
      </c>
      <c r="M9" s="6" t="s">
        <v>23</v>
      </c>
      <c r="N9" s="6" t="s">
        <v>24</v>
      </c>
      <c r="O9" s="6" t="s">
        <v>25</v>
      </c>
      <c r="P9" s="6" t="s">
        <v>26</v>
      </c>
      <c r="Q9" s="98" t="s">
        <v>27</v>
      </c>
      <c r="R9" s="6" t="s">
        <v>28</v>
      </c>
      <c r="S9" s="6" t="s">
        <v>29</v>
      </c>
      <c r="T9" s="6" t="s">
        <v>30</v>
      </c>
      <c r="U9" s="6" t="s">
        <v>31</v>
      </c>
      <c r="V9" s="98" t="s">
        <v>32</v>
      </c>
      <c r="W9" s="6" t="s">
        <v>33</v>
      </c>
      <c r="X9" s="6" t="s">
        <v>34</v>
      </c>
      <c r="Y9" s="6" t="s">
        <v>35</v>
      </c>
      <c r="Z9" s="6" t="s">
        <v>37</v>
      </c>
      <c r="AA9" s="98" t="s">
        <v>36</v>
      </c>
    </row>
    <row r="10" spans="2:29" x14ac:dyDescent="0.25">
      <c r="B10" s="8"/>
      <c r="C10" s="9"/>
      <c r="D10" s="9"/>
      <c r="E10" s="9"/>
      <c r="F10" s="10"/>
      <c r="G10" s="99"/>
      <c r="H10" s="10"/>
      <c r="I10" s="9"/>
      <c r="J10" s="9"/>
      <c r="K10" s="9"/>
      <c r="L10" s="99"/>
      <c r="M10" s="9"/>
      <c r="N10" s="9"/>
      <c r="O10" s="9"/>
      <c r="P10" s="9"/>
      <c r="Q10" s="99"/>
      <c r="R10" s="9"/>
      <c r="S10" s="9"/>
      <c r="T10" s="9"/>
      <c r="U10" s="9"/>
      <c r="V10" s="99"/>
      <c r="W10" s="9"/>
      <c r="X10" s="9"/>
      <c r="Y10" s="9"/>
      <c r="Z10" s="9"/>
      <c r="AA10" s="99"/>
    </row>
    <row r="11" spans="2:29" x14ac:dyDescent="0.25">
      <c r="B11" s="8" t="s">
        <v>2</v>
      </c>
      <c r="C11" s="1">
        <f>+(C6/110)*85000</f>
        <v>3863636.3636363633</v>
      </c>
      <c r="D11" s="9"/>
      <c r="E11" s="9"/>
      <c r="F11" s="10"/>
      <c r="G11" s="99"/>
      <c r="H11" s="10"/>
      <c r="I11" s="9"/>
      <c r="J11" s="9"/>
      <c r="K11" s="9"/>
      <c r="L11" s="99"/>
      <c r="M11" s="9"/>
      <c r="N11" s="9"/>
      <c r="O11" s="9"/>
      <c r="P11" s="9"/>
      <c r="Q11" s="99"/>
      <c r="R11" s="9"/>
      <c r="S11" s="9"/>
      <c r="T11" s="9"/>
      <c r="U11" s="9"/>
      <c r="V11" s="99"/>
      <c r="W11" s="9"/>
      <c r="X11" s="9"/>
      <c r="Y11" s="9"/>
      <c r="Z11" s="9"/>
      <c r="AA11" s="99"/>
    </row>
    <row r="12" spans="2:29" x14ac:dyDescent="0.25">
      <c r="B12" s="8" t="s">
        <v>3</v>
      </c>
      <c r="C12" s="1"/>
      <c r="D12" s="9"/>
      <c r="E12" s="9"/>
      <c r="F12" s="10"/>
      <c r="G12" s="99"/>
      <c r="H12" s="10"/>
      <c r="I12" s="9"/>
      <c r="J12" s="9"/>
      <c r="K12" s="9"/>
      <c r="L12" s="99"/>
      <c r="M12" s="9"/>
      <c r="N12" s="9"/>
      <c r="O12" s="9"/>
      <c r="P12" s="9"/>
      <c r="Q12" s="99"/>
      <c r="R12" s="9"/>
      <c r="S12" s="9"/>
      <c r="T12" s="9"/>
      <c r="U12" s="9"/>
      <c r="V12" s="99"/>
      <c r="W12" s="9"/>
      <c r="X12" s="9"/>
      <c r="Y12" s="9"/>
      <c r="Z12" s="9"/>
      <c r="AA12" s="99"/>
    </row>
    <row r="13" spans="2:29" x14ac:dyDescent="0.25">
      <c r="B13" s="8" t="s">
        <v>9</v>
      </c>
      <c r="C13" s="1">
        <f>SUM(C11:C12)</f>
        <v>3863636.3636363633</v>
      </c>
      <c r="D13" s="9"/>
      <c r="E13" s="9"/>
      <c r="F13" s="10"/>
      <c r="G13" s="99"/>
      <c r="H13" s="10"/>
      <c r="I13" s="9"/>
      <c r="J13" s="9"/>
      <c r="K13" s="9"/>
      <c r="L13" s="99"/>
      <c r="M13" s="9"/>
      <c r="N13" s="9"/>
      <c r="O13" s="9"/>
      <c r="P13" s="9"/>
      <c r="Q13" s="99"/>
      <c r="R13" s="9"/>
      <c r="S13" s="9"/>
      <c r="T13" s="9"/>
      <c r="U13" s="9"/>
      <c r="V13" s="99"/>
      <c r="W13" s="9"/>
      <c r="X13" s="9"/>
      <c r="Y13" s="9"/>
      <c r="Z13" s="9"/>
      <c r="AA13" s="99"/>
    </row>
    <row r="14" spans="2:29" ht="15.75" thickBot="1" x14ac:dyDescent="0.3">
      <c r="B14" s="11"/>
      <c r="C14" s="12"/>
      <c r="D14" s="12"/>
      <c r="E14" s="12"/>
      <c r="F14" s="13"/>
      <c r="G14" s="100" t="s">
        <v>73</v>
      </c>
      <c r="H14" s="13"/>
      <c r="I14" s="12"/>
      <c r="J14" s="12"/>
      <c r="K14" s="12"/>
      <c r="L14" s="100" t="s">
        <v>74</v>
      </c>
      <c r="M14" s="12"/>
      <c r="N14" s="12"/>
      <c r="O14" s="12"/>
      <c r="P14" s="12"/>
      <c r="Q14" s="100" t="s">
        <v>75</v>
      </c>
      <c r="R14" s="12"/>
      <c r="S14" s="12"/>
      <c r="T14" s="12"/>
      <c r="U14" s="12"/>
      <c r="V14" s="100" t="s">
        <v>76</v>
      </c>
      <c r="W14" s="12"/>
      <c r="X14" s="12"/>
      <c r="Y14" s="12"/>
      <c r="Z14" s="12"/>
      <c r="AA14" s="100"/>
    </row>
    <row r="15" spans="2:29" ht="15.75" thickBot="1" x14ac:dyDescent="0.3">
      <c r="B15" s="9"/>
      <c r="C15" s="9"/>
      <c r="D15" s="9"/>
      <c r="E15" s="9"/>
      <c r="F15" s="10"/>
      <c r="G15" s="99"/>
      <c r="H15" s="10"/>
      <c r="I15" s="9"/>
      <c r="J15" s="9"/>
      <c r="K15" s="9"/>
      <c r="L15" s="99"/>
      <c r="M15" s="9"/>
      <c r="N15" s="9"/>
      <c r="O15" s="9"/>
      <c r="P15" s="9"/>
      <c r="Q15" s="99"/>
      <c r="R15" s="9"/>
      <c r="S15" s="9"/>
      <c r="T15" s="9"/>
      <c r="U15" s="9"/>
      <c r="V15" s="99"/>
      <c r="W15" s="9"/>
      <c r="X15" s="9"/>
      <c r="Y15" s="9"/>
      <c r="Z15" s="9"/>
      <c r="AA15" s="99"/>
    </row>
    <row r="16" spans="2:29" x14ac:dyDescent="0.25">
      <c r="B16" s="5" t="s">
        <v>4</v>
      </c>
      <c r="C16" s="14"/>
      <c r="D16" s="14"/>
      <c r="E16" s="14"/>
      <c r="F16" s="15"/>
      <c r="G16" s="101"/>
      <c r="H16" s="15"/>
      <c r="I16" s="14"/>
      <c r="J16" s="14"/>
      <c r="K16" s="14"/>
      <c r="L16" s="101"/>
      <c r="M16" s="14"/>
      <c r="N16" s="14"/>
      <c r="O16" s="14"/>
      <c r="P16" s="14"/>
      <c r="Q16" s="101"/>
      <c r="R16" s="14"/>
      <c r="S16" s="14"/>
      <c r="T16" s="14"/>
      <c r="U16" s="14"/>
      <c r="V16" s="101"/>
      <c r="W16" s="14"/>
      <c r="X16" s="14"/>
      <c r="Y16" s="14"/>
      <c r="Z16" s="14"/>
      <c r="AA16" s="101"/>
    </row>
    <row r="17" spans="2:27" x14ac:dyDescent="0.25">
      <c r="B17" s="8" t="s">
        <v>5</v>
      </c>
      <c r="C17" s="9"/>
      <c r="D17" s="9"/>
      <c r="E17" s="9"/>
      <c r="F17" s="10"/>
      <c r="G17" s="99"/>
      <c r="H17" s="10"/>
      <c r="I17" s="9"/>
      <c r="J17" s="9"/>
      <c r="K17" s="9"/>
      <c r="L17" s="99"/>
      <c r="M17" s="9"/>
      <c r="N17" s="9"/>
      <c r="O17" s="9"/>
      <c r="P17" s="9"/>
      <c r="Q17" s="99"/>
      <c r="R17" s="9"/>
      <c r="S17" s="9"/>
      <c r="T17" s="9"/>
      <c r="U17" s="9"/>
      <c r="V17" s="99"/>
      <c r="W17" s="9"/>
      <c r="X17" s="9"/>
      <c r="Y17" s="9"/>
      <c r="Z17" s="9"/>
      <c r="AA17" s="99"/>
    </row>
    <row r="18" spans="2:27" x14ac:dyDescent="0.25">
      <c r="B18" s="8"/>
      <c r="C18" s="9"/>
      <c r="D18" s="9"/>
      <c r="E18" s="9"/>
      <c r="F18" s="10"/>
      <c r="G18" s="99"/>
      <c r="H18" s="10"/>
      <c r="I18" s="9"/>
      <c r="J18" s="9"/>
      <c r="K18" s="9"/>
      <c r="L18" s="99"/>
      <c r="M18" s="9"/>
      <c r="N18" s="9"/>
      <c r="O18" s="9"/>
      <c r="P18" s="9"/>
      <c r="Q18" s="99"/>
      <c r="R18" s="9"/>
      <c r="S18" s="9"/>
      <c r="T18" s="9"/>
      <c r="U18" s="9"/>
      <c r="V18" s="99"/>
      <c r="W18" s="9"/>
      <c r="X18" s="9"/>
      <c r="Y18" s="9"/>
      <c r="Z18" s="9"/>
      <c r="AA18" s="99"/>
    </row>
    <row r="19" spans="2:27" x14ac:dyDescent="0.25">
      <c r="B19" s="8" t="s">
        <v>6</v>
      </c>
      <c r="C19" s="16">
        <f>+C6*12</f>
        <v>60000</v>
      </c>
      <c r="D19" s="16">
        <f>+C19*(99%)</f>
        <v>59400</v>
      </c>
      <c r="E19" s="16">
        <f>+D19*(99%)</f>
        <v>58806</v>
      </c>
      <c r="F19" s="16">
        <f t="shared" ref="F19:AA19" si="0">+E19*(99%)</f>
        <v>58217.94</v>
      </c>
      <c r="G19" s="102">
        <f t="shared" si="0"/>
        <v>57635.760600000001</v>
      </c>
      <c r="H19" s="16">
        <f t="shared" si="0"/>
        <v>57059.402994000004</v>
      </c>
      <c r="I19" s="16">
        <f t="shared" si="0"/>
        <v>56488.808964060001</v>
      </c>
      <c r="J19" s="16">
        <f t="shared" si="0"/>
        <v>55923.920874419404</v>
      </c>
      <c r="K19" s="16">
        <f t="shared" si="0"/>
        <v>55364.681665675213</v>
      </c>
      <c r="L19" s="102">
        <f t="shared" si="0"/>
        <v>54811.034849018462</v>
      </c>
      <c r="M19" s="16">
        <f t="shared" si="0"/>
        <v>54262.924500528279</v>
      </c>
      <c r="N19" s="16">
        <f t="shared" si="0"/>
        <v>53720.295255522993</v>
      </c>
      <c r="O19" s="16">
        <f t="shared" si="0"/>
        <v>53183.092302967765</v>
      </c>
      <c r="P19" s="16">
        <f t="shared" si="0"/>
        <v>52651.261379938085</v>
      </c>
      <c r="Q19" s="102">
        <f t="shared" si="0"/>
        <v>52124.748766138706</v>
      </c>
      <c r="R19" s="16">
        <f t="shared" si="0"/>
        <v>51603.501278477321</v>
      </c>
      <c r="S19" s="16">
        <f t="shared" si="0"/>
        <v>51087.46626569255</v>
      </c>
      <c r="T19" s="16">
        <f t="shared" si="0"/>
        <v>50576.591603035624</v>
      </c>
      <c r="U19" s="16">
        <f t="shared" si="0"/>
        <v>50070.825687005265</v>
      </c>
      <c r="V19" s="102">
        <f t="shared" si="0"/>
        <v>49570.117430135215</v>
      </c>
      <c r="W19" s="16">
        <f t="shared" si="0"/>
        <v>49074.416255833865</v>
      </c>
      <c r="X19" s="16">
        <f t="shared" si="0"/>
        <v>48583.672093275527</v>
      </c>
      <c r="Y19" s="16">
        <f t="shared" si="0"/>
        <v>48097.835372342772</v>
      </c>
      <c r="Z19" s="16">
        <f t="shared" si="0"/>
        <v>47616.857018619346</v>
      </c>
      <c r="AA19" s="102">
        <f t="shared" si="0"/>
        <v>47140.688448433153</v>
      </c>
    </row>
    <row r="20" spans="2:27" x14ac:dyDescent="0.25">
      <c r="B20" s="8" t="s">
        <v>0</v>
      </c>
      <c r="C20" s="17">
        <f>+C5</f>
        <v>12</v>
      </c>
      <c r="D20" s="17">
        <f>+C20*103%</f>
        <v>12.36</v>
      </c>
      <c r="E20" s="17">
        <f>+D20*103%</f>
        <v>12.7308</v>
      </c>
      <c r="F20" s="17">
        <f t="shared" ref="F20:AA20" si="1">+E20*103%</f>
        <v>13.112724</v>
      </c>
      <c r="G20" s="103">
        <f t="shared" si="1"/>
        <v>13.506105720000001</v>
      </c>
      <c r="H20" s="17">
        <f t="shared" si="1"/>
        <v>13.911288891600002</v>
      </c>
      <c r="I20" s="17">
        <f t="shared" si="1"/>
        <v>14.328627558348002</v>
      </c>
      <c r="J20" s="17">
        <f t="shared" si="1"/>
        <v>14.758486385098442</v>
      </c>
      <c r="K20" s="17">
        <f t="shared" si="1"/>
        <v>15.201240976651395</v>
      </c>
      <c r="L20" s="103">
        <f t="shared" si="1"/>
        <v>15.657278205950936</v>
      </c>
      <c r="M20" s="17">
        <f t="shared" si="1"/>
        <v>16.126996552129466</v>
      </c>
      <c r="N20" s="17">
        <f t="shared" si="1"/>
        <v>16.610806448693349</v>
      </c>
      <c r="O20" s="17">
        <f t="shared" si="1"/>
        <v>17.109130642154149</v>
      </c>
      <c r="P20" s="17">
        <f t="shared" si="1"/>
        <v>17.622404561418772</v>
      </c>
      <c r="Q20" s="103">
        <f t="shared" si="1"/>
        <v>18.151076698261335</v>
      </c>
      <c r="R20" s="17">
        <f t="shared" si="1"/>
        <v>18.695608999209174</v>
      </c>
      <c r="S20" s="17">
        <f t="shared" si="1"/>
        <v>19.256477269185449</v>
      </c>
      <c r="T20" s="17">
        <f t="shared" si="1"/>
        <v>19.834171587261014</v>
      </c>
      <c r="U20" s="17">
        <f t="shared" si="1"/>
        <v>20.429196734878847</v>
      </c>
      <c r="V20" s="103">
        <f t="shared" si="1"/>
        <v>21.042072636925212</v>
      </c>
      <c r="W20" s="17">
        <f t="shared" si="1"/>
        <v>21.67333481603297</v>
      </c>
      <c r="X20" s="17">
        <f t="shared" si="1"/>
        <v>22.323534860513959</v>
      </c>
      <c r="Y20" s="17">
        <f t="shared" si="1"/>
        <v>22.99324090632938</v>
      </c>
      <c r="Z20" s="17">
        <f t="shared" si="1"/>
        <v>23.683038133519261</v>
      </c>
      <c r="AA20" s="103">
        <f t="shared" si="1"/>
        <v>24.393529277524841</v>
      </c>
    </row>
    <row r="21" spans="2:27" x14ac:dyDescent="0.25">
      <c r="B21" s="8" t="s">
        <v>39</v>
      </c>
      <c r="C21" s="18">
        <f>C19*C20</f>
        <v>720000</v>
      </c>
      <c r="D21" s="18">
        <f t="shared" ref="D21:AA21" si="2">D19*D20</f>
        <v>734184</v>
      </c>
      <c r="E21" s="18">
        <f t="shared" si="2"/>
        <v>748647.42480000004</v>
      </c>
      <c r="F21" s="19">
        <f t="shared" si="2"/>
        <v>763395.77906855999</v>
      </c>
      <c r="G21" s="104">
        <f t="shared" si="2"/>
        <v>778434.67591621075</v>
      </c>
      <c r="H21" s="19">
        <f t="shared" si="2"/>
        <v>793769.83903176012</v>
      </c>
      <c r="I21" s="18">
        <f t="shared" si="2"/>
        <v>809407.10486068577</v>
      </c>
      <c r="J21" s="18">
        <f t="shared" si="2"/>
        <v>825352.42482644133</v>
      </c>
      <c r="K21" s="18">
        <f t="shared" si="2"/>
        <v>841611.8675955222</v>
      </c>
      <c r="L21" s="104">
        <f t="shared" si="2"/>
        <v>858191.62138715398</v>
      </c>
      <c r="M21" s="20">
        <f t="shared" si="2"/>
        <v>875097.99632848112</v>
      </c>
      <c r="N21" s="20">
        <f t="shared" si="2"/>
        <v>892337.42685615201</v>
      </c>
      <c r="O21" s="20">
        <f t="shared" si="2"/>
        <v>909916.4741652183</v>
      </c>
      <c r="P21" s="20">
        <f t="shared" si="2"/>
        <v>927841.82870627299</v>
      </c>
      <c r="Q21" s="110">
        <f t="shared" si="2"/>
        <v>946120.31273178651</v>
      </c>
      <c r="R21" s="20">
        <f t="shared" si="2"/>
        <v>964758.88289260271</v>
      </c>
      <c r="S21" s="20">
        <f t="shared" si="2"/>
        <v>983764.63288558705</v>
      </c>
      <c r="T21" s="20">
        <f t="shared" si="2"/>
        <v>1003144.7961534332</v>
      </c>
      <c r="U21" s="20">
        <f t="shared" si="2"/>
        <v>1022906.7486376559</v>
      </c>
      <c r="V21" s="110">
        <f t="shared" si="2"/>
        <v>1043058.0115858177</v>
      </c>
      <c r="W21" s="20">
        <f t="shared" si="2"/>
        <v>1063606.2544140585</v>
      </c>
      <c r="X21" s="20">
        <f t="shared" si="2"/>
        <v>1084559.2976260155</v>
      </c>
      <c r="Y21" s="20">
        <f t="shared" si="2"/>
        <v>1105925.1157892479</v>
      </c>
      <c r="Z21" s="20">
        <f t="shared" si="2"/>
        <v>1127711.8405702962</v>
      </c>
      <c r="AA21" s="110">
        <f t="shared" si="2"/>
        <v>1149927.7638295311</v>
      </c>
    </row>
    <row r="22" spans="2:27" x14ac:dyDescent="0.25">
      <c r="B22" s="8"/>
      <c r="C22" s="9"/>
      <c r="D22" s="9"/>
      <c r="E22" s="9"/>
      <c r="F22" s="10"/>
      <c r="G22" s="99"/>
      <c r="H22" s="10"/>
      <c r="I22" s="9"/>
      <c r="J22" s="9"/>
      <c r="K22" s="9"/>
      <c r="L22" s="99"/>
      <c r="M22" s="9"/>
      <c r="N22" s="9"/>
      <c r="O22" s="9"/>
      <c r="P22" s="9"/>
      <c r="Q22" s="99"/>
      <c r="R22" s="9"/>
      <c r="S22" s="9"/>
      <c r="T22" s="9"/>
      <c r="U22" s="9"/>
      <c r="V22" s="99"/>
      <c r="W22" s="9"/>
      <c r="X22" s="9"/>
      <c r="Y22" s="9"/>
      <c r="Z22" s="9"/>
      <c r="AA22" s="99"/>
    </row>
    <row r="23" spans="2:27" x14ac:dyDescent="0.25">
      <c r="B23" s="8" t="s">
        <v>51</v>
      </c>
      <c r="C23" s="17">
        <f>+C13*40%</f>
        <v>1545454.5454545454</v>
      </c>
      <c r="D23" s="17">
        <f>+C13*40%</f>
        <v>1545454.5454545454</v>
      </c>
      <c r="E23" s="17">
        <f>+C13*20%</f>
        <v>772727.27272727271</v>
      </c>
      <c r="F23" s="10"/>
      <c r="G23" s="99"/>
      <c r="H23" s="10"/>
      <c r="I23" s="9"/>
      <c r="J23" s="9"/>
      <c r="K23" s="9"/>
      <c r="L23" s="99"/>
      <c r="M23" s="9"/>
      <c r="N23" s="9"/>
      <c r="O23" s="9"/>
      <c r="P23" s="9"/>
      <c r="Q23" s="99"/>
      <c r="R23" s="9"/>
      <c r="S23" s="9"/>
      <c r="T23" s="9"/>
      <c r="U23" s="9"/>
      <c r="V23" s="99"/>
      <c r="W23" s="9"/>
      <c r="X23" s="9"/>
      <c r="Y23" s="9"/>
      <c r="Z23" s="9"/>
      <c r="AA23" s="99"/>
    </row>
    <row r="24" spans="2:27" ht="15.75" thickBot="1" x14ac:dyDescent="0.3">
      <c r="B24" s="11" t="s">
        <v>40</v>
      </c>
      <c r="C24" s="21">
        <f>C23*33%</f>
        <v>510000</v>
      </c>
      <c r="D24" s="21">
        <f>D23*33%</f>
        <v>510000</v>
      </c>
      <c r="E24" s="21">
        <f>E23*33%</f>
        <v>255000</v>
      </c>
      <c r="F24" s="22">
        <f t="shared" ref="F24:M24" si="3">F23*33%</f>
        <v>0</v>
      </c>
      <c r="G24" s="105">
        <f t="shared" si="3"/>
        <v>0</v>
      </c>
      <c r="H24" s="22">
        <f t="shared" si="3"/>
        <v>0</v>
      </c>
      <c r="I24" s="21">
        <f t="shared" si="3"/>
        <v>0</v>
      </c>
      <c r="J24" s="21">
        <f t="shared" si="3"/>
        <v>0</v>
      </c>
      <c r="K24" s="21">
        <f t="shared" si="3"/>
        <v>0</v>
      </c>
      <c r="L24" s="105">
        <f t="shared" si="3"/>
        <v>0</v>
      </c>
      <c r="M24" s="23">
        <f t="shared" si="3"/>
        <v>0</v>
      </c>
      <c r="N24" s="23"/>
      <c r="O24" s="23"/>
      <c r="P24" s="23"/>
      <c r="Q24" s="111"/>
      <c r="R24" s="23"/>
      <c r="S24" s="23"/>
      <c r="T24" s="23"/>
      <c r="U24" s="23"/>
      <c r="V24" s="111"/>
      <c r="W24" s="23"/>
      <c r="X24" s="23"/>
      <c r="Y24" s="23"/>
      <c r="Z24" s="23"/>
      <c r="AA24" s="111"/>
    </row>
    <row r="25" spans="2:27" ht="15.75" thickBot="1" x14ac:dyDescent="0.3">
      <c r="C25" s="24"/>
      <c r="D25" s="24"/>
      <c r="E25" s="24"/>
      <c r="F25" s="25"/>
      <c r="G25" s="106"/>
      <c r="H25" s="25"/>
      <c r="I25" s="24"/>
      <c r="J25" s="24"/>
      <c r="K25" s="24"/>
      <c r="L25" s="106"/>
      <c r="Q25" s="99"/>
      <c r="V25" s="99"/>
      <c r="AA25" s="99"/>
    </row>
    <row r="26" spans="2:27" x14ac:dyDescent="0.25">
      <c r="B26" s="5" t="s">
        <v>38</v>
      </c>
      <c r="C26" s="26">
        <f>C21+C24</f>
        <v>1230000</v>
      </c>
      <c r="D26" s="26">
        <f t="shared" ref="D26:AA26" si="4">D21+D24</f>
        <v>1244184</v>
      </c>
      <c r="E26" s="26">
        <f t="shared" si="4"/>
        <v>1003647.4248</v>
      </c>
      <c r="F26" s="27">
        <f t="shared" si="4"/>
        <v>763395.77906855999</v>
      </c>
      <c r="G26" s="107">
        <f t="shared" si="4"/>
        <v>778434.67591621075</v>
      </c>
      <c r="H26" s="27">
        <f t="shared" si="4"/>
        <v>793769.83903176012</v>
      </c>
      <c r="I26" s="26">
        <f t="shared" si="4"/>
        <v>809407.10486068577</v>
      </c>
      <c r="J26" s="26">
        <f t="shared" si="4"/>
        <v>825352.42482644133</v>
      </c>
      <c r="K26" s="26">
        <f t="shared" si="4"/>
        <v>841611.8675955222</v>
      </c>
      <c r="L26" s="107">
        <f t="shared" si="4"/>
        <v>858191.62138715398</v>
      </c>
      <c r="M26" s="28">
        <f t="shared" si="4"/>
        <v>875097.99632848112</v>
      </c>
      <c r="N26" s="28">
        <f t="shared" si="4"/>
        <v>892337.42685615201</v>
      </c>
      <c r="O26" s="28">
        <f t="shared" si="4"/>
        <v>909916.4741652183</v>
      </c>
      <c r="P26" s="28">
        <f t="shared" si="4"/>
        <v>927841.82870627299</v>
      </c>
      <c r="Q26" s="112">
        <f t="shared" si="4"/>
        <v>946120.31273178651</v>
      </c>
      <c r="R26" s="28">
        <f t="shared" si="4"/>
        <v>964758.88289260271</v>
      </c>
      <c r="S26" s="28">
        <f t="shared" si="4"/>
        <v>983764.63288558705</v>
      </c>
      <c r="T26" s="28">
        <f t="shared" si="4"/>
        <v>1003144.7961534332</v>
      </c>
      <c r="U26" s="28">
        <f t="shared" si="4"/>
        <v>1022906.7486376559</v>
      </c>
      <c r="V26" s="112">
        <f t="shared" si="4"/>
        <v>1043058.0115858177</v>
      </c>
      <c r="W26" s="28">
        <f t="shared" si="4"/>
        <v>1063606.2544140585</v>
      </c>
      <c r="X26" s="28">
        <f t="shared" si="4"/>
        <v>1084559.2976260155</v>
      </c>
      <c r="Y26" s="28">
        <f t="shared" si="4"/>
        <v>1105925.1157892479</v>
      </c>
      <c r="Z26" s="28">
        <f t="shared" si="4"/>
        <v>1127711.8405702962</v>
      </c>
      <c r="AA26" s="112">
        <f t="shared" si="4"/>
        <v>1149927.7638295311</v>
      </c>
    </row>
    <row r="27" spans="2:27" x14ac:dyDescent="0.25">
      <c r="B27" s="29"/>
      <c r="C27" s="9"/>
      <c r="D27" s="9"/>
      <c r="E27" s="9"/>
      <c r="F27" s="10"/>
      <c r="G27" s="99"/>
      <c r="H27" s="10"/>
      <c r="I27" s="9"/>
      <c r="J27" s="9"/>
      <c r="K27" s="9"/>
      <c r="L27" s="99"/>
      <c r="M27" s="9"/>
      <c r="N27" s="9"/>
      <c r="O27" s="9"/>
      <c r="P27" s="9"/>
      <c r="Q27" s="99"/>
      <c r="R27" s="9"/>
      <c r="S27" s="9"/>
      <c r="T27" s="9"/>
      <c r="U27" s="9"/>
      <c r="V27" s="99"/>
      <c r="W27" s="9"/>
      <c r="X27" s="9"/>
      <c r="Y27" s="9"/>
      <c r="Z27" s="9"/>
      <c r="AA27" s="99"/>
    </row>
    <row r="28" spans="2:27" x14ac:dyDescent="0.25">
      <c r="B28" s="30" t="s">
        <v>8</v>
      </c>
      <c r="C28" s="9"/>
      <c r="D28" s="9"/>
      <c r="E28" s="9"/>
      <c r="F28" s="10"/>
      <c r="G28" s="99"/>
      <c r="H28" s="10"/>
      <c r="I28" s="9"/>
      <c r="J28" s="9"/>
      <c r="K28" s="9"/>
      <c r="L28" s="99"/>
      <c r="M28" s="9"/>
      <c r="N28" s="9"/>
      <c r="O28" s="9"/>
      <c r="P28" s="9"/>
      <c r="Q28" s="99"/>
      <c r="R28" s="9"/>
      <c r="S28" s="9"/>
      <c r="T28" s="9"/>
      <c r="U28" s="9"/>
      <c r="V28" s="99"/>
      <c r="W28" s="9"/>
      <c r="X28" s="9"/>
      <c r="Y28" s="9"/>
      <c r="Z28" s="9"/>
      <c r="AA28" s="99"/>
    </row>
    <row r="29" spans="2:27" x14ac:dyDescent="0.25">
      <c r="B29" s="8" t="s">
        <v>12</v>
      </c>
      <c r="C29" s="1"/>
      <c r="D29" s="1">
        <f>C35</f>
        <v>-2949672.7272727271</v>
      </c>
      <c r="E29" s="1">
        <f>D35</f>
        <v>-2228069.7163636358</v>
      </c>
      <c r="F29" s="31">
        <f t="shared" ref="F29:L29" si="5">E35</f>
        <v>-1631546.5303214537</v>
      </c>
      <c r="G29" s="106">
        <f t="shared" si="5"/>
        <v>-1174862.0101978772</v>
      </c>
      <c r="H29" s="31">
        <f t="shared" si="5"/>
        <v>-650141.11843353871</v>
      </c>
      <c r="I29" s="1">
        <f t="shared" si="5"/>
        <v>-106913.32157034182</v>
      </c>
      <c r="J29" s="1">
        <f t="shared" si="5"/>
        <v>515262.60484589334</v>
      </c>
      <c r="K29" s="1">
        <f t="shared" si="5"/>
        <v>1263342.3023996074</v>
      </c>
      <c r="L29" s="106">
        <f t="shared" si="5"/>
        <v>2027681.4427224023</v>
      </c>
      <c r="M29" s="1">
        <f t="shared" ref="M29" si="6">L35</f>
        <v>2808600.3368368289</v>
      </c>
      <c r="N29" s="1">
        <f t="shared" ref="N29" si="7">M35</f>
        <v>3606425.6058925828</v>
      </c>
      <c r="O29" s="1">
        <f t="shared" ref="O29" si="8">N35</f>
        <v>4421490.305476008</v>
      </c>
      <c r="P29" s="1">
        <f t="shared" ref="P29" si="9">O35</f>
        <v>5254134.0523684993</v>
      </c>
      <c r="Q29" s="106">
        <f t="shared" ref="Q29" si="10">P35</f>
        <v>6104703.1538020447</v>
      </c>
      <c r="R29" s="1">
        <f t="shared" ref="R29" si="11">Q35</f>
        <v>6973550.7392611038</v>
      </c>
      <c r="S29" s="1">
        <f t="shared" ref="S29" si="12">R35</f>
        <v>7861036.8948809793</v>
      </c>
      <c r="T29" s="1">
        <f t="shared" ref="T29" si="13">S35</f>
        <v>8767528.8004938383</v>
      </c>
      <c r="U29" s="1">
        <f t="shared" ref="U29" si="14">T35</f>
        <v>9693400.8693745434</v>
      </c>
      <c r="V29" s="106">
        <f t="shared" ref="V29" si="15">U35</f>
        <v>10639034.890739473</v>
      </c>
      <c r="W29" s="1">
        <f t="shared" ref="W29" si="16">V35</f>
        <v>11604820.175052563</v>
      </c>
      <c r="X29" s="1">
        <f t="shared" ref="X29" si="17">W35</f>
        <v>12591153.702193893</v>
      </c>
      <c r="Y29" s="1">
        <f t="shared" ref="Y29" si="18">X35</f>
        <v>13598440.272547182</v>
      </c>
      <c r="Z29" s="1">
        <f t="shared" ref="Z29" si="19">Y35</f>
        <v>14627092.661063703</v>
      </c>
      <c r="AA29" s="106">
        <f t="shared" ref="AA29" si="20">Z35</f>
        <v>15677531.774361271</v>
      </c>
    </row>
    <row r="30" spans="2:27" x14ac:dyDescent="0.25">
      <c r="B30" s="8" t="s">
        <v>2</v>
      </c>
      <c r="C30" s="1">
        <f>C13</f>
        <v>3863636.3636363633</v>
      </c>
      <c r="D30" s="1"/>
      <c r="E30" s="1"/>
      <c r="F30" s="31"/>
      <c r="G30" s="106"/>
      <c r="H30" s="31"/>
      <c r="I30" s="1"/>
      <c r="J30" s="1"/>
      <c r="K30" s="1"/>
      <c r="L30" s="106"/>
      <c r="M30" s="1"/>
      <c r="N30" s="9"/>
      <c r="O30" s="9"/>
      <c r="P30" s="9"/>
      <c r="Q30" s="99"/>
      <c r="R30" s="9"/>
      <c r="S30" s="9"/>
      <c r="T30" s="9"/>
      <c r="U30" s="9"/>
      <c r="V30" s="99"/>
      <c r="W30" s="9"/>
      <c r="X30" s="9"/>
      <c r="Y30" s="9"/>
      <c r="Z30" s="9"/>
      <c r="AA30" s="99"/>
    </row>
    <row r="31" spans="2:27" x14ac:dyDescent="0.25">
      <c r="B31" s="8" t="s">
        <v>70</v>
      </c>
      <c r="C31" s="1"/>
      <c r="D31" s="1">
        <f>+$C$30*0.5%</f>
        <v>19318.181818181816</v>
      </c>
      <c r="E31" s="1">
        <f t="shared" ref="E31:G31" si="21">+$C$30*0.5%</f>
        <v>19318.181818181816</v>
      </c>
      <c r="F31" s="1">
        <f t="shared" si="21"/>
        <v>19318.181818181816</v>
      </c>
      <c r="G31" s="106">
        <f t="shared" si="21"/>
        <v>19318.181818181816</v>
      </c>
      <c r="H31" s="73">
        <f>2%*$C$30</f>
        <v>77272.727272727265</v>
      </c>
      <c r="I31" s="73">
        <f t="shared" ref="I31:AA31" si="22">2%*$C$30</f>
        <v>77272.727272727265</v>
      </c>
      <c r="J31" s="73">
        <f t="shared" si="22"/>
        <v>77272.727272727265</v>
      </c>
      <c r="K31" s="73">
        <f t="shared" si="22"/>
        <v>77272.727272727265</v>
      </c>
      <c r="L31" s="109">
        <f t="shared" si="22"/>
        <v>77272.727272727265</v>
      </c>
      <c r="M31" s="73">
        <f t="shared" si="22"/>
        <v>77272.727272727265</v>
      </c>
      <c r="N31" s="73">
        <f t="shared" si="22"/>
        <v>77272.727272727265</v>
      </c>
      <c r="O31" s="73">
        <f t="shared" si="22"/>
        <v>77272.727272727265</v>
      </c>
      <c r="P31" s="73">
        <f t="shared" si="22"/>
        <v>77272.727272727265</v>
      </c>
      <c r="Q31" s="109">
        <f t="shared" si="22"/>
        <v>77272.727272727265</v>
      </c>
      <c r="R31" s="73">
        <f t="shared" si="22"/>
        <v>77272.727272727265</v>
      </c>
      <c r="S31" s="73">
        <f t="shared" si="22"/>
        <v>77272.727272727265</v>
      </c>
      <c r="T31" s="73">
        <f t="shared" si="22"/>
        <v>77272.727272727265</v>
      </c>
      <c r="U31" s="73">
        <f t="shared" si="22"/>
        <v>77272.727272727265</v>
      </c>
      <c r="V31" s="109">
        <f t="shared" si="22"/>
        <v>77272.727272727265</v>
      </c>
      <c r="W31" s="73">
        <f t="shared" si="22"/>
        <v>77272.727272727265</v>
      </c>
      <c r="X31" s="73">
        <f t="shared" si="22"/>
        <v>77272.727272727265</v>
      </c>
      <c r="Y31" s="73">
        <f t="shared" si="22"/>
        <v>77272.727272727265</v>
      </c>
      <c r="Z31" s="73">
        <f t="shared" si="22"/>
        <v>77272.727272727265</v>
      </c>
      <c r="AA31" s="109">
        <f t="shared" si="22"/>
        <v>77272.727272727265</v>
      </c>
    </row>
    <row r="32" spans="2:27" x14ac:dyDescent="0.25">
      <c r="B32" s="8" t="s">
        <v>7</v>
      </c>
      <c r="C32" s="1">
        <f>C26</f>
        <v>1230000</v>
      </c>
      <c r="D32" s="1">
        <f t="shared" ref="D32:AA32" si="23">D26</f>
        <v>1244184</v>
      </c>
      <c r="E32" s="1">
        <f t="shared" si="23"/>
        <v>1003647.4248</v>
      </c>
      <c r="F32" s="31">
        <f t="shared" si="23"/>
        <v>763395.77906855999</v>
      </c>
      <c r="G32" s="106">
        <f t="shared" si="23"/>
        <v>778434.67591621075</v>
      </c>
      <c r="H32" s="31">
        <f t="shared" si="23"/>
        <v>793769.83903176012</v>
      </c>
      <c r="I32" s="1">
        <f t="shared" si="23"/>
        <v>809407.10486068577</v>
      </c>
      <c r="J32" s="1">
        <f t="shared" si="23"/>
        <v>825352.42482644133</v>
      </c>
      <c r="K32" s="1">
        <f t="shared" si="23"/>
        <v>841611.8675955222</v>
      </c>
      <c r="L32" s="106">
        <f t="shared" si="23"/>
        <v>858191.62138715398</v>
      </c>
      <c r="M32" s="1">
        <f t="shared" si="23"/>
        <v>875097.99632848112</v>
      </c>
      <c r="N32" s="1">
        <f t="shared" si="23"/>
        <v>892337.42685615201</v>
      </c>
      <c r="O32" s="1">
        <f t="shared" si="23"/>
        <v>909916.4741652183</v>
      </c>
      <c r="P32" s="1">
        <f t="shared" si="23"/>
        <v>927841.82870627299</v>
      </c>
      <c r="Q32" s="106">
        <f t="shared" si="23"/>
        <v>946120.31273178651</v>
      </c>
      <c r="R32" s="1">
        <f t="shared" si="23"/>
        <v>964758.88289260271</v>
      </c>
      <c r="S32" s="1">
        <f t="shared" si="23"/>
        <v>983764.63288558705</v>
      </c>
      <c r="T32" s="1">
        <f t="shared" si="23"/>
        <v>1003144.7961534332</v>
      </c>
      <c r="U32" s="1">
        <f t="shared" si="23"/>
        <v>1022906.7486376559</v>
      </c>
      <c r="V32" s="106">
        <f t="shared" si="23"/>
        <v>1043058.0115858177</v>
      </c>
      <c r="W32" s="1">
        <f t="shared" si="23"/>
        <v>1063606.2544140585</v>
      </c>
      <c r="X32" s="1">
        <f t="shared" si="23"/>
        <v>1084559.2976260155</v>
      </c>
      <c r="Y32" s="1">
        <f t="shared" si="23"/>
        <v>1105925.1157892479</v>
      </c>
      <c r="Z32" s="1">
        <f t="shared" si="23"/>
        <v>1127711.8405702962</v>
      </c>
      <c r="AA32" s="106">
        <f t="shared" si="23"/>
        <v>1149927.7638295311</v>
      </c>
    </row>
    <row r="33" spans="2:27" x14ac:dyDescent="0.25">
      <c r="B33" s="8" t="s">
        <v>42</v>
      </c>
      <c r="C33" s="1">
        <f>+(C30-C32)*K7</f>
        <v>316036.36363636359</v>
      </c>
      <c r="D33" s="1">
        <f>+IF(D29&lt;0,(D32-D29)*$K$7,0)</f>
        <v>503262.80727272725</v>
      </c>
      <c r="E33" s="1">
        <f t="shared" ref="E33:G33" si="24">+IF(E29&lt;0,(E32-E29)*$K$7,0)</f>
        <v>387806.0569396363</v>
      </c>
      <c r="F33" s="1">
        <f t="shared" si="24"/>
        <v>287393.0771268016</v>
      </c>
      <c r="G33" s="106">
        <f t="shared" si="24"/>
        <v>234395.60233369053</v>
      </c>
      <c r="H33" s="1">
        <f>+IF(H29&lt;0,(H32-H29)*$K$7,0)</f>
        <v>173269.31489583588</v>
      </c>
      <c r="I33" s="1">
        <f t="shared" ref="I33" si="25">+IF(I29&lt;0,(I32-I29)*$K$7,0)</f>
        <v>109958.45117172331</v>
      </c>
      <c r="J33" s="1">
        <f t="shared" ref="J33" si="26">+IF(J29&lt;0,(J32-J29)*$K$7,0)</f>
        <v>0</v>
      </c>
      <c r="K33" s="1">
        <f t="shared" ref="K33" si="27">+IF(K29&lt;0,(K32-K29)*$K$7,0)</f>
        <v>0</v>
      </c>
      <c r="L33" s="106">
        <f t="shared" ref="L33" si="28">+IF(L29&lt;0,(L32-L29)*$K$7,0)</f>
        <v>0</v>
      </c>
      <c r="M33" s="1">
        <f t="shared" ref="M33" si="29">+IF(M29&lt;0,(M32-M29)*$K$7,0)</f>
        <v>0</v>
      </c>
      <c r="N33" s="1">
        <f t="shared" ref="N33" si="30">+IF(N29&lt;0,(N32-N29)*$K$7,0)</f>
        <v>0</v>
      </c>
      <c r="O33" s="1">
        <f t="shared" ref="O33" si="31">+IF(O29&lt;0,(O32-O29)*$K$7,0)</f>
        <v>0</v>
      </c>
      <c r="P33" s="1">
        <f t="shared" ref="P33" si="32">+IF(P29&lt;0,(P32-P29)*$K$7,0)</f>
        <v>0</v>
      </c>
      <c r="Q33" s="106">
        <f t="shared" ref="Q33" si="33">+IF(Q29&lt;0,(Q32-Q29)*$K$7,0)</f>
        <v>0</v>
      </c>
      <c r="R33" s="1">
        <f t="shared" ref="R33" si="34">+IF(R29&lt;0,(R32-R29)*$K$7,0)</f>
        <v>0</v>
      </c>
      <c r="S33" s="1">
        <f t="shared" ref="S33" si="35">+IF(S29&lt;0,(S32-S29)*$K$7,0)</f>
        <v>0</v>
      </c>
      <c r="T33" s="1">
        <f t="shared" ref="T33" si="36">+IF(T29&lt;0,(T32-T29)*$K$7,0)</f>
        <v>0</v>
      </c>
      <c r="U33" s="1">
        <f t="shared" ref="U33" si="37">+IF(U29&lt;0,(U32-U29)*$K$7,0)</f>
        <v>0</v>
      </c>
      <c r="V33" s="106">
        <f t="shared" ref="V33" si="38">+IF(V29&lt;0,(V32-V29)*$K$7,0)</f>
        <v>0</v>
      </c>
      <c r="W33" s="1">
        <f t="shared" ref="W33" si="39">+IF(W29&lt;0,(W32-W29)*$K$7,0)</f>
        <v>0</v>
      </c>
      <c r="X33" s="1">
        <f t="shared" ref="X33" si="40">+IF(X29&lt;0,(X32-X29)*$K$7,0)</f>
        <v>0</v>
      </c>
      <c r="Y33" s="1">
        <f t="shared" ref="Y33" si="41">+IF(Y29&lt;0,(Y32-Y29)*$K$7,0)</f>
        <v>0</v>
      </c>
      <c r="Z33" s="1">
        <f t="shared" ref="Z33" si="42">+IF(Z29&lt;0,(Z32-Z29)*$K$7,0)</f>
        <v>0</v>
      </c>
      <c r="AA33" s="106">
        <f t="shared" ref="AA33" si="43">+IF(AA29&lt;0,(AA32-AA29)*$K$7,0)</f>
        <v>0</v>
      </c>
    </row>
    <row r="34" spans="2:27" x14ac:dyDescent="0.25">
      <c r="B34" s="8" t="s">
        <v>11</v>
      </c>
      <c r="C34" s="1">
        <f>-C30+C32-C33-C31</f>
        <v>-2949672.7272727271</v>
      </c>
      <c r="D34" s="1">
        <f t="shared" ref="D34:AA34" si="44">-D30+D32-D33-D31</f>
        <v>721603.01090909098</v>
      </c>
      <c r="E34" s="1">
        <f t="shared" si="44"/>
        <v>596523.18604218203</v>
      </c>
      <c r="F34" s="1">
        <f t="shared" si="44"/>
        <v>456684.52012357657</v>
      </c>
      <c r="G34" s="106">
        <f t="shared" si="44"/>
        <v>524720.89176433848</v>
      </c>
      <c r="H34" s="1">
        <f t="shared" si="44"/>
        <v>543227.79686319688</v>
      </c>
      <c r="I34" s="1">
        <f t="shared" si="44"/>
        <v>622175.92641623516</v>
      </c>
      <c r="J34" s="1">
        <f t="shared" si="44"/>
        <v>748079.69755371404</v>
      </c>
      <c r="K34" s="1">
        <f t="shared" si="44"/>
        <v>764339.1403227949</v>
      </c>
      <c r="L34" s="106">
        <f t="shared" si="44"/>
        <v>780918.89411442669</v>
      </c>
      <c r="M34" s="1">
        <f t="shared" si="44"/>
        <v>797825.26905575383</v>
      </c>
      <c r="N34" s="1">
        <f t="shared" si="44"/>
        <v>815064.69958342472</v>
      </c>
      <c r="O34" s="1">
        <f t="shared" si="44"/>
        <v>832643.74689249101</v>
      </c>
      <c r="P34" s="1">
        <f t="shared" si="44"/>
        <v>850569.1014335457</v>
      </c>
      <c r="Q34" s="106">
        <f t="shared" si="44"/>
        <v>868847.58545905922</v>
      </c>
      <c r="R34" s="1">
        <f t="shared" si="44"/>
        <v>887486.15561987541</v>
      </c>
      <c r="S34" s="1">
        <f t="shared" si="44"/>
        <v>906491.90561285976</v>
      </c>
      <c r="T34" s="1">
        <f t="shared" si="44"/>
        <v>925872.06888070586</v>
      </c>
      <c r="U34" s="1">
        <f t="shared" si="44"/>
        <v>945634.02136492857</v>
      </c>
      <c r="V34" s="106">
        <f t="shared" si="44"/>
        <v>965785.28431309038</v>
      </c>
      <c r="W34" s="1">
        <f t="shared" si="44"/>
        <v>986333.52714133123</v>
      </c>
      <c r="X34" s="1">
        <f t="shared" si="44"/>
        <v>1007286.5703532882</v>
      </c>
      <c r="Y34" s="1">
        <f t="shared" si="44"/>
        <v>1028652.3885165206</v>
      </c>
      <c r="Z34" s="1">
        <f t="shared" si="44"/>
        <v>1050439.1132975689</v>
      </c>
      <c r="AA34" s="106">
        <f t="shared" si="44"/>
        <v>1072655.0365568039</v>
      </c>
    </row>
    <row r="35" spans="2:27" ht="15.75" thickBot="1" x14ac:dyDescent="0.3">
      <c r="B35" s="32" t="s">
        <v>10</v>
      </c>
      <c r="C35" s="33">
        <f>C34</f>
        <v>-2949672.7272727271</v>
      </c>
      <c r="D35" s="33">
        <f>+C35+D34</f>
        <v>-2228069.7163636358</v>
      </c>
      <c r="E35" s="33">
        <f t="shared" ref="E35:G35" si="45">+D35+E34</f>
        <v>-1631546.5303214537</v>
      </c>
      <c r="F35" s="33">
        <f t="shared" si="45"/>
        <v>-1174862.0101978772</v>
      </c>
      <c r="G35" s="108">
        <f t="shared" si="45"/>
        <v>-650141.11843353871</v>
      </c>
      <c r="H35" s="33">
        <f t="shared" ref="H35" si="46">+G35+H34</f>
        <v>-106913.32157034182</v>
      </c>
      <c r="I35" s="33">
        <f t="shared" ref="I35:J35" si="47">+H35+I34</f>
        <v>515262.60484589334</v>
      </c>
      <c r="J35" s="33">
        <f t="shared" si="47"/>
        <v>1263342.3023996074</v>
      </c>
      <c r="K35" s="33">
        <f t="shared" ref="K35" si="48">+J35+K34</f>
        <v>2027681.4427224023</v>
      </c>
      <c r="L35" s="108">
        <f t="shared" ref="L35:M35" si="49">+K35+L34</f>
        <v>2808600.3368368289</v>
      </c>
      <c r="M35" s="33">
        <f t="shared" si="49"/>
        <v>3606425.6058925828</v>
      </c>
      <c r="N35" s="33">
        <f t="shared" ref="N35" si="50">+M35+N34</f>
        <v>4421490.305476008</v>
      </c>
      <c r="O35" s="33">
        <f t="shared" ref="O35:P35" si="51">+N35+O34</f>
        <v>5254134.0523684993</v>
      </c>
      <c r="P35" s="33">
        <f t="shared" si="51"/>
        <v>6104703.1538020447</v>
      </c>
      <c r="Q35" s="108">
        <f t="shared" ref="Q35" si="52">+P35+Q34</f>
        <v>6973550.7392611038</v>
      </c>
      <c r="R35" s="33">
        <f t="shared" ref="R35:S35" si="53">+Q35+R34</f>
        <v>7861036.8948809793</v>
      </c>
      <c r="S35" s="33">
        <f t="shared" si="53"/>
        <v>8767528.8004938383</v>
      </c>
      <c r="T35" s="33">
        <f t="shared" ref="T35" si="54">+S35+T34</f>
        <v>9693400.8693745434</v>
      </c>
      <c r="U35" s="33">
        <f t="shared" ref="U35:V35" si="55">+T35+U34</f>
        <v>10639034.890739473</v>
      </c>
      <c r="V35" s="108">
        <f t="shared" si="55"/>
        <v>11604820.175052563</v>
      </c>
      <c r="W35" s="33">
        <f t="shared" ref="W35" si="56">+V35+W34</f>
        <v>12591153.702193893</v>
      </c>
      <c r="X35" s="33">
        <f t="shared" ref="X35:Y35" si="57">+W35+X34</f>
        <v>13598440.272547182</v>
      </c>
      <c r="Y35" s="33">
        <f t="shared" si="57"/>
        <v>14627092.661063703</v>
      </c>
      <c r="Z35" s="33">
        <f t="shared" ref="Z35" si="58">+Y35+Z34</f>
        <v>15677531.774361271</v>
      </c>
      <c r="AA35" s="108">
        <f t="shared" ref="AA35" si="59">+Z35+AA34</f>
        <v>16750186.810918076</v>
      </c>
    </row>
    <row r="36" spans="2:27" ht="15.75" thickBot="1" x14ac:dyDescent="0.3"/>
    <row r="37" spans="2:27" ht="15" customHeight="1" x14ac:dyDescent="0.25">
      <c r="B37" s="92" t="s">
        <v>41</v>
      </c>
      <c r="C37" s="93">
        <f>+AA35</f>
        <v>16750186.810918076</v>
      </c>
      <c r="E37" s="55" t="s">
        <v>66</v>
      </c>
      <c r="F37" s="55"/>
      <c r="G37" s="55"/>
      <c r="H37" s="55"/>
      <c r="I37" s="55"/>
      <c r="J37" s="55"/>
    </row>
    <row r="38" spans="2:27" ht="15" customHeight="1" x14ac:dyDescent="0.25">
      <c r="B38" s="34" t="s">
        <v>48</v>
      </c>
      <c r="C38" s="35">
        <f>+Q35</f>
        <v>6973550.7392611038</v>
      </c>
      <c r="E38" s="55"/>
      <c r="F38" s="55"/>
      <c r="G38" s="55"/>
      <c r="H38" s="55"/>
      <c r="I38" s="55"/>
      <c r="J38" s="55"/>
      <c r="L38" s="38"/>
      <c r="M38" s="38"/>
      <c r="N38" s="38"/>
      <c r="O38" s="38"/>
      <c r="P38" s="38"/>
      <c r="Q38" s="38"/>
      <c r="R38" s="38"/>
      <c r="S38" s="38"/>
      <c r="T38" s="119"/>
      <c r="U38" s="119"/>
      <c r="V38" s="119"/>
      <c r="W38" s="119"/>
      <c r="X38" s="119"/>
      <c r="Y38" s="119"/>
      <c r="Z38" s="119"/>
      <c r="AA38" s="119"/>
    </row>
    <row r="39" spans="2:27" ht="15.75" customHeight="1" thickBot="1" x14ac:dyDescent="0.3">
      <c r="B39" s="36" t="s">
        <v>49</v>
      </c>
      <c r="C39" s="94">
        <f>+L35</f>
        <v>2808600.3368368289</v>
      </c>
      <c r="E39" s="55"/>
      <c r="F39" s="55"/>
      <c r="G39" s="55"/>
      <c r="H39" s="55"/>
      <c r="I39" s="55"/>
      <c r="J39" s="55"/>
      <c r="L39" s="38"/>
      <c r="M39" s="38"/>
      <c r="N39" s="38"/>
      <c r="O39" s="38"/>
      <c r="P39" s="38"/>
      <c r="Q39" s="38"/>
      <c r="R39" s="38"/>
      <c r="S39" s="38"/>
      <c r="T39" s="119"/>
      <c r="U39" s="119"/>
      <c r="V39" s="119"/>
      <c r="W39" s="119"/>
      <c r="X39" s="119"/>
      <c r="Y39" s="119"/>
      <c r="Z39" s="119"/>
      <c r="AA39" s="119"/>
    </row>
    <row r="41" spans="2:27" ht="21.75" customHeight="1" x14ac:dyDescent="0.25"/>
  </sheetData>
  <mergeCells count="4">
    <mergeCell ref="E37:J39"/>
    <mergeCell ref="E5:F5"/>
    <mergeCell ref="E6:F6"/>
    <mergeCell ref="F2:K2"/>
  </mergeCells>
  <conditionalFormatting sqref="D35">
    <cfRule type="cellIs" dxfId="1" priority="2" operator="greaterThan">
      <formula>0</formula>
    </cfRule>
  </conditionalFormatting>
  <conditionalFormatting sqref="E35:AA35">
    <cfRule type="cellIs" dxfId="0" priority="1" operator="greaterThan">
      <formula>0</formula>
    </cfRule>
  </conditionalFormatting>
  <pageMargins left="0" right="0" top="0.75" bottom="0" header="0.3" footer="0"/>
  <pageSetup scale="48" orientation="portrait" horizontalDpi="300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7:T21"/>
  <sheetViews>
    <sheetView topLeftCell="A3" workbookViewId="0">
      <selection activeCell="I16" sqref="I16"/>
    </sheetView>
  </sheetViews>
  <sheetFormatPr defaultRowHeight="15" x14ac:dyDescent="0.25"/>
  <cols>
    <col min="3" max="3" width="26.42578125" bestFit="1" customWidth="1"/>
    <col min="4" max="4" width="17.7109375" customWidth="1"/>
  </cols>
  <sheetData>
    <row r="7" spans="3:9" ht="23.25" x14ac:dyDescent="0.35">
      <c r="C7" s="56" t="s">
        <v>64</v>
      </c>
      <c r="D7" s="56"/>
      <c r="E7" s="56"/>
      <c r="F7" s="56"/>
      <c r="G7" s="56"/>
      <c r="H7" s="56"/>
      <c r="I7" s="56"/>
    </row>
    <row r="8" spans="3:9" ht="15.75" thickBot="1" x14ac:dyDescent="0.3"/>
    <row r="9" spans="3:9" ht="21" x14ac:dyDescent="0.35">
      <c r="C9" s="59" t="s">
        <v>54</v>
      </c>
      <c r="D9" s="60"/>
    </row>
    <row r="10" spans="3:9" ht="15.75" thickBot="1" x14ac:dyDescent="0.3">
      <c r="C10" s="62" t="s">
        <v>67</v>
      </c>
      <c r="D10" s="63"/>
    </row>
    <row r="11" spans="3:9" ht="18.75" x14ac:dyDescent="0.3">
      <c r="C11" s="39" t="s">
        <v>52</v>
      </c>
      <c r="D11" s="51">
        <v>12</v>
      </c>
      <c r="E11" s="64" t="s">
        <v>60</v>
      </c>
      <c r="F11" s="65"/>
      <c r="G11" s="65"/>
      <c r="H11" s="66"/>
    </row>
    <row r="12" spans="3:9" ht="19.5" thickBot="1" x14ac:dyDescent="0.35">
      <c r="C12" s="40" t="s">
        <v>53</v>
      </c>
      <c r="D12" s="52">
        <v>5000</v>
      </c>
      <c r="E12" s="67" t="s">
        <v>61</v>
      </c>
      <c r="F12" s="68"/>
      <c r="G12" s="68"/>
      <c r="H12" s="69"/>
    </row>
    <row r="14" spans="3:9" ht="15.75" thickBot="1" x14ac:dyDescent="0.3">
      <c r="C14" s="61" t="s">
        <v>59</v>
      </c>
      <c r="D14" s="61"/>
    </row>
    <row r="15" spans="3:9" ht="21" x14ac:dyDescent="0.35">
      <c r="C15" s="70" t="s">
        <v>55</v>
      </c>
      <c r="D15" s="71"/>
      <c r="E15" s="72"/>
    </row>
    <row r="16" spans="3:9" ht="18.75" x14ac:dyDescent="0.3">
      <c r="C16" s="41" t="s">
        <v>56</v>
      </c>
      <c r="D16" s="46">
        <f>+'Cashflow &amp; ROI'!G5</f>
        <v>45.454545454545453</v>
      </c>
      <c r="E16" s="44" t="s">
        <v>62</v>
      </c>
    </row>
    <row r="17" spans="3:20" ht="18.75" x14ac:dyDescent="0.3">
      <c r="C17" s="41" t="s">
        <v>57</v>
      </c>
      <c r="D17" s="46">
        <f>+'Cashflow &amp; ROI'!G6</f>
        <v>4545.454545454545</v>
      </c>
      <c r="E17" s="44" t="s">
        <v>65</v>
      </c>
    </row>
    <row r="18" spans="3:20" ht="19.5" thickBot="1" x14ac:dyDescent="0.35">
      <c r="C18" s="42" t="s">
        <v>58</v>
      </c>
      <c r="D18" s="43">
        <f>+'Cashflow &amp; ROI'!C13</f>
        <v>3863636.3636363633</v>
      </c>
      <c r="E18" s="45" t="s">
        <v>63</v>
      </c>
    </row>
    <row r="20" spans="3:20" ht="15" customHeight="1" x14ac:dyDescent="0.25">
      <c r="C20" s="57" t="str">
        <f>'Cashflow &amp; ROI'!$E$37</f>
        <v>The document is a property PlasmaBerry Solar Pvt Ltd.
The document is confidential and not shareable.</v>
      </c>
      <c r="D20" s="58"/>
      <c r="E20" s="58"/>
      <c r="F20" s="58"/>
      <c r="G20" s="58"/>
      <c r="H20" s="58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3:20" ht="15" customHeight="1" x14ac:dyDescent="0.25">
      <c r="C21" s="58"/>
      <c r="D21" s="58"/>
      <c r="E21" s="58"/>
      <c r="F21" s="58"/>
      <c r="G21" s="58"/>
      <c r="H21" s="58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</sheetData>
  <mergeCells count="8">
    <mergeCell ref="C7:I7"/>
    <mergeCell ref="C20:H21"/>
    <mergeCell ref="C9:D9"/>
    <mergeCell ref="C14:D14"/>
    <mergeCell ref="C10:D10"/>
    <mergeCell ref="E11:H11"/>
    <mergeCell ref="E12:H12"/>
    <mergeCell ref="C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Cashflow &amp; ROI</vt:lpstr>
      <vt:lpstr>Customer Data  </vt:lpstr>
    </vt:vector>
  </TitlesOfParts>
  <Company>OIL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Rane</dc:creator>
  <cp:lastModifiedBy>Pitale Avinash</cp:lastModifiedBy>
  <cp:lastPrinted>2017-09-25T08:38:39Z</cp:lastPrinted>
  <dcterms:created xsi:type="dcterms:W3CDTF">2017-04-17T12:01:30Z</dcterms:created>
  <dcterms:modified xsi:type="dcterms:W3CDTF">2017-09-25T08:41:27Z</dcterms:modified>
</cp:coreProperties>
</file>