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AlgorithmName="SHA-512" workbookHashValue="JDXnBuajdmdF2+316ajpXqKiE6L/lwShtet56ZaMUjHd4uFgi/dYRB/ZLzVx/06UMeYgGpfKJ58He1PypBbhjA==" workbookSaltValue="QuKqK8+22ooa7Zd+oP00ww==" workbookSpinCount="100000" lockStructure="1"/>
  <bookViews>
    <workbookView xWindow="-105" yWindow="-105" windowWidth="28995" windowHeight="15795"/>
  </bookViews>
  <sheets>
    <sheet name="18 Holes - 2 Tees" sheetId="2" r:id="rId1"/>
    <sheet name="18 Holes - 3 Tees" sheetId="4" r:id="rId2"/>
    <sheet name="9 Holes - 2 Tees" sheetId="3" r:id="rId3"/>
    <sheet name="Foursomes Greensomes" sheetId="5" r:id="rId4"/>
    <sheet name="Scrambles" sheetId="6" r:id="rId5"/>
    <sheet name="Team Competitions" sheetId="7" r:id="rId6"/>
  </sheets>
  <calcPr calcId="181029"/>
</workbook>
</file>

<file path=xl/calcChain.xml><?xml version="1.0" encoding="utf-8"?>
<calcChain xmlns="http://schemas.openxmlformats.org/spreadsheetml/2006/main">
  <c r="G50" i="7" l="1"/>
  <c r="G49" i="7"/>
  <c r="K53" i="7" s="1"/>
  <c r="K54" i="7" s="1"/>
  <c r="K55" i="7" s="1"/>
  <c r="K56" i="7" s="1"/>
  <c r="G48" i="7"/>
  <c r="J53" i="7" s="1"/>
  <c r="J54" i="7" s="1"/>
  <c r="J55" i="7" s="1"/>
  <c r="J56" i="7" s="1"/>
  <c r="G47" i="7"/>
  <c r="M39" i="7"/>
  <c r="L39" i="7"/>
  <c r="R13" i="7"/>
  <c r="Q13" i="7"/>
  <c r="E35" i="7" s="1"/>
  <c r="D50" i="7"/>
  <c r="D49" i="7"/>
  <c r="D48" i="7"/>
  <c r="D47" i="7"/>
  <c r="L28" i="7"/>
  <c r="G28" i="7"/>
  <c r="K12" i="7"/>
  <c r="S11" i="7" s="1"/>
  <c r="H12" i="7"/>
  <c r="F12" i="7"/>
  <c r="S9" i="7" s="1"/>
  <c r="R11" i="7"/>
  <c r="Q11" i="7"/>
  <c r="R10" i="7"/>
  <c r="Q10" i="7"/>
  <c r="R9" i="7"/>
  <c r="Q9" i="7"/>
  <c r="F38" i="7" l="1"/>
  <c r="F37" i="7"/>
  <c r="F36" i="7"/>
  <c r="E38" i="7"/>
  <c r="F35" i="7"/>
  <c r="E37" i="7"/>
  <c r="F34" i="7"/>
  <c r="E34" i="7"/>
  <c r="E36" i="7"/>
  <c r="L53" i="7"/>
  <c r="L54" i="7" s="1"/>
  <c r="L55" i="7" s="1"/>
  <c r="L56" i="7" s="1"/>
  <c r="F50" i="7" s="1"/>
  <c r="N23" i="7" s="1"/>
  <c r="J57" i="7"/>
  <c r="F48" i="7"/>
  <c r="H23" i="7" s="1"/>
  <c r="I53" i="7"/>
  <c r="I54" i="7" s="1"/>
  <c r="I55" i="7" s="1"/>
  <c r="I56" i="7" s="1"/>
  <c r="F47" i="7" s="1"/>
  <c r="F23" i="7" s="1"/>
  <c r="E48" i="7"/>
  <c r="K57" i="7"/>
  <c r="F49" i="7"/>
  <c r="K23" i="7" s="1"/>
  <c r="L42" i="7"/>
  <c r="O24" i="7" s="1"/>
  <c r="E47" i="7"/>
  <c r="F32" i="7"/>
  <c r="F39" i="7" s="1"/>
  <c r="S10" i="7"/>
  <c r="S13" i="7" s="1"/>
  <c r="I37" i="7" s="1"/>
  <c r="D33" i="7"/>
  <c r="E33" i="7"/>
  <c r="D32" i="7"/>
  <c r="D39" i="7" s="1"/>
  <c r="F33" i="7"/>
  <c r="E32" i="7"/>
  <c r="E39" i="7" s="1"/>
  <c r="F14" i="3"/>
  <c r="H14" i="3"/>
  <c r="J37" i="7" l="1"/>
  <c r="H32" i="7"/>
  <c r="H39" i="7" s="1"/>
  <c r="H42" i="7" s="1"/>
  <c r="F14" i="7" s="1"/>
  <c r="J36" i="7"/>
  <c r="J38" i="7"/>
  <c r="J32" i="7"/>
  <c r="J39" i="7" s="1"/>
  <c r="J42" i="7" s="1"/>
  <c r="H33" i="7"/>
  <c r="H34" i="7"/>
  <c r="J33" i="7"/>
  <c r="H35" i="7"/>
  <c r="J34" i="7"/>
  <c r="H36" i="7"/>
  <c r="J35" i="7"/>
  <c r="H37" i="7"/>
  <c r="H38" i="7"/>
  <c r="I32" i="7"/>
  <c r="I39" i="7" s="1"/>
  <c r="I42" i="7" s="1"/>
  <c r="H14" i="7" s="1"/>
  <c r="I34" i="7"/>
  <c r="I35" i="7"/>
  <c r="I33" i="7"/>
  <c r="I36" i="7"/>
  <c r="I38" i="7"/>
  <c r="I57" i="7"/>
  <c r="L57" i="7"/>
  <c r="G24" i="7"/>
  <c r="F24" i="7" s="1"/>
  <c r="L24" i="7"/>
  <c r="K24" i="7" s="1"/>
  <c r="N24" i="7"/>
  <c r="I24" i="7"/>
  <c r="G61" i="7" s="1"/>
  <c r="D36" i="7"/>
  <c r="D37" i="7"/>
  <c r="D38" i="7"/>
  <c r="D35" i="7"/>
  <c r="D34" i="7"/>
  <c r="J38" i="5"/>
  <c r="I38" i="5"/>
  <c r="H38" i="5"/>
  <c r="K14" i="7" l="1"/>
  <c r="H25" i="7"/>
  <c r="K25" i="7"/>
  <c r="F25" i="7"/>
  <c r="I61" i="7" s="1"/>
  <c r="I62" i="7" s="1"/>
  <c r="I63" i="7" s="1"/>
  <c r="I64" i="7" s="1"/>
  <c r="F27" i="7" s="1"/>
  <c r="N25" i="7"/>
  <c r="L61" i="7" s="1"/>
  <c r="L62" i="7" s="1"/>
  <c r="L63" i="7" s="1"/>
  <c r="L64" i="7" s="1"/>
  <c r="N27" i="7" s="1"/>
  <c r="H24" i="7"/>
  <c r="K47" i="4"/>
  <c r="K48" i="4" s="1"/>
  <c r="K49" i="4" s="1"/>
  <c r="K50" i="4" s="1"/>
  <c r="K51" i="4" s="1"/>
  <c r="K21" i="4" s="1"/>
  <c r="H47" i="4"/>
  <c r="H48" i="4" s="1"/>
  <c r="H49" i="4" s="1"/>
  <c r="H50" i="4" s="1"/>
  <c r="H51" i="4" s="1"/>
  <c r="H21" i="4" s="1"/>
  <c r="F47" i="4"/>
  <c r="F48" i="4" s="1"/>
  <c r="F49" i="4" s="1"/>
  <c r="F50" i="4" s="1"/>
  <c r="F51" i="4" s="1"/>
  <c r="F21" i="4" s="1"/>
  <c r="H47" i="2"/>
  <c r="F47" i="2"/>
  <c r="F48" i="2" s="1"/>
  <c r="F49" i="2" s="1"/>
  <c r="J61" i="7" l="1"/>
  <c r="J62" i="7" s="1"/>
  <c r="J63" i="7" s="1"/>
  <c r="J64" i="7" s="1"/>
  <c r="H27" i="7" s="1"/>
  <c r="F26" i="7"/>
  <c r="N26" i="7"/>
  <c r="K61" i="7"/>
  <c r="K62" i="7" s="1"/>
  <c r="K63" i="7" s="1"/>
  <c r="K64" i="7" s="1"/>
  <c r="K27" i="7" s="1"/>
  <c r="H48" i="2"/>
  <c r="H49" i="2" s="1"/>
  <c r="H50" i="2" s="1"/>
  <c r="H51" i="2" s="1"/>
  <c r="H21" i="2" s="1"/>
  <c r="F50" i="2"/>
  <c r="T41" i="6"/>
  <c r="T40" i="6"/>
  <c r="T39" i="6"/>
  <c r="T38" i="6"/>
  <c r="F51" i="2" l="1"/>
  <c r="F21" i="2" s="1"/>
  <c r="D50" i="6"/>
  <c r="D49" i="6"/>
  <c r="D48" i="6"/>
  <c r="D47" i="6"/>
  <c r="H26" i="7" l="1"/>
  <c r="X17" i="6"/>
  <c r="I36" i="6"/>
  <c r="H36" i="6"/>
  <c r="M35" i="6"/>
  <c r="L35" i="6"/>
  <c r="K35" i="6"/>
  <c r="M34" i="6"/>
  <c r="L34" i="6"/>
  <c r="K34" i="6"/>
  <c r="M33" i="6"/>
  <c r="K38" i="6" s="1"/>
  <c r="L33" i="6"/>
  <c r="K33" i="6"/>
  <c r="M32" i="6"/>
  <c r="K37" i="6" s="1"/>
  <c r="L32" i="6"/>
  <c r="K32" i="6"/>
  <c r="L28" i="6"/>
  <c r="G28" i="6"/>
  <c r="R12" i="6"/>
  <c r="Q12" i="6"/>
  <c r="S12" i="6"/>
  <c r="K12" i="6"/>
  <c r="S11" i="6" s="1"/>
  <c r="H12" i="6"/>
  <c r="S10" i="6" s="1"/>
  <c r="F12" i="6"/>
  <c r="S9" i="6" s="1"/>
  <c r="R11" i="6"/>
  <c r="Q11" i="6"/>
  <c r="R10" i="6"/>
  <c r="Q10" i="6"/>
  <c r="R9" i="6"/>
  <c r="Q9" i="6"/>
  <c r="E48" i="6" l="1"/>
  <c r="E47" i="6"/>
  <c r="F47" i="6" s="1"/>
  <c r="F23" i="6" s="1"/>
  <c r="K40" i="6"/>
  <c r="R13" i="6"/>
  <c r="S13" i="6"/>
  <c r="D34" i="6" s="1"/>
  <c r="Q13" i="6"/>
  <c r="G33" i="6" s="1"/>
  <c r="K39" i="6"/>
  <c r="L28" i="5"/>
  <c r="G28" i="5"/>
  <c r="R22" i="6" l="1"/>
  <c r="S22" i="6"/>
  <c r="F48" i="6"/>
  <c r="H23" i="6" s="1"/>
  <c r="E50" i="6"/>
  <c r="E49" i="6"/>
  <c r="E34" i="6"/>
  <c r="E35" i="6"/>
  <c r="F35" i="6"/>
  <c r="G35" i="6"/>
  <c r="E33" i="6"/>
  <c r="F33" i="6"/>
  <c r="G34" i="6"/>
  <c r="E32" i="6"/>
  <c r="G32" i="6"/>
  <c r="G36" i="6" s="1"/>
  <c r="N35" i="6" s="1"/>
  <c r="D35" i="6"/>
  <c r="F34" i="6"/>
  <c r="D33" i="6"/>
  <c r="F32" i="6"/>
  <c r="D32" i="6"/>
  <c r="L39" i="5"/>
  <c r="F49" i="5" s="1"/>
  <c r="F50" i="5" s="1"/>
  <c r="F51" i="5" s="1"/>
  <c r="F52" i="5" s="1"/>
  <c r="N35" i="5"/>
  <c r="M35" i="5"/>
  <c r="L35" i="5"/>
  <c r="N34" i="5"/>
  <c r="L41" i="5" s="1"/>
  <c r="L49" i="5" s="1"/>
  <c r="L50" i="5" s="1"/>
  <c r="L51" i="5" s="1"/>
  <c r="L52" i="5" s="1"/>
  <c r="L53" i="5" s="1"/>
  <c r="K23" i="5" s="1"/>
  <c r="M34" i="5"/>
  <c r="L34" i="5"/>
  <c r="N33" i="5"/>
  <c r="L40" i="5" s="1"/>
  <c r="H49" i="5" s="1"/>
  <c r="H50" i="5" s="1"/>
  <c r="H51" i="5" s="1"/>
  <c r="H52" i="5" s="1"/>
  <c r="H53" i="5" s="1"/>
  <c r="H23" i="5" s="1"/>
  <c r="M33" i="5"/>
  <c r="L33" i="5"/>
  <c r="N32" i="5"/>
  <c r="M32" i="5"/>
  <c r="L32" i="5"/>
  <c r="K12" i="5"/>
  <c r="S11" i="5" s="1"/>
  <c r="H12" i="5"/>
  <c r="F12" i="5"/>
  <c r="R12" i="5"/>
  <c r="Q12" i="5"/>
  <c r="R11" i="5"/>
  <c r="Q11" i="5"/>
  <c r="R10" i="5"/>
  <c r="Q10" i="5"/>
  <c r="R9" i="5"/>
  <c r="Q9" i="5"/>
  <c r="F53" i="5" l="1"/>
  <c r="F23" i="5" s="1"/>
  <c r="V27" i="6"/>
  <c r="W27" i="6" s="1"/>
  <c r="R27" i="6"/>
  <c r="R23" i="6"/>
  <c r="S23" i="6"/>
  <c r="F49" i="6"/>
  <c r="K23" i="6" s="1"/>
  <c r="F50" i="6"/>
  <c r="N23" i="6" s="1"/>
  <c r="R25" i="6" s="1"/>
  <c r="R30" i="6" s="1"/>
  <c r="S30" i="6" s="1"/>
  <c r="R13" i="5"/>
  <c r="E36" i="6"/>
  <c r="H14" i="6" s="1"/>
  <c r="N33" i="6" s="1"/>
  <c r="F36" i="6"/>
  <c r="K14" i="6" s="1"/>
  <c r="N34" i="6" s="1"/>
  <c r="D36" i="6"/>
  <c r="F14" i="6" s="1"/>
  <c r="Q13" i="5"/>
  <c r="L42" i="5"/>
  <c r="S12" i="5"/>
  <c r="S9" i="5"/>
  <c r="S10" i="5"/>
  <c r="P39" i="5" l="1"/>
  <c r="F24" i="5" s="1"/>
  <c r="P40" i="5"/>
  <c r="H24" i="5" s="1"/>
  <c r="F32" i="5"/>
  <c r="D37" i="5"/>
  <c r="F36" i="5"/>
  <c r="E36" i="5"/>
  <c r="D36" i="5"/>
  <c r="G36" i="5"/>
  <c r="G37" i="5"/>
  <c r="F37" i="5"/>
  <c r="E37" i="5"/>
  <c r="O49" i="5"/>
  <c r="O50" i="5" s="1"/>
  <c r="O51" i="5" s="1"/>
  <c r="O52" i="5" s="1"/>
  <c r="O53" i="5" s="1"/>
  <c r="N23" i="5" s="1"/>
  <c r="R24" i="6"/>
  <c r="S24" i="6"/>
  <c r="V28" i="6"/>
  <c r="R28" i="6"/>
  <c r="S28" i="6" s="1"/>
  <c r="S27" i="6"/>
  <c r="N32" i="6"/>
  <c r="G32" i="5"/>
  <c r="O35" i="5" s="1"/>
  <c r="D33" i="5"/>
  <c r="S13" i="5"/>
  <c r="E33" i="5"/>
  <c r="D32" i="5"/>
  <c r="F33" i="5"/>
  <c r="E32" i="5"/>
  <c r="G33" i="5"/>
  <c r="G24" i="5" l="1"/>
  <c r="P41" i="5"/>
  <c r="K24" i="5" s="1"/>
  <c r="P42" i="5"/>
  <c r="N24" i="5" s="1"/>
  <c r="W28" i="6"/>
  <c r="V29" i="6"/>
  <c r="W29" i="6" s="1"/>
  <c r="R29" i="6"/>
  <c r="R33" i="6" s="1"/>
  <c r="G35" i="5"/>
  <c r="D35" i="5"/>
  <c r="F35" i="5"/>
  <c r="E35" i="5"/>
  <c r="N37" i="6"/>
  <c r="F25" i="6" s="1"/>
  <c r="N40" i="6"/>
  <c r="N25" i="6" s="1"/>
  <c r="N39" i="6"/>
  <c r="K25" i="6" s="1"/>
  <c r="N38" i="6"/>
  <c r="H25" i="6" s="1"/>
  <c r="G34" i="5"/>
  <c r="G38" i="5" s="1"/>
  <c r="F34" i="5"/>
  <c r="F38" i="5" s="1"/>
  <c r="K14" i="5" s="1"/>
  <c r="O34" i="5" s="1"/>
  <c r="D34" i="5"/>
  <c r="D38" i="5" s="1"/>
  <c r="F14" i="5" s="1"/>
  <c r="O32" i="5" s="1"/>
  <c r="E34" i="5"/>
  <c r="E38" i="5" s="1"/>
  <c r="H14" i="5" s="1"/>
  <c r="O33" i="5" s="1"/>
  <c r="O11" i="4"/>
  <c r="O10" i="4"/>
  <c r="O9" i="4"/>
  <c r="O12" i="4" s="1"/>
  <c r="N11" i="4"/>
  <c r="N10" i="4"/>
  <c r="N12" i="4" s="1"/>
  <c r="F38" i="4" s="1"/>
  <c r="N9" i="4"/>
  <c r="G40" i="4"/>
  <c r="K12" i="4"/>
  <c r="P11" i="4" s="1"/>
  <c r="H12" i="4"/>
  <c r="P10" i="4" s="1"/>
  <c r="F12" i="4"/>
  <c r="P9" i="4" s="1"/>
  <c r="L24" i="5" l="1"/>
  <c r="O39" i="5"/>
  <c r="F25" i="5" s="1"/>
  <c r="O40" i="5"/>
  <c r="H25" i="5" s="1"/>
  <c r="O41" i="5"/>
  <c r="K25" i="5" s="1"/>
  <c r="O42" i="5"/>
  <c r="N25" i="5" s="1"/>
  <c r="H22" i="4"/>
  <c r="K22" i="4"/>
  <c r="F22" i="4"/>
  <c r="V33" i="6"/>
  <c r="V32" i="6"/>
  <c r="V34" i="6"/>
  <c r="W32" i="6"/>
  <c r="W34" i="6"/>
  <c r="W33" i="6"/>
  <c r="S29" i="6"/>
  <c r="R32" i="6"/>
  <c r="R35" i="6"/>
  <c r="R34" i="6"/>
  <c r="P12" i="4"/>
  <c r="F36" i="4" s="1"/>
  <c r="E34" i="4"/>
  <c r="E31" i="4"/>
  <c r="D35" i="4"/>
  <c r="F31" i="4"/>
  <c r="E35" i="4"/>
  <c r="D38" i="4"/>
  <c r="D32" i="4"/>
  <c r="E38" i="4"/>
  <c r="E32" i="4"/>
  <c r="F32" i="4"/>
  <c r="F35" i="4"/>
  <c r="D34" i="4"/>
  <c r="D31" i="4"/>
  <c r="F34" i="4"/>
  <c r="E22" i="4"/>
  <c r="F40" i="4" l="1"/>
  <c r="K14" i="4" s="1"/>
  <c r="K23" i="4" s="1"/>
  <c r="K55" i="4" s="1"/>
  <c r="K56" i="4" s="1"/>
  <c r="K57" i="4" s="1"/>
  <c r="K58" i="4" s="1"/>
  <c r="K25" i="4" s="1"/>
  <c r="G25" i="5"/>
  <c r="G57" i="5" s="1"/>
  <c r="G58" i="5" s="1"/>
  <c r="G59" i="5" s="1"/>
  <c r="L25" i="5"/>
  <c r="M57" i="5" s="1"/>
  <c r="M58" i="5" s="1"/>
  <c r="M59" i="5" s="1"/>
  <c r="X33" i="6"/>
  <c r="X34" i="6"/>
  <c r="X32" i="6"/>
  <c r="S32" i="6"/>
  <c r="T32" i="6" s="1"/>
  <c r="S34" i="6"/>
  <c r="T34" i="6" s="1"/>
  <c r="S35" i="6"/>
  <c r="T35" i="6" s="1"/>
  <c r="S41" i="6" s="1"/>
  <c r="S33" i="6"/>
  <c r="T33" i="6" s="1"/>
  <c r="D37" i="4"/>
  <c r="F37" i="4"/>
  <c r="D33" i="4"/>
  <c r="E36" i="4"/>
  <c r="E40" i="4" s="1"/>
  <c r="H14" i="4" s="1"/>
  <c r="H23" i="4" s="1"/>
  <c r="H55" i="4" s="1"/>
  <c r="H56" i="4" s="1"/>
  <c r="H57" i="4" s="1"/>
  <c r="H58" i="4" s="1"/>
  <c r="H25" i="4" s="1"/>
  <c r="E37" i="4"/>
  <c r="F33" i="4"/>
  <c r="E33" i="4"/>
  <c r="D36" i="4"/>
  <c r="D40" i="4" s="1"/>
  <c r="F14" i="4" s="1"/>
  <c r="F23" i="4" s="1"/>
  <c r="F55" i="4" s="1"/>
  <c r="F56" i="4" s="1"/>
  <c r="F57" i="4" s="1"/>
  <c r="F58" i="4" s="1"/>
  <c r="F25" i="4" s="1"/>
  <c r="F12" i="2"/>
  <c r="H12" i="2"/>
  <c r="S38" i="6" l="1"/>
  <c r="M60" i="5"/>
  <c r="L27" i="5" s="1"/>
  <c r="G60" i="5"/>
  <c r="G27" i="5" s="1"/>
  <c r="S39" i="6"/>
  <c r="S40" i="6"/>
  <c r="D33" i="2"/>
  <c r="E37" i="2"/>
  <c r="D37" i="2"/>
  <c r="E36" i="2"/>
  <c r="D36" i="2"/>
  <c r="E33" i="2"/>
  <c r="D38" i="3"/>
  <c r="D35" i="3"/>
  <c r="D31" i="3"/>
  <c r="H12" i="3"/>
  <c r="H47" i="3" s="1"/>
  <c r="H48" i="3" s="1"/>
  <c r="H49" i="3" s="1"/>
  <c r="H50" i="3" s="1"/>
  <c r="H51" i="3" s="1"/>
  <c r="H21" i="3" s="1"/>
  <c r="O39" i="6" l="1"/>
  <c r="K24" i="6" s="1"/>
  <c r="K26" i="6" s="1"/>
  <c r="O37" i="6"/>
  <c r="G24" i="6" s="1"/>
  <c r="O38" i="6"/>
  <c r="I24" i="6" s="1"/>
  <c r="O40" i="6"/>
  <c r="O24" i="6" s="1"/>
  <c r="E38" i="3"/>
  <c r="E35" i="3"/>
  <c r="E34" i="3"/>
  <c r="D34" i="3"/>
  <c r="D32" i="3"/>
  <c r="E32" i="3"/>
  <c r="E31" i="3"/>
  <c r="L24" i="6" l="1"/>
  <c r="F24" i="6"/>
  <c r="F26" i="6" s="1"/>
  <c r="H24" i="6"/>
  <c r="H26" i="6" s="1"/>
  <c r="N24" i="6"/>
  <c r="F40" i="3"/>
  <c r="E22" i="3" s="1"/>
  <c r="E40" i="3"/>
  <c r="H23" i="3" s="1"/>
  <c r="D40" i="3"/>
  <c r="F23" i="3" s="1"/>
  <c r="F12" i="3"/>
  <c r="F47" i="3" s="1"/>
  <c r="F48" i="3" s="1"/>
  <c r="F49" i="3" s="1"/>
  <c r="F50" i="3" s="1"/>
  <c r="F51" i="3" s="1"/>
  <c r="F21" i="3" s="1"/>
  <c r="N26" i="6" l="1"/>
  <c r="I27" i="6" s="1"/>
  <c r="F22" i="3"/>
  <c r="H22" i="3"/>
  <c r="E32" i="2"/>
  <c r="D32" i="2"/>
  <c r="F40" i="2"/>
  <c r="E38" i="2"/>
  <c r="E35" i="2"/>
  <c r="E34" i="2"/>
  <c r="E31" i="2"/>
  <c r="D38" i="2"/>
  <c r="D35" i="2"/>
  <c r="D31" i="2"/>
  <c r="D34" i="2"/>
  <c r="H22" i="2" l="1"/>
  <c r="F22" i="2"/>
  <c r="H25" i="3"/>
  <c r="H55" i="3"/>
  <c r="H56" i="3" s="1"/>
  <c r="H57" i="3" s="1"/>
  <c r="H58" i="3" s="1"/>
  <c r="F25" i="3"/>
  <c r="F55" i="3"/>
  <c r="F56" i="3" s="1"/>
  <c r="F57" i="3" s="1"/>
  <c r="F58" i="3" s="1"/>
  <c r="E22" i="2"/>
  <c r="E40" i="2"/>
  <c r="H14" i="2" s="1"/>
  <c r="H23" i="2" s="1"/>
  <c r="H55" i="2" s="1"/>
  <c r="H56" i="2" s="1"/>
  <c r="H57" i="2" s="1"/>
  <c r="H58" i="2" s="1"/>
  <c r="H25" i="2" s="1"/>
  <c r="D40" i="2"/>
  <c r="F14" i="2" s="1"/>
  <c r="F23" i="2" s="1"/>
  <c r="F55" i="2" l="1"/>
  <c r="F56" i="2" s="1"/>
  <c r="F57" i="2" s="1"/>
  <c r="F58" i="2" s="1"/>
  <c r="F25" i="2" s="1"/>
  <c r="K26" i="7"/>
  <c r="E49" i="7"/>
  <c r="E50" i="7"/>
</calcChain>
</file>

<file path=xl/sharedStrings.xml><?xml version="1.0" encoding="utf-8"?>
<sst xmlns="http://schemas.openxmlformats.org/spreadsheetml/2006/main" count="429" uniqueCount="99">
  <si>
    <t>Par:</t>
  </si>
  <si>
    <t>Forward Tee</t>
  </si>
  <si>
    <t>Back Tee</t>
  </si>
  <si>
    <t>Handicap Index</t>
  </si>
  <si>
    <t>Allowance</t>
  </si>
  <si>
    <t>Individual Medal</t>
  </si>
  <si>
    <t>Individual Stableford/Bogey</t>
  </si>
  <si>
    <t>Individual Matchplay</t>
  </si>
  <si>
    <t>Fourball Medal</t>
  </si>
  <si>
    <t>Fourball Stableford</t>
  </si>
  <si>
    <t>Fourball Matchplay</t>
  </si>
  <si>
    <t>Course Rating:</t>
  </si>
  <si>
    <t>Slope Rating:</t>
  </si>
  <si>
    <t>Adjustment</t>
  </si>
  <si>
    <t>Back</t>
  </si>
  <si>
    <t>Front</t>
  </si>
  <si>
    <t>CR-Par</t>
  </si>
  <si>
    <t>Handicap Index Example</t>
  </si>
  <si>
    <t>Course Handicap</t>
  </si>
  <si>
    <t>Playing Handicap</t>
  </si>
  <si>
    <t>Fourball Bogey/Par</t>
  </si>
  <si>
    <t>Choose Format Required=&gt;</t>
  </si>
  <si>
    <t>Handicap/Score Adjustment</t>
  </si>
  <si>
    <t>For Mixed Tee Events</t>
  </si>
  <si>
    <t>Individual Medal (Scratch)</t>
  </si>
  <si>
    <t>9 Holes</t>
  </si>
  <si>
    <r>
      <t xml:space="preserve">Handicap Adjustments are to be applied to the playing handicap </t>
    </r>
    <r>
      <rPr>
        <b/>
        <sz val="11"/>
        <rFont val="Calibri"/>
        <family val="2"/>
        <scheme val="minor"/>
      </rPr>
      <t>after</t>
    </r>
    <r>
      <rPr>
        <sz val="11"/>
        <rFont val="Calibri"/>
        <family val="2"/>
        <scheme val="minor"/>
      </rPr>
      <t xml:space="preserve"> calculating any Handicap Allowance fraction for the competition format (as shown above)</t>
    </r>
  </si>
  <si>
    <t>England</t>
  </si>
  <si>
    <t>Wales</t>
  </si>
  <si>
    <t>Ireland</t>
  </si>
  <si>
    <t>Scotland</t>
  </si>
  <si>
    <t>Home Nation</t>
  </si>
  <si>
    <t>Middle</t>
  </si>
  <si>
    <t>`</t>
  </si>
  <si>
    <t>CR</t>
  </si>
  <si>
    <t>Min</t>
  </si>
  <si>
    <t>Par</t>
  </si>
  <si>
    <t>Tee1</t>
  </si>
  <si>
    <t>Tee2</t>
  </si>
  <si>
    <t>Tee3</t>
  </si>
  <si>
    <r>
      <t xml:space="preserve">Handicap Adjustments are to be applied to the playing handicap </t>
    </r>
    <r>
      <rPr>
        <b/>
        <sz val="11"/>
        <rFont val="Calibri"/>
        <family val="2"/>
        <scheme val="minor"/>
      </rPr>
      <t>after</t>
    </r>
    <r>
      <rPr>
        <sz val="11"/>
        <rFont val="Calibri"/>
        <family val="2"/>
        <scheme val="minor"/>
      </rPr>
      <t xml:space="preserve"> calculating any Handicap Allowance fraction for the competition  format (as shown above)</t>
    </r>
  </si>
  <si>
    <t>Team Competitions</t>
  </si>
  <si>
    <t>Tee4</t>
  </si>
  <si>
    <t>Tee1`</t>
  </si>
  <si>
    <t>Player 2</t>
  </si>
  <si>
    <t>Player 3</t>
  </si>
  <si>
    <t>Player 4</t>
  </si>
  <si>
    <t>Player 1</t>
  </si>
  <si>
    <t>Tee 1</t>
  </si>
  <si>
    <t>Tee 2</t>
  </si>
  <si>
    <t>Tee 3</t>
  </si>
  <si>
    <t>Tee 4</t>
  </si>
  <si>
    <t>Tee Used:</t>
  </si>
  <si>
    <t>Slope</t>
  </si>
  <si>
    <t>Adjust</t>
  </si>
  <si>
    <t>Alowance</t>
  </si>
  <si>
    <t>Foursomes</t>
  </si>
  <si>
    <t>Team</t>
  </si>
  <si>
    <t>Greensomes</t>
  </si>
  <si>
    <t>Foursomes Medal</t>
  </si>
  <si>
    <t>Foursomes Stableford</t>
  </si>
  <si>
    <t>For Scratch Medal Adjustment is applied as a reduction to the Gross Score of players on that tee.</t>
  </si>
  <si>
    <t>Greensomes Stableford</t>
  </si>
  <si>
    <t>Greensomes Medal</t>
  </si>
  <si>
    <t>Round?</t>
  </si>
  <si>
    <t>N</t>
  </si>
  <si>
    <t>Y</t>
  </si>
  <si>
    <t>Scramble - 4 Players</t>
  </si>
  <si>
    <t>Scramble - 3 Players</t>
  </si>
  <si>
    <t>Team Handicap</t>
  </si>
  <si>
    <t>HI</t>
  </si>
  <si>
    <t>4 players</t>
  </si>
  <si>
    <t>3 players</t>
  </si>
  <si>
    <t>4 Players</t>
  </si>
  <si>
    <t>3 Players</t>
  </si>
  <si>
    <t>Course Hcp</t>
  </si>
  <si>
    <t>HI x slope</t>
  </si>
  <si>
    <t>Foursomes Matchplay</t>
  </si>
  <si>
    <t>Greensomes Matchplay</t>
  </si>
  <si>
    <t>M</t>
  </si>
  <si>
    <t>S</t>
  </si>
  <si>
    <t>P</t>
  </si>
  <si>
    <t>Team - 1 out of 4</t>
  </si>
  <si>
    <t>Team - 2 out of 4</t>
  </si>
  <si>
    <t>Team - 4 out of 4</t>
  </si>
  <si>
    <t>Team - 3 out of 4</t>
  </si>
  <si>
    <t>Team - 1 out of 3</t>
  </si>
  <si>
    <t>Team - 2 out of 3</t>
  </si>
  <si>
    <t>Team - 3 out of 3</t>
  </si>
  <si>
    <t>Medal</t>
  </si>
  <si>
    <t>Stableford</t>
  </si>
  <si>
    <t>Bogey/Par</t>
  </si>
  <si>
    <t>Stableford/Bogey</t>
  </si>
  <si>
    <t>Max</t>
  </si>
  <si>
    <t>Overall</t>
  </si>
  <si>
    <t>Stroke</t>
  </si>
  <si>
    <t>Bogey</t>
  </si>
  <si>
    <t>rounded</t>
  </si>
  <si>
    <t>Version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</si>
</sst>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0" fillId="5" borderId="6" xfId="0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0" xfId="0" applyFont="1" applyFill="1" applyBorder="1"/>
    <xf numFmtId="0" fontId="7" fillId="4" borderId="0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" fillId="3" borderId="0" xfId="0" applyFont="1" applyFill="1" applyBorder="1"/>
    <xf numFmtId="9" fontId="0" fillId="5" borderId="6" xfId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0" fillId="0" borderId="0" xfId="0" applyFont="1"/>
    <xf numFmtId="0" fontId="11" fillId="3" borderId="4" xfId="0" applyFont="1" applyFill="1" applyBorder="1" applyAlignment="1">
      <alignment horizontal="right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left"/>
    </xf>
    <xf numFmtId="0" fontId="12" fillId="4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13" fillId="2" borderId="6" xfId="0" applyFont="1" applyFill="1" applyBorder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Fill="1" applyBorder="1"/>
    <xf numFmtId="0" fontId="8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horizontal="right" vertical="center"/>
    </xf>
    <xf numFmtId="0" fontId="14" fillId="3" borderId="0" xfId="0" applyFont="1" applyFill="1" applyBorder="1"/>
    <xf numFmtId="0" fontId="14" fillId="3" borderId="0" xfId="0" applyFont="1" applyFill="1" applyBorder="1" applyAlignment="1">
      <alignment horizontal="center"/>
    </xf>
    <xf numFmtId="9" fontId="14" fillId="5" borderId="6" xfId="1" applyFont="1" applyFill="1" applyBorder="1" applyAlignment="1">
      <alignment horizontal="center"/>
    </xf>
    <xf numFmtId="164" fontId="1" fillId="3" borderId="0" xfId="0" applyNumberFormat="1" applyFont="1" applyFill="1" applyBorder="1" applyAlignment="1" applyProtection="1">
      <alignment horizontal="center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/>
    <xf numFmtId="0" fontId="1" fillId="2" borderId="0" xfId="0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164" fontId="1" fillId="2" borderId="25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right"/>
    </xf>
    <xf numFmtId="0" fontId="0" fillId="3" borderId="2" xfId="0" applyFill="1" applyBorder="1" applyProtection="1"/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0" xfId="0" applyFill="1" applyBorder="1" applyProtection="1"/>
    <xf numFmtId="0" fontId="8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4" xfId="0" applyFill="1" applyBorder="1" applyProtection="1"/>
    <xf numFmtId="0" fontId="0" fillId="3" borderId="0" xfId="0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left"/>
    </xf>
    <xf numFmtId="0" fontId="12" fillId="4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0" fillId="3" borderId="4" xfId="0" applyFill="1" applyBorder="1" applyAlignment="1" applyProtection="1">
      <alignment horizontal="right"/>
    </xf>
    <xf numFmtId="0" fontId="1" fillId="3" borderId="6" xfId="0" applyFont="1" applyFill="1" applyBorder="1" applyAlignment="1" applyProtection="1">
      <alignment horizontal="center"/>
    </xf>
    <xf numFmtId="0" fontId="14" fillId="3" borderId="0" xfId="0" applyFont="1" applyFill="1" applyBorder="1" applyProtection="1"/>
    <xf numFmtId="0" fontId="15" fillId="3" borderId="0" xfId="0" applyFont="1" applyFill="1" applyBorder="1" applyProtection="1"/>
    <xf numFmtId="9" fontId="14" fillId="3" borderId="0" xfId="1" applyFont="1" applyFill="1" applyBorder="1" applyAlignment="1" applyProtection="1">
      <alignment horizontal="center"/>
    </xf>
    <xf numFmtId="0" fontId="14" fillId="5" borderId="6" xfId="0" applyFont="1" applyFill="1" applyBorder="1" applyAlignment="1" applyProtection="1">
      <alignment horizontal="center"/>
    </xf>
    <xf numFmtId="0" fontId="14" fillId="5" borderId="0" xfId="0" applyFont="1" applyFill="1" applyBorder="1" applyAlignment="1" applyProtection="1">
      <alignment horizontal="center"/>
    </xf>
    <xf numFmtId="0" fontId="11" fillId="3" borderId="4" xfId="0" applyFont="1" applyFill="1" applyBorder="1" applyAlignment="1" applyProtection="1">
      <alignment horizontal="right"/>
    </xf>
    <xf numFmtId="0" fontId="11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164" fontId="1" fillId="3" borderId="27" xfId="0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right"/>
    </xf>
    <xf numFmtId="164" fontId="5" fillId="3" borderId="0" xfId="0" applyNumberFormat="1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horizontal="left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1" fontId="15" fillId="5" borderId="6" xfId="0" applyNumberFormat="1" applyFont="1" applyFill="1" applyBorder="1" applyAlignment="1">
      <alignment horizontal="center"/>
    </xf>
    <xf numFmtId="165" fontId="0" fillId="0" borderId="0" xfId="0" applyNumberFormat="1"/>
    <xf numFmtId="1" fontId="0" fillId="5" borderId="26" xfId="0" applyNumberFormat="1" applyFill="1" applyBorder="1" applyAlignment="1">
      <alignment horizontal="center"/>
    </xf>
    <xf numFmtId="2" fontId="0" fillId="0" borderId="0" xfId="0" applyNumberFormat="1"/>
    <xf numFmtId="1" fontId="15" fillId="5" borderId="0" xfId="0" applyNumberFormat="1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17" fillId="3" borderId="0" xfId="0" applyFont="1" applyFill="1" applyBorder="1" applyAlignment="1" applyProtection="1">
      <alignment horizontal="center"/>
    </xf>
    <xf numFmtId="164" fontId="16" fillId="3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0" fillId="6" borderId="0" xfId="0" applyFill="1"/>
    <xf numFmtId="0" fontId="1" fillId="3" borderId="0" xfId="0" applyFont="1" applyFill="1" applyBorder="1" applyAlignment="1" applyProtection="1"/>
    <xf numFmtId="0" fontId="14" fillId="3" borderId="0" xfId="0" applyFont="1" applyFill="1" applyBorder="1" applyAlignment="1" applyProtection="1"/>
    <xf numFmtId="9" fontId="14" fillId="3" borderId="0" xfId="1" applyFont="1" applyFill="1" applyBorder="1" applyAlignment="1" applyProtection="1">
      <alignment horizontal="left"/>
    </xf>
    <xf numFmtId="9" fontId="0" fillId="3" borderId="5" xfId="1" applyFont="1" applyFill="1" applyBorder="1" applyAlignment="1" applyProtection="1">
      <alignment horizontal="left"/>
    </xf>
    <xf numFmtId="2" fontId="14" fillId="5" borderId="0" xfId="0" applyNumberFormat="1" applyFont="1" applyFill="1" applyBorder="1" applyAlignment="1" applyProtection="1">
      <alignment horizontal="center"/>
    </xf>
    <xf numFmtId="0" fontId="4" fillId="0" borderId="0" xfId="0" applyFont="1" applyFill="1"/>
    <xf numFmtId="2" fontId="14" fillId="5" borderId="6" xfId="0" applyNumberFormat="1" applyFon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165" fontId="14" fillId="5" borderId="6" xfId="0" applyNumberFormat="1" applyFont="1" applyFill="1" applyBorder="1" applyAlignment="1" applyProtection="1">
      <alignment horizontal="center"/>
    </xf>
    <xf numFmtId="0" fontId="10" fillId="3" borderId="0" xfId="0" applyFont="1" applyFill="1" applyBorder="1" applyProtection="1"/>
    <xf numFmtId="0" fontId="0" fillId="0" borderId="0" xfId="0" applyAlignment="1">
      <alignment horizontal="center"/>
    </xf>
    <xf numFmtId="0" fontId="18" fillId="3" borderId="4" xfId="0" applyFont="1" applyFill="1" applyBorder="1"/>
    <xf numFmtId="0" fontId="1" fillId="3" borderId="4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left" vertical="center"/>
      <protection locked="0"/>
    </xf>
    <xf numFmtId="164" fontId="14" fillId="5" borderId="0" xfId="0" applyNumberFormat="1" applyFont="1" applyFill="1" applyBorder="1" applyAlignment="1" applyProtection="1">
      <alignment horizontal="center"/>
    </xf>
    <xf numFmtId="164" fontId="12" fillId="3" borderId="0" xfId="0" applyNumberFormat="1" applyFont="1" applyFill="1" applyBorder="1" applyAlignment="1" applyProtection="1"/>
    <xf numFmtId="0" fontId="12" fillId="3" borderId="0" xfId="0" applyFont="1" applyFill="1" applyBorder="1" applyAlignme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Fill="1" applyProtection="1"/>
    <xf numFmtId="164" fontId="0" fillId="0" borderId="0" xfId="0" applyNumberFormat="1" applyProtection="1"/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/>
    </xf>
    <xf numFmtId="165" fontId="0" fillId="0" borderId="0" xfId="0" applyNumberFormat="1" applyProtection="1"/>
    <xf numFmtId="1" fontId="0" fillId="0" borderId="0" xfId="0" applyNumberFormat="1" applyProtection="1"/>
    <xf numFmtId="9" fontId="0" fillId="0" borderId="0" xfId="0" applyNumberFormat="1" applyProtection="1"/>
    <xf numFmtId="0" fontId="5" fillId="3" borderId="0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4" fillId="3" borderId="18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3" fillId="3" borderId="0" xfId="0" applyFont="1" applyFill="1" applyBorder="1" applyAlignment="1" applyProtection="1">
      <alignment horizontal="left" vertic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4" fillId="5" borderId="6" xfId="0" applyFont="1" applyFill="1" applyBorder="1" applyAlignment="1" applyProtection="1">
      <alignment horizontal="center"/>
    </xf>
    <xf numFmtId="165" fontId="14" fillId="5" borderId="6" xfId="0" applyNumberFormat="1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2" fillId="3" borderId="0" xfId="0" applyNumberFormat="1" applyFont="1" applyFill="1" applyBorder="1" applyAlignment="1" applyProtection="1">
      <alignment horizontal="center"/>
    </xf>
    <xf numFmtId="164" fontId="12" fillId="4" borderId="0" xfId="0" applyNumberFormat="1" applyFont="1" applyFill="1" applyBorder="1" applyAlignment="1" applyProtection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/>
    </xf>
  </cellXfs>
  <cellStyles count="2">
    <cellStyle name="Normal" xfId="0" builtinId="0"/>
    <cellStyle name="Percent" xfId="1" builtinId="5"/>
  </cellStyles>
  <dxfs count="51"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4" formatCode="0.0"/>
    </dxf>
    <dxf>
      <numFmt numFmtId="164" formatCode="0.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65" formatCode="0.000"/>
    </dxf>
    <dxf>
      <font>
        <color theme="9" tint="0.79998168889431442"/>
      </font>
      <border>
        <bottom/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font>
        <color theme="0"/>
      </font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9" tint="0.79998168889431442"/>
      </font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border>
        <bottom style="thin">
          <color auto="1"/>
        </bottom>
        <vertical/>
        <horizontal/>
      </border>
    </dxf>
    <dxf>
      <font>
        <color theme="9" tint="0.7999816888943144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671549</xdr:colOff>
      <xdr:row>3</xdr:row>
      <xdr:rowOff>109535</xdr:rowOff>
    </xdr:from>
    <xdr:to>
      <xdr:col>2</xdr:col>
      <xdr:colOff>1514475</xdr:colOff>
      <xdr:row>8</xdr:row>
      <xdr:rowOff>71435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C62CB37-7F88-485A-AB28-9F031A8CD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574" y="657223"/>
          <a:ext cx="842926" cy="938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671549</xdr:colOff>
      <xdr:row>3</xdr:row>
      <xdr:rowOff>109535</xdr:rowOff>
    </xdr:from>
    <xdr:to>
      <xdr:col>2</xdr:col>
      <xdr:colOff>1514475</xdr:colOff>
      <xdr:row>8</xdr:row>
      <xdr:rowOff>100011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29FC1ED-622E-4A72-A737-F8C4BD3A0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574" y="728660"/>
          <a:ext cx="842926" cy="9667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742986</xdr:colOff>
      <xdr:row>4</xdr:row>
      <xdr:rowOff>47623</xdr:rowOff>
    </xdr:from>
    <xdr:to>
      <xdr:col>2</xdr:col>
      <xdr:colOff>1585912</xdr:colOff>
      <xdr:row>8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FE81B01-17D3-4625-A606-8511B4434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5011" y="947736"/>
          <a:ext cx="842926" cy="9382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657261</xdr:colOff>
      <xdr:row>5</xdr:row>
      <xdr:rowOff>109535</xdr:rowOff>
    </xdr:from>
    <xdr:to>
      <xdr:col>2</xdr:col>
      <xdr:colOff>1500187</xdr:colOff>
      <xdr:row>9</xdr:row>
      <xdr:rowOff>233364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7C2A45C-AFCD-497E-B504-56DF3C4F9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86" y="1219198"/>
          <a:ext cx="842926" cy="919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657261</xdr:colOff>
      <xdr:row>5</xdr:row>
      <xdr:rowOff>109534</xdr:rowOff>
    </xdr:from>
    <xdr:to>
      <xdr:col>2</xdr:col>
      <xdr:colOff>1500187</xdr:colOff>
      <xdr:row>9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22FCA4A-88EE-4E70-8861-130A0A718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86" y="1219197"/>
          <a:ext cx="842926" cy="9144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657261</xdr:colOff>
      <xdr:row>5</xdr:row>
      <xdr:rowOff>109534</xdr:rowOff>
    </xdr:from>
    <xdr:to>
      <xdr:col>2</xdr:col>
      <xdr:colOff>1500187</xdr:colOff>
      <xdr:row>10</xdr:row>
      <xdr:rowOff>119062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78E239-2C5E-488C-ADED-77576AB57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86" y="1219197"/>
          <a:ext cx="842926" cy="914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workbookViewId="0">
      <selection activeCell="H10" sqref="H10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24.28515625" customWidth="1"/>
    <col min="10" max="19" width="9" style="118"/>
  </cols>
  <sheetData>
    <row r="1" spans="3:22" ht="14.65" thickBot="1" x14ac:dyDescent="0.5">
      <c r="T1" s="23"/>
      <c r="U1" s="23"/>
      <c r="V1" s="23"/>
    </row>
    <row r="2" spans="3:22" ht="14.25" x14ac:dyDescent="0.45">
      <c r="C2" s="144" t="s">
        <v>22</v>
      </c>
      <c r="D2" s="145"/>
      <c r="E2" s="2"/>
      <c r="F2" s="2"/>
      <c r="G2" s="2"/>
      <c r="H2" s="2"/>
      <c r="I2" s="3"/>
      <c r="T2" s="23"/>
      <c r="U2" s="23"/>
      <c r="V2" s="23"/>
    </row>
    <row r="3" spans="3:22" ht="20.100000000000001" customHeight="1" x14ac:dyDescent="0.45">
      <c r="C3" s="146" t="s">
        <v>23</v>
      </c>
      <c r="D3" s="147"/>
      <c r="E3" s="5"/>
      <c r="F3" s="30" t="s">
        <v>31</v>
      </c>
      <c r="G3" s="33" t="s">
        <v>27</v>
      </c>
      <c r="H3" s="5"/>
      <c r="I3" s="6"/>
      <c r="T3" s="23"/>
      <c r="U3" s="23"/>
      <c r="V3" s="23"/>
    </row>
    <row r="4" spans="3:22" ht="14.25" x14ac:dyDescent="0.45">
      <c r="C4" s="54"/>
      <c r="D4" s="55"/>
      <c r="E4" s="5"/>
      <c r="F4" s="5"/>
      <c r="G4" s="5"/>
      <c r="H4" s="5"/>
      <c r="I4" s="6"/>
      <c r="T4" s="23"/>
      <c r="U4" s="23"/>
      <c r="V4" s="23"/>
    </row>
    <row r="5" spans="3:22" ht="20.100000000000001" customHeight="1" x14ac:dyDescent="0.45">
      <c r="C5" s="4"/>
      <c r="D5" s="5"/>
      <c r="E5" s="31" t="s">
        <v>21</v>
      </c>
      <c r="F5" s="32"/>
      <c r="G5" s="34" t="s">
        <v>6</v>
      </c>
      <c r="H5" s="5"/>
      <c r="I5" s="6"/>
      <c r="T5" s="23"/>
      <c r="U5" s="23"/>
      <c r="V5" s="23"/>
    </row>
    <row r="6" spans="3:22" ht="14.25" x14ac:dyDescent="0.45">
      <c r="C6" s="4"/>
      <c r="D6" s="5"/>
      <c r="E6" s="5"/>
      <c r="F6" s="5"/>
      <c r="G6" s="5"/>
      <c r="H6" s="5"/>
      <c r="I6" s="6"/>
      <c r="T6" s="23"/>
      <c r="U6" s="23"/>
      <c r="V6" s="23"/>
    </row>
    <row r="7" spans="3:22" ht="14.25" x14ac:dyDescent="0.45">
      <c r="C7" s="4"/>
      <c r="D7" s="5"/>
      <c r="E7" s="5"/>
      <c r="F7" s="18" t="s">
        <v>2</v>
      </c>
      <c r="G7" s="5"/>
      <c r="H7" s="18" t="s">
        <v>1</v>
      </c>
      <c r="I7" s="6"/>
      <c r="T7" s="23"/>
      <c r="U7" s="23"/>
      <c r="V7" s="23"/>
    </row>
    <row r="8" spans="3:22" ht="14.25" x14ac:dyDescent="0.45">
      <c r="C8" s="4"/>
      <c r="D8" s="5"/>
      <c r="E8" s="5"/>
      <c r="F8" s="5"/>
      <c r="G8" s="5"/>
      <c r="H8" s="5"/>
      <c r="I8" s="6"/>
      <c r="T8" s="23"/>
      <c r="U8" s="23"/>
      <c r="V8" s="23"/>
    </row>
    <row r="9" spans="3:22" ht="20.100000000000001" customHeight="1" x14ac:dyDescent="0.45">
      <c r="C9" s="4"/>
      <c r="D9" s="5"/>
      <c r="E9" s="7" t="s">
        <v>11</v>
      </c>
      <c r="F9" s="47">
        <v>72</v>
      </c>
      <c r="G9" s="7" t="s">
        <v>11</v>
      </c>
      <c r="H9" s="47">
        <v>76.3</v>
      </c>
      <c r="I9" s="6"/>
      <c r="T9" s="23"/>
      <c r="U9" s="23"/>
      <c r="V9" s="23"/>
    </row>
    <row r="10" spans="3:22" ht="20.100000000000001" customHeight="1" x14ac:dyDescent="0.45">
      <c r="C10" s="4"/>
      <c r="D10" s="5"/>
      <c r="E10" s="7" t="s">
        <v>0</v>
      </c>
      <c r="F10" s="29">
        <v>72</v>
      </c>
      <c r="G10" s="7" t="s">
        <v>0</v>
      </c>
      <c r="H10" s="29">
        <v>71</v>
      </c>
      <c r="I10" s="6"/>
      <c r="T10" s="23"/>
      <c r="U10" s="23"/>
      <c r="V10" s="23"/>
    </row>
    <row r="11" spans="3:22" ht="20.100000000000001" customHeight="1" x14ac:dyDescent="0.45">
      <c r="C11" s="4"/>
      <c r="D11" s="5"/>
      <c r="E11" s="7" t="s">
        <v>12</v>
      </c>
      <c r="F11" s="29">
        <v>113</v>
      </c>
      <c r="G11" s="7" t="s">
        <v>12</v>
      </c>
      <c r="H11" s="29">
        <v>113</v>
      </c>
      <c r="I11" s="6"/>
      <c r="T11" s="23"/>
      <c r="U11" s="23"/>
      <c r="V11" s="23"/>
    </row>
    <row r="12" spans="3:22" ht="14.25" x14ac:dyDescent="0.45">
      <c r="C12" s="4"/>
      <c r="D12" s="5"/>
      <c r="E12" s="10" t="s">
        <v>16</v>
      </c>
      <c r="F12" s="35">
        <f>ROUND(36-(F9-F10),0)</f>
        <v>36</v>
      </c>
      <c r="G12" s="10" t="s">
        <v>16</v>
      </c>
      <c r="H12" s="35">
        <f>ROUND(36-(H9-H10),0)</f>
        <v>31</v>
      </c>
      <c r="I12" s="6"/>
      <c r="T12" s="23"/>
      <c r="U12" s="23"/>
      <c r="V12" s="23"/>
    </row>
    <row r="13" spans="3:22" ht="14.25" x14ac:dyDescent="0.45">
      <c r="C13" s="4"/>
      <c r="D13" s="5"/>
      <c r="E13" s="5"/>
      <c r="F13" s="5"/>
      <c r="G13" s="5"/>
      <c r="H13" s="5"/>
      <c r="I13" s="6"/>
      <c r="T13" s="23"/>
      <c r="U13" s="23"/>
      <c r="V13" s="23"/>
    </row>
    <row r="14" spans="3:22" ht="15.75" x14ac:dyDescent="0.5">
      <c r="C14" s="4"/>
      <c r="D14" s="5"/>
      <c r="E14" s="27" t="s">
        <v>13</v>
      </c>
      <c r="F14" s="28">
        <f>D40</f>
        <v>0</v>
      </c>
      <c r="G14" s="26"/>
      <c r="H14" s="28">
        <f>E40</f>
        <v>5</v>
      </c>
      <c r="I14" s="6"/>
      <c r="T14" s="23"/>
      <c r="U14" s="23"/>
      <c r="V14" s="23"/>
    </row>
    <row r="15" spans="3:22" ht="14.25" x14ac:dyDescent="0.45">
      <c r="C15" s="4"/>
      <c r="D15" s="5"/>
      <c r="E15" s="7"/>
      <c r="F15" s="8"/>
      <c r="G15" s="5"/>
      <c r="H15" s="8"/>
      <c r="I15" s="6"/>
      <c r="T15" s="23"/>
      <c r="U15" s="23"/>
      <c r="V15" s="23"/>
    </row>
    <row r="16" spans="3:22" ht="14.25" x14ac:dyDescent="0.45">
      <c r="C16" s="154" t="s">
        <v>61</v>
      </c>
      <c r="D16" s="155"/>
      <c r="E16" s="155"/>
      <c r="F16" s="155"/>
      <c r="G16" s="155"/>
      <c r="H16" s="155"/>
      <c r="I16" s="156"/>
      <c r="T16" s="23"/>
      <c r="U16" s="23"/>
      <c r="V16" s="23"/>
    </row>
    <row r="17" spans="1:22" ht="14.25" x14ac:dyDescent="0.45">
      <c r="C17" s="4"/>
      <c r="D17" s="5"/>
      <c r="E17" s="5"/>
      <c r="F17" s="5"/>
      <c r="G17" s="5"/>
      <c r="H17" s="5"/>
      <c r="I17" s="6"/>
      <c r="T17" s="23"/>
      <c r="U17" s="23"/>
      <c r="V17" s="23"/>
    </row>
    <row r="18" spans="1:22" ht="14.25" x14ac:dyDescent="0.45">
      <c r="C18" s="4"/>
      <c r="D18" s="58" t="s">
        <v>17</v>
      </c>
      <c r="E18" s="5"/>
      <c r="F18" s="5"/>
      <c r="G18" s="5"/>
      <c r="H18" s="5"/>
      <c r="I18" s="6"/>
      <c r="T18" s="23"/>
      <c r="U18" s="23"/>
      <c r="V18" s="23"/>
    </row>
    <row r="19" spans="1:22" ht="14.25" x14ac:dyDescent="0.45">
      <c r="C19" s="4"/>
      <c r="D19" s="9" t="s">
        <v>3</v>
      </c>
      <c r="E19" s="5"/>
      <c r="F19" s="20">
        <v>-1.5</v>
      </c>
      <c r="G19" s="5"/>
      <c r="H19" s="20">
        <v>12.5</v>
      </c>
      <c r="I19" s="6"/>
      <c r="T19" s="23"/>
      <c r="U19" s="23"/>
      <c r="V19" s="23"/>
    </row>
    <row r="20" spans="1:22" ht="4.1500000000000004" customHeight="1" x14ac:dyDescent="0.45">
      <c r="C20" s="4"/>
      <c r="D20" s="7"/>
      <c r="E20" s="5"/>
      <c r="F20" s="46"/>
      <c r="G20" s="5"/>
      <c r="H20" s="46"/>
      <c r="I20" s="6"/>
      <c r="T20" s="23"/>
      <c r="U20" s="23"/>
      <c r="V20" s="23"/>
    </row>
    <row r="21" spans="1:22" ht="14.25" x14ac:dyDescent="0.45">
      <c r="C21" s="4"/>
      <c r="D21" s="9" t="s">
        <v>18</v>
      </c>
      <c r="E21" s="5"/>
      <c r="F21" s="101">
        <f>F51</f>
        <v>-1</v>
      </c>
      <c r="G21" s="43"/>
      <c r="H21" s="101">
        <f>H51</f>
        <v>13</v>
      </c>
      <c r="I21" s="6"/>
      <c r="T21" s="23"/>
      <c r="U21" s="23"/>
      <c r="V21" s="23"/>
    </row>
    <row r="22" spans="1:22" ht="14.25" x14ac:dyDescent="0.45">
      <c r="C22" s="4"/>
      <c r="D22" s="7" t="s">
        <v>4</v>
      </c>
      <c r="E22" s="45">
        <f>F40</f>
        <v>0.95</v>
      </c>
      <c r="F22" s="119">
        <f>IF(G3="Scotland",ROUND(F21*F40,3),ROUND(F21*F40,1))</f>
        <v>-1</v>
      </c>
      <c r="G22" s="43"/>
      <c r="H22" s="119">
        <f>IF(G3="Scotland",ROUND(H21*F40,3),ROUND(H21*F40,1))</f>
        <v>12.4</v>
      </c>
      <c r="I22" s="6"/>
      <c r="T22" s="23"/>
      <c r="U22" s="23"/>
      <c r="V22" s="23"/>
    </row>
    <row r="23" spans="1:22" ht="14.25" x14ac:dyDescent="0.45">
      <c r="C23" s="4"/>
      <c r="D23" s="9" t="s">
        <v>13</v>
      </c>
      <c r="E23" s="5"/>
      <c r="F23" s="56">
        <f>F14</f>
        <v>0</v>
      </c>
      <c r="G23" s="44"/>
      <c r="H23" s="56">
        <f>H14</f>
        <v>5</v>
      </c>
      <c r="I23" s="6"/>
      <c r="T23" s="23"/>
      <c r="U23" s="23"/>
      <c r="V23" s="23"/>
    </row>
    <row r="24" spans="1:22" ht="14.25" x14ac:dyDescent="0.45">
      <c r="C24" s="4"/>
      <c r="D24" s="7"/>
      <c r="E24" s="5"/>
      <c r="F24" s="8"/>
      <c r="G24" s="8"/>
      <c r="H24" s="8"/>
      <c r="I24" s="6"/>
      <c r="T24" s="23"/>
      <c r="U24" s="23"/>
      <c r="V24" s="23"/>
    </row>
    <row r="25" spans="1:22" ht="15.75" x14ac:dyDescent="0.5">
      <c r="C25" s="4"/>
      <c r="D25" s="24" t="s">
        <v>19</v>
      </c>
      <c r="E25" s="25"/>
      <c r="F25" s="28">
        <f>F58</f>
        <v>-1</v>
      </c>
      <c r="G25" s="26"/>
      <c r="H25" s="28">
        <f>H58</f>
        <v>17</v>
      </c>
      <c r="I25" s="6"/>
      <c r="T25" s="23"/>
      <c r="U25" s="23"/>
      <c r="V25" s="23"/>
    </row>
    <row r="26" spans="1:22" ht="14.25" x14ac:dyDescent="0.45">
      <c r="C26" s="4"/>
      <c r="D26" s="5"/>
      <c r="E26" s="5"/>
      <c r="F26" s="5"/>
      <c r="G26" s="5"/>
      <c r="H26" s="5"/>
      <c r="I26" s="6"/>
      <c r="T26" s="23"/>
      <c r="U26" s="23"/>
      <c r="V26" s="23"/>
    </row>
    <row r="27" spans="1:22" ht="14.25" x14ac:dyDescent="0.45">
      <c r="C27" s="124" t="s">
        <v>98</v>
      </c>
      <c r="D27" s="5"/>
      <c r="E27" s="5"/>
      <c r="F27" s="5"/>
      <c r="G27" s="5"/>
      <c r="H27" s="5"/>
      <c r="I27" s="6"/>
      <c r="T27" s="23"/>
      <c r="U27" s="23"/>
      <c r="V27" s="23"/>
    </row>
    <row r="28" spans="1:22" x14ac:dyDescent="0.25">
      <c r="C28" s="148" t="s">
        <v>26</v>
      </c>
      <c r="D28" s="149"/>
      <c r="E28" s="149"/>
      <c r="F28" s="149"/>
      <c r="G28" s="149"/>
      <c r="H28" s="149"/>
      <c r="I28" s="150"/>
      <c r="T28" s="23"/>
      <c r="U28" s="23"/>
      <c r="V28" s="23"/>
    </row>
    <row r="29" spans="1:22" ht="15.75" thickBot="1" x14ac:dyDescent="0.3">
      <c r="C29" s="151"/>
      <c r="D29" s="152"/>
      <c r="E29" s="152"/>
      <c r="F29" s="152"/>
      <c r="G29" s="152"/>
      <c r="H29" s="152"/>
      <c r="I29" s="153"/>
      <c r="T29" s="23"/>
      <c r="U29" s="23"/>
      <c r="V29" s="23"/>
    </row>
    <row r="30" spans="1:22" ht="14.25" hidden="1" x14ac:dyDescent="0.45">
      <c r="D30" t="s">
        <v>14</v>
      </c>
      <c r="E30" t="s">
        <v>15</v>
      </c>
      <c r="T30" s="23"/>
      <c r="U30" s="23"/>
      <c r="V30" s="23"/>
    </row>
    <row r="31" spans="1:22" ht="14.25" hidden="1" x14ac:dyDescent="0.45">
      <c r="A31">
        <v>1</v>
      </c>
      <c r="C31" t="s">
        <v>5</v>
      </c>
      <c r="D31" s="1">
        <f>IF($H$9&gt;$F$9,0,$F$9-$H$9)</f>
        <v>0</v>
      </c>
      <c r="E31" s="1">
        <f>IF($F$9&gt;$H$9,0,$H$9-$F$9)</f>
        <v>4.2999999999999972</v>
      </c>
      <c r="F31">
        <v>0.95</v>
      </c>
      <c r="T31" s="23"/>
      <c r="U31" s="23"/>
      <c r="V31" s="23"/>
    </row>
    <row r="32" spans="1:22" ht="14.25" hidden="1" x14ac:dyDescent="0.45">
      <c r="A32">
        <v>2</v>
      </c>
      <c r="C32" t="s">
        <v>24</v>
      </c>
      <c r="D32" s="1">
        <f>ROUND(IF($H$9&gt;$F$9,0,$F$9-$H$9),0)</f>
        <v>0</v>
      </c>
      <c r="E32" s="1">
        <f>ROUND(IF($F$9&gt;$H$9,0,$H$9-$F$9),0)</f>
        <v>4</v>
      </c>
      <c r="F32">
        <v>1</v>
      </c>
      <c r="T32" s="23"/>
      <c r="U32" s="23"/>
      <c r="V32" s="23"/>
    </row>
    <row r="33" spans="1:22" ht="14.25" hidden="1" x14ac:dyDescent="0.45">
      <c r="A33">
        <v>3</v>
      </c>
      <c r="C33" t="s">
        <v>6</v>
      </c>
      <c r="D33" s="1">
        <f>IF($F$12&gt;$H$12,0,$H$12-$F$12)</f>
        <v>0</v>
      </c>
      <c r="E33" s="1">
        <f>IF($H$12&gt;$F$12,0,$F$12-$H$12)</f>
        <v>5</v>
      </c>
      <c r="F33">
        <v>0.95</v>
      </c>
      <c r="T33" s="23"/>
      <c r="U33" s="23"/>
      <c r="V33" s="23"/>
    </row>
    <row r="34" spans="1:22" ht="14.25" hidden="1" x14ac:dyDescent="0.45">
      <c r="A34">
        <v>4</v>
      </c>
      <c r="C34" t="s">
        <v>7</v>
      </c>
      <c r="D34" s="1">
        <f>IF(H9&gt;F9,0,F9-H9)</f>
        <v>0</v>
      </c>
      <c r="E34" s="1">
        <f>IF($F$9&gt;$H$9,0,$H$9-$F$9)</f>
        <v>4.2999999999999972</v>
      </c>
      <c r="F34">
        <v>1</v>
      </c>
      <c r="T34" s="23"/>
      <c r="U34" s="23"/>
      <c r="V34" s="23"/>
    </row>
    <row r="35" spans="1:22" ht="14.25" hidden="1" x14ac:dyDescent="0.45">
      <c r="A35">
        <v>5</v>
      </c>
      <c r="C35" t="s">
        <v>8</v>
      </c>
      <c r="D35" s="1">
        <f>IF($H$9&gt;$F$9,0,$F$9-$H$9)</f>
        <v>0</v>
      </c>
      <c r="E35" s="1">
        <f>IF($F$9&gt;$H$9,0,$H$9-$F$9)</f>
        <v>4.2999999999999972</v>
      </c>
      <c r="F35">
        <v>0.85</v>
      </c>
      <c r="T35" s="23"/>
      <c r="U35" s="23"/>
      <c r="V35" s="23"/>
    </row>
    <row r="36" spans="1:22" ht="14.25" hidden="1" x14ac:dyDescent="0.45">
      <c r="A36">
        <v>6</v>
      </c>
      <c r="C36" t="s">
        <v>9</v>
      </c>
      <c r="D36" s="1">
        <f>IF($F$12&gt;$H$12,0,$H$12-$F$12)</f>
        <v>0</v>
      </c>
      <c r="E36" s="1">
        <f>IF($H$12&gt;$F$12,0,$F$12-$H$12)</f>
        <v>5</v>
      </c>
      <c r="F36">
        <v>0.85</v>
      </c>
      <c r="T36" s="23"/>
      <c r="U36" s="23"/>
      <c r="V36" s="23"/>
    </row>
    <row r="37" spans="1:22" ht="14.25" hidden="1" x14ac:dyDescent="0.45">
      <c r="A37">
        <v>7</v>
      </c>
      <c r="C37" t="s">
        <v>20</v>
      </c>
      <c r="D37" s="1">
        <f>IF($F$12&gt;$H$12,0,$H$12-$F$12)</f>
        <v>0</v>
      </c>
      <c r="E37" s="1">
        <f>IF($H$12&gt;$F$12,0,$F$12-$H$12)</f>
        <v>5</v>
      </c>
      <c r="F37">
        <v>0.9</v>
      </c>
      <c r="T37" s="23"/>
      <c r="U37" s="23"/>
      <c r="V37" s="23"/>
    </row>
    <row r="38" spans="1:22" ht="14.25" hidden="1" x14ac:dyDescent="0.45">
      <c r="A38">
        <v>8</v>
      </c>
      <c r="C38" t="s">
        <v>10</v>
      </c>
      <c r="D38" s="1">
        <f>IF($H$9&gt;$F$9,0,$F$9-$H$9)</f>
        <v>0</v>
      </c>
      <c r="E38" s="1">
        <f>IF($F$9&gt;$H$9,0,$H$9-$F$9)</f>
        <v>4.2999999999999972</v>
      </c>
      <c r="F38">
        <v>0.9</v>
      </c>
      <c r="T38" s="23"/>
      <c r="U38" s="23"/>
      <c r="V38" s="23"/>
    </row>
    <row r="39" spans="1:22" ht="14.25" hidden="1" x14ac:dyDescent="0.45"/>
    <row r="40" spans="1:22" ht="14.25" hidden="1" x14ac:dyDescent="0.45">
      <c r="D40" s="1">
        <f>VLOOKUP(G5,C31:D38,2,FALSE)</f>
        <v>0</v>
      </c>
      <c r="E40" s="1">
        <f>VLOOKUP(G5,C31:E38,3,FALSE)</f>
        <v>5</v>
      </c>
      <c r="F40">
        <f>VLOOKUP(G5,C31:F38,4,FALSE)</f>
        <v>0.95</v>
      </c>
    </row>
    <row r="41" spans="1:22" ht="14.25" hidden="1" x14ac:dyDescent="0.45"/>
    <row r="42" spans="1:22" ht="14.25" hidden="1" x14ac:dyDescent="0.45">
      <c r="C42" t="s">
        <v>27</v>
      </c>
    </row>
    <row r="43" spans="1:22" ht="14.25" hidden="1" x14ac:dyDescent="0.45">
      <c r="C43" t="s">
        <v>28</v>
      </c>
    </row>
    <row r="44" spans="1:22" ht="14.25" hidden="1" x14ac:dyDescent="0.45">
      <c r="C44" t="s">
        <v>29</v>
      </c>
    </row>
    <row r="45" spans="1:22" ht="14.25" hidden="1" x14ac:dyDescent="0.45">
      <c r="C45" t="s">
        <v>30</v>
      </c>
      <c r="F45" t="s">
        <v>75</v>
      </c>
      <c r="H45" t="s">
        <v>75</v>
      </c>
    </row>
    <row r="46" spans="1:22" ht="14.25" hidden="1" x14ac:dyDescent="0.45"/>
    <row r="47" spans="1:22" ht="14.25" hidden="1" x14ac:dyDescent="0.45">
      <c r="E47" t="s">
        <v>76</v>
      </c>
      <c r="F47" s="52">
        <f>F19*F11/113</f>
        <v>-1.5</v>
      </c>
      <c r="H47" s="52">
        <f>H19*H11/113</f>
        <v>12.5</v>
      </c>
    </row>
    <row r="48" spans="1:22" ht="14.25" hidden="1" x14ac:dyDescent="0.45">
      <c r="F48" s="102">
        <f>IF(F47&lt;0,F47*-1,F47)</f>
        <v>1.5</v>
      </c>
      <c r="H48" s="102">
        <f>IF(H47&lt;0,H47*-1,H47)</f>
        <v>12.5</v>
      </c>
    </row>
    <row r="49" spans="6:8" ht="14.25" hidden="1" x14ac:dyDescent="0.45">
      <c r="F49" s="102">
        <f>IF(F48-INT(F48)=0.5,IF(F47&lt;0,F47+0.001,F47),F47)</f>
        <v>-1.4990000000000001</v>
      </c>
      <c r="H49" s="102">
        <f>IF(H48-INT(H48)=0.5,IF(H47&lt;0,H47+0.001,H47),H47)</f>
        <v>12.5</v>
      </c>
    </row>
    <row r="50" spans="6:8" ht="14.25" hidden="1" x14ac:dyDescent="0.45">
      <c r="F50" s="104">
        <f>ROUND(F49,0)</f>
        <v>-1</v>
      </c>
      <c r="H50" s="104">
        <f>ROUND(H49,0)</f>
        <v>13</v>
      </c>
    </row>
    <row r="51" spans="6:8" ht="14.25" hidden="1" x14ac:dyDescent="0.45">
      <c r="F51" s="102">
        <f>IF($G$3=$C$45,F47,F50)</f>
        <v>-1</v>
      </c>
      <c r="H51" s="102">
        <f>IF($G$3=$C$45,H47,H50)</f>
        <v>13</v>
      </c>
    </row>
    <row r="52" spans="6:8" ht="14.25" hidden="1" x14ac:dyDescent="0.45"/>
    <row r="53" spans="6:8" ht="14.25" hidden="1" x14ac:dyDescent="0.45">
      <c r="F53" t="s">
        <v>19</v>
      </c>
      <c r="H53" t="s">
        <v>19</v>
      </c>
    </row>
    <row r="54" spans="6:8" ht="14.25" hidden="1" x14ac:dyDescent="0.45"/>
    <row r="55" spans="6:8" ht="14.25" hidden="1" x14ac:dyDescent="0.45">
      <c r="F55" s="102">
        <f>F22+F23</f>
        <v>-1</v>
      </c>
      <c r="H55" s="102">
        <f>H22+H23</f>
        <v>17.399999999999999</v>
      </c>
    </row>
    <row r="56" spans="6:8" ht="14.25" hidden="1" x14ac:dyDescent="0.45">
      <c r="F56" s="102">
        <f>IF(F55&lt;0,ROUND(F55*-1,3),ROUND(F55,3))</f>
        <v>1</v>
      </c>
      <c r="H56" s="102">
        <f>IF(H55&lt;0,ROUND(H55*-1,3),ROUND(H55,3))</f>
        <v>17.399999999999999</v>
      </c>
    </row>
    <row r="57" spans="6:8" ht="14.25" hidden="1" x14ac:dyDescent="0.45">
      <c r="F57" s="102">
        <f>IF(F56-INT(F56)=0.5,IF(F55&lt;0,F55+0.001,F55),F55)</f>
        <v>-1</v>
      </c>
      <c r="H57" s="102">
        <f>IF(H56-INT(H56)=0.5,IF(H55&lt;0,H55+0.001,H55),H55)</f>
        <v>17.399999999999999</v>
      </c>
    </row>
    <row r="58" spans="6:8" ht="14.25" hidden="1" x14ac:dyDescent="0.45">
      <c r="F58">
        <f>ROUND(F57,0)</f>
        <v>-1</v>
      </c>
      <c r="H58">
        <f>ROUND(H57,0)</f>
        <v>17</v>
      </c>
    </row>
    <row r="59" spans="6:8" ht="14.25" hidden="1" x14ac:dyDescent="0.45"/>
  </sheetData>
  <sheetProtection algorithmName="SHA-512" hashValue="Z85PfD3Y29lvZS9W1DgoBr6nOuADnhTnP9kIDuNBNr73wj0+dKHyNQlCM6xg3aXT3ugCDmkeMTYx6/zpHTGO4w==" saltValue="O41FtyXwow8Q9gOuH4T1yg==" spinCount="100000" sheet="1" selectLockedCells="1"/>
  <mergeCells count="4">
    <mergeCell ref="C2:D2"/>
    <mergeCell ref="C3:D3"/>
    <mergeCell ref="C28:I29"/>
    <mergeCell ref="C16:I16"/>
  </mergeCells>
  <conditionalFormatting sqref="C18:I29">
    <cfRule type="expression" dxfId="50" priority="8">
      <formula>$G$5="Individual Medal (Scratch)"</formula>
    </cfRule>
  </conditionalFormatting>
  <conditionalFormatting sqref="C16:I16">
    <cfRule type="expression" dxfId="49" priority="6">
      <formula>$G$5&lt;&gt;"Individual Medal (Scratch)"</formula>
    </cfRule>
  </conditionalFormatting>
  <conditionalFormatting sqref="C17:I17">
    <cfRule type="expression" dxfId="48" priority="5">
      <formula>$G$5="Individual Medal (Scratch)"</formula>
    </cfRule>
  </conditionalFormatting>
  <conditionalFormatting sqref="E18:I29">
    <cfRule type="expression" priority="7">
      <formula>$G$5="Individual Medal (Scratch)"</formula>
    </cfRule>
  </conditionalFormatting>
  <conditionalFormatting sqref="F21">
    <cfRule type="expression" dxfId="47" priority="4">
      <formula>$G$3=$C$45</formula>
    </cfRule>
  </conditionalFormatting>
  <conditionalFormatting sqref="H21">
    <cfRule type="expression" dxfId="46" priority="3">
      <formula>$G$3=$C$45</formula>
    </cfRule>
  </conditionalFormatting>
  <conditionalFormatting sqref="F22">
    <cfRule type="expression" dxfId="45" priority="2">
      <formula>$G$3=$C$45</formula>
    </cfRule>
  </conditionalFormatting>
  <conditionalFormatting sqref="H22">
    <cfRule type="expression" dxfId="44" priority="1">
      <formula>$G$3=$C$45</formula>
    </cfRule>
  </conditionalFormatting>
  <dataValidations count="2">
    <dataValidation type="list" allowBlank="1" showInputMessage="1" showErrorMessage="1" sqref="G5">
      <formula1>$C$31:$C$38</formula1>
    </dataValidation>
    <dataValidation type="list" allowBlank="1" showInputMessage="1" showErrorMessage="1" sqref="G3">
      <formula1>$C$42:$C$45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activeCell="G3" sqref="G3:H3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13" max="13" width="9" hidden="1" customWidth="1"/>
    <col min="14" max="16" width="9" style="1" hidden="1" customWidth="1"/>
    <col min="17" max="17" width="0" hidden="1" customWidth="1"/>
  </cols>
  <sheetData>
    <row r="1" spans="3:17" ht="14.65" thickBot="1" x14ac:dyDescent="0.5"/>
    <row r="2" spans="3:17" ht="14.25" x14ac:dyDescent="0.45">
      <c r="C2" s="144" t="s">
        <v>22</v>
      </c>
      <c r="D2" s="145"/>
      <c r="E2" s="2"/>
      <c r="F2" s="2"/>
      <c r="G2" s="2"/>
      <c r="H2" s="2"/>
      <c r="I2" s="2"/>
      <c r="J2" s="2"/>
      <c r="K2" s="2"/>
      <c r="L2" s="3"/>
    </row>
    <row r="3" spans="3:17" ht="20.100000000000001" customHeight="1" x14ac:dyDescent="0.45">
      <c r="C3" s="146" t="s">
        <v>23</v>
      </c>
      <c r="D3" s="147"/>
      <c r="E3" s="5"/>
      <c r="F3" s="30" t="s">
        <v>31</v>
      </c>
      <c r="G3" s="157" t="s">
        <v>27</v>
      </c>
      <c r="H3" s="158"/>
      <c r="I3" s="5"/>
      <c r="J3" s="5"/>
      <c r="K3" s="5"/>
      <c r="L3" s="6"/>
    </row>
    <row r="4" spans="3:17" ht="14.25" x14ac:dyDescent="0.45">
      <c r="C4" s="54"/>
      <c r="D4" s="55"/>
      <c r="E4" s="5"/>
      <c r="F4" s="5"/>
      <c r="G4" s="5"/>
      <c r="H4" s="5"/>
      <c r="I4" s="5"/>
      <c r="J4" s="5"/>
      <c r="K4" s="5"/>
      <c r="L4" s="6"/>
    </row>
    <row r="5" spans="3:17" ht="20.100000000000001" customHeight="1" x14ac:dyDescent="0.45">
      <c r="C5" s="4"/>
      <c r="D5" s="5"/>
      <c r="E5" s="31" t="s">
        <v>21</v>
      </c>
      <c r="F5" s="32"/>
      <c r="G5" s="157" t="s">
        <v>6</v>
      </c>
      <c r="H5" s="158"/>
      <c r="I5" s="5"/>
      <c r="J5" s="5"/>
      <c r="K5" s="5"/>
      <c r="L5" s="6"/>
    </row>
    <row r="6" spans="3:17" ht="14.25" x14ac:dyDescent="0.45">
      <c r="C6" s="4"/>
      <c r="D6" s="5"/>
      <c r="E6" s="5"/>
      <c r="F6" s="5"/>
      <c r="G6" s="5"/>
      <c r="H6" s="5"/>
      <c r="I6" s="5"/>
      <c r="J6" s="5"/>
      <c r="K6" s="5"/>
      <c r="L6" s="6"/>
    </row>
    <row r="7" spans="3:17" ht="14.25" x14ac:dyDescent="0.45">
      <c r="C7" s="4"/>
      <c r="D7" s="5"/>
      <c r="E7" s="5"/>
      <c r="F7" s="55" t="s">
        <v>37</v>
      </c>
      <c r="G7" s="8"/>
      <c r="H7" s="55" t="s">
        <v>38</v>
      </c>
      <c r="I7" s="8"/>
      <c r="J7" s="8"/>
      <c r="K7" s="55" t="s">
        <v>39</v>
      </c>
      <c r="L7" s="6"/>
      <c r="N7" s="1" t="s">
        <v>34</v>
      </c>
      <c r="O7" s="1" t="s">
        <v>36</v>
      </c>
      <c r="P7" s="1" t="s">
        <v>16</v>
      </c>
    </row>
    <row r="8" spans="3:17" ht="14.25" x14ac:dyDescent="0.45">
      <c r="C8" s="4"/>
      <c r="D8" s="5"/>
      <c r="E8" s="5"/>
      <c r="F8" s="5"/>
      <c r="G8" s="5"/>
      <c r="H8" s="5"/>
      <c r="I8" s="5"/>
      <c r="J8" s="5"/>
      <c r="K8" s="5"/>
      <c r="L8" s="6"/>
    </row>
    <row r="9" spans="3:17" ht="20.100000000000001" customHeight="1" x14ac:dyDescent="0.45">
      <c r="C9" s="4"/>
      <c r="D9" s="5"/>
      <c r="E9" s="7" t="s">
        <v>11</v>
      </c>
      <c r="F9" s="47">
        <v>72</v>
      </c>
      <c r="G9" s="7" t="s">
        <v>11</v>
      </c>
      <c r="H9" s="47">
        <v>74.3</v>
      </c>
      <c r="I9" s="5"/>
      <c r="J9" s="7" t="s">
        <v>11</v>
      </c>
      <c r="K9" s="47">
        <v>76.2</v>
      </c>
      <c r="L9" s="6"/>
      <c r="N9" s="1">
        <f>F9</f>
        <v>72</v>
      </c>
      <c r="O9" s="1">
        <f>F10</f>
        <v>72</v>
      </c>
      <c r="P9" s="1">
        <f>F12</f>
        <v>36</v>
      </c>
    </row>
    <row r="10" spans="3:17" ht="20.100000000000001" customHeight="1" x14ac:dyDescent="0.45">
      <c r="C10" s="4"/>
      <c r="D10" s="5"/>
      <c r="E10" s="7" t="s">
        <v>0</v>
      </c>
      <c r="F10" s="29">
        <v>72</v>
      </c>
      <c r="G10" s="7" t="s">
        <v>0</v>
      </c>
      <c r="H10" s="29">
        <v>72</v>
      </c>
      <c r="I10" s="5"/>
      <c r="J10" s="7" t="s">
        <v>0</v>
      </c>
      <c r="K10" s="29">
        <v>72</v>
      </c>
      <c r="L10" s="6"/>
      <c r="N10" s="1">
        <f>H9</f>
        <v>74.3</v>
      </c>
      <c r="O10" s="1">
        <f>H10</f>
        <v>72</v>
      </c>
      <c r="P10" s="1">
        <f>H12</f>
        <v>34</v>
      </c>
    </row>
    <row r="11" spans="3:17" ht="20.100000000000001" customHeight="1" x14ac:dyDescent="0.45">
      <c r="C11" s="4"/>
      <c r="D11" s="5"/>
      <c r="E11" s="7" t="s">
        <v>12</v>
      </c>
      <c r="F11" s="29">
        <v>113</v>
      </c>
      <c r="G11" s="7" t="s">
        <v>12</v>
      </c>
      <c r="H11" s="29">
        <v>113</v>
      </c>
      <c r="I11" s="5"/>
      <c r="J11" s="7" t="s">
        <v>12</v>
      </c>
      <c r="K11" s="29">
        <v>113</v>
      </c>
      <c r="L11" s="6"/>
      <c r="N11" s="1">
        <f>K9</f>
        <v>76.2</v>
      </c>
      <c r="O11" s="1">
        <f>K10</f>
        <v>72</v>
      </c>
      <c r="P11" s="1">
        <f>K12</f>
        <v>32</v>
      </c>
    </row>
    <row r="12" spans="3:17" ht="14.25" x14ac:dyDescent="0.45">
      <c r="C12" s="4"/>
      <c r="D12" s="5"/>
      <c r="E12" s="10" t="s">
        <v>16</v>
      </c>
      <c r="F12" s="35">
        <f>ROUND(36-(F9-F10),0)</f>
        <v>36</v>
      </c>
      <c r="G12" s="10" t="s">
        <v>16</v>
      </c>
      <c r="H12" s="35">
        <f>ROUND(36-(H9-H10),0)</f>
        <v>34</v>
      </c>
      <c r="I12" s="143"/>
      <c r="J12" s="10" t="s">
        <v>16</v>
      </c>
      <c r="K12" s="35">
        <f>ROUND(36-(K9-K10),0)</f>
        <v>32</v>
      </c>
      <c r="L12" s="6"/>
      <c r="M12" s="36" t="s">
        <v>35</v>
      </c>
      <c r="N12" s="1">
        <f>MIN(N9:N11)</f>
        <v>72</v>
      </c>
      <c r="O12" s="1">
        <f>MIN(O9:O11)</f>
        <v>72</v>
      </c>
      <c r="P12" s="1">
        <f>MAX(P9:P11)</f>
        <v>36</v>
      </c>
      <c r="Q12" t="s">
        <v>93</v>
      </c>
    </row>
    <row r="13" spans="3:17" ht="14.25" x14ac:dyDescent="0.45">
      <c r="C13" s="4"/>
      <c r="D13" s="5"/>
      <c r="E13" s="5"/>
      <c r="F13" s="5"/>
      <c r="G13" s="5"/>
      <c r="H13" s="5"/>
      <c r="I13" s="5"/>
      <c r="J13" s="5"/>
      <c r="K13" s="5"/>
      <c r="L13" s="6"/>
    </row>
    <row r="14" spans="3:17" ht="15.75" x14ac:dyDescent="0.5">
      <c r="C14" s="4"/>
      <c r="D14" s="5"/>
      <c r="E14" s="27" t="s">
        <v>13</v>
      </c>
      <c r="F14" s="28">
        <f>D40</f>
        <v>0</v>
      </c>
      <c r="G14" s="26"/>
      <c r="H14" s="28">
        <f>E40</f>
        <v>2</v>
      </c>
      <c r="I14" s="5"/>
      <c r="J14" s="5"/>
      <c r="K14" s="28">
        <f>F40</f>
        <v>4</v>
      </c>
      <c r="L14" s="6"/>
    </row>
    <row r="15" spans="3:17" ht="14.25" x14ac:dyDescent="0.45">
      <c r="C15" s="4"/>
      <c r="D15" s="5"/>
      <c r="E15" s="7"/>
      <c r="F15" s="8"/>
      <c r="G15" s="5"/>
      <c r="H15" s="8"/>
      <c r="I15" s="5"/>
      <c r="J15" s="5"/>
      <c r="K15" s="5"/>
      <c r="L15" s="6"/>
    </row>
    <row r="16" spans="3:17" ht="14.25" x14ac:dyDescent="0.45">
      <c r="C16" s="4"/>
      <c r="D16" s="5"/>
      <c r="E16" s="155" t="s">
        <v>61</v>
      </c>
      <c r="F16" s="155"/>
      <c r="G16" s="155"/>
      <c r="H16" s="155"/>
      <c r="I16" s="155"/>
      <c r="J16" s="155"/>
      <c r="K16" s="155"/>
      <c r="L16" s="6"/>
    </row>
    <row r="17" spans="1:14" ht="14.25" x14ac:dyDescent="0.45">
      <c r="C17" s="4"/>
      <c r="D17" s="5"/>
      <c r="E17" s="5"/>
      <c r="F17" s="5"/>
      <c r="G17" s="5"/>
      <c r="H17" s="5"/>
      <c r="I17" s="5"/>
      <c r="J17" s="5"/>
      <c r="K17" s="5"/>
      <c r="L17" s="6"/>
    </row>
    <row r="18" spans="1:14" ht="14.25" x14ac:dyDescent="0.45">
      <c r="C18" s="4"/>
      <c r="D18" s="58" t="s">
        <v>17</v>
      </c>
      <c r="E18" s="5"/>
      <c r="F18" s="5"/>
      <c r="G18" s="5"/>
      <c r="H18" s="5"/>
      <c r="I18" s="5"/>
      <c r="J18" s="5"/>
      <c r="K18" s="5"/>
      <c r="L18" s="6"/>
      <c r="N18" s="1" t="s">
        <v>33</v>
      </c>
    </row>
    <row r="19" spans="1:14" ht="14.25" x14ac:dyDescent="0.45">
      <c r="C19" s="4"/>
      <c r="D19" s="9" t="s">
        <v>3</v>
      </c>
      <c r="E19" s="5"/>
      <c r="F19" s="20">
        <v>12.5</v>
      </c>
      <c r="G19" s="5"/>
      <c r="H19" s="20">
        <v>12.5</v>
      </c>
      <c r="I19" s="5"/>
      <c r="J19" s="5"/>
      <c r="K19" s="20">
        <v>12.5</v>
      </c>
      <c r="L19" s="6"/>
    </row>
    <row r="20" spans="1:14" ht="3.4" customHeight="1" x14ac:dyDescent="0.45">
      <c r="C20" s="4"/>
      <c r="D20" s="7"/>
      <c r="E20" s="5"/>
      <c r="F20" s="46"/>
      <c r="G20" s="5"/>
      <c r="H20" s="46"/>
      <c r="I20" s="5"/>
      <c r="J20" s="5"/>
      <c r="K20" s="46"/>
      <c r="L20" s="6"/>
    </row>
    <row r="21" spans="1:14" ht="14.25" x14ac:dyDescent="0.45">
      <c r="C21" s="4"/>
      <c r="D21" s="9" t="s">
        <v>18</v>
      </c>
      <c r="E21" s="43"/>
      <c r="F21" s="101">
        <f>F51</f>
        <v>13</v>
      </c>
      <c r="G21" s="48"/>
      <c r="H21" s="101">
        <f>H51</f>
        <v>13</v>
      </c>
      <c r="I21" s="48"/>
      <c r="J21" s="48"/>
      <c r="K21" s="101">
        <f>K51</f>
        <v>13</v>
      </c>
      <c r="L21" s="6"/>
    </row>
    <row r="22" spans="1:14" ht="14.25" x14ac:dyDescent="0.45">
      <c r="C22" s="4"/>
      <c r="D22" s="7" t="s">
        <v>4</v>
      </c>
      <c r="E22" s="45">
        <f>G40</f>
        <v>0.95</v>
      </c>
      <c r="F22" s="119">
        <f>IF(G3="Scotland",ROUND(F21*G40,3),ROUND(F21*G40,1))</f>
        <v>12.4</v>
      </c>
      <c r="G22" s="43"/>
      <c r="H22" s="119">
        <f>IF(G3="Scotland",ROUND(H21*G40,3),ROUND(H21*G40,1))</f>
        <v>12.4</v>
      </c>
      <c r="I22" s="43"/>
      <c r="J22" s="43"/>
      <c r="K22" s="119">
        <f>IF(G3="Scotland",ROUND(K21*G40,3),ROUND(K21*G40,1))</f>
        <v>12.4</v>
      </c>
      <c r="L22" s="6"/>
    </row>
    <row r="23" spans="1:14" ht="14.25" x14ac:dyDescent="0.45">
      <c r="C23" s="4"/>
      <c r="D23" s="9" t="s">
        <v>13</v>
      </c>
      <c r="E23" s="43"/>
      <c r="F23" s="56">
        <f>F14</f>
        <v>0</v>
      </c>
      <c r="G23" s="44"/>
      <c r="H23" s="56">
        <f>H14</f>
        <v>2</v>
      </c>
      <c r="I23" s="43"/>
      <c r="J23" s="43"/>
      <c r="K23" s="56">
        <f>K14</f>
        <v>4</v>
      </c>
      <c r="L23" s="6"/>
    </row>
    <row r="24" spans="1:14" ht="14.25" x14ac:dyDescent="0.45">
      <c r="C24" s="4"/>
      <c r="D24" s="7"/>
      <c r="E24" s="5"/>
      <c r="F24" s="8"/>
      <c r="G24" s="8"/>
      <c r="H24" s="8"/>
      <c r="I24" s="5"/>
      <c r="J24" s="5"/>
      <c r="K24" s="8"/>
      <c r="L24" s="6"/>
    </row>
    <row r="25" spans="1:14" ht="15.75" x14ac:dyDescent="0.5">
      <c r="C25" s="4"/>
      <c r="D25" s="24" t="s">
        <v>19</v>
      </c>
      <c r="E25" s="25"/>
      <c r="F25" s="28">
        <f>F58</f>
        <v>12</v>
      </c>
      <c r="G25" s="26"/>
      <c r="H25" s="28">
        <f>H58</f>
        <v>14</v>
      </c>
      <c r="I25" s="5"/>
      <c r="J25" s="5"/>
      <c r="K25" s="28">
        <f>K58</f>
        <v>16</v>
      </c>
      <c r="L25" s="6"/>
    </row>
    <row r="26" spans="1:14" ht="14.25" x14ac:dyDescent="0.45">
      <c r="C26" s="4"/>
      <c r="D26" s="5"/>
      <c r="E26" s="5"/>
      <c r="F26" s="5"/>
      <c r="G26" s="5"/>
      <c r="H26" s="5"/>
      <c r="I26" s="5"/>
      <c r="J26" s="5"/>
      <c r="K26" s="5"/>
      <c r="L26" s="6"/>
    </row>
    <row r="27" spans="1:14" ht="14.25" x14ac:dyDescent="0.45">
      <c r="C27" s="4"/>
      <c r="D27" s="5"/>
      <c r="E27" s="5"/>
      <c r="F27" s="5"/>
      <c r="G27" s="5"/>
      <c r="H27" s="5"/>
      <c r="I27" s="5"/>
      <c r="J27" s="5"/>
      <c r="K27" s="5"/>
      <c r="L27" s="6"/>
    </row>
    <row r="28" spans="1:14" ht="14.25" customHeight="1" x14ac:dyDescent="0.25">
      <c r="C28" s="159" t="s">
        <v>26</v>
      </c>
      <c r="D28" s="160"/>
      <c r="E28" s="160"/>
      <c r="F28" s="160"/>
      <c r="G28" s="160"/>
      <c r="H28" s="160"/>
      <c r="I28" s="160"/>
      <c r="J28" s="160"/>
      <c r="K28" s="160"/>
      <c r="L28" s="161"/>
    </row>
    <row r="29" spans="1:14" ht="15.75" thickBot="1" x14ac:dyDescent="0.3">
      <c r="C29" s="162"/>
      <c r="D29" s="163"/>
      <c r="E29" s="163"/>
      <c r="F29" s="163"/>
      <c r="G29" s="163"/>
      <c r="H29" s="163"/>
      <c r="I29" s="163"/>
      <c r="J29" s="163"/>
      <c r="K29" s="163"/>
      <c r="L29" s="164"/>
    </row>
    <row r="30" spans="1:14" ht="14.25" hidden="1" x14ac:dyDescent="0.45">
      <c r="D30" t="s">
        <v>14</v>
      </c>
      <c r="E30" t="s">
        <v>32</v>
      </c>
      <c r="F30" t="s">
        <v>15</v>
      </c>
      <c r="G30" t="s">
        <v>4</v>
      </c>
    </row>
    <row r="31" spans="1:14" ht="14.25" hidden="1" x14ac:dyDescent="0.45">
      <c r="A31">
        <v>1</v>
      </c>
      <c r="C31" t="s">
        <v>5</v>
      </c>
      <c r="D31" s="1">
        <f>IF($F$9&gt;$N$12,$F$9-$N$12,0)</f>
        <v>0</v>
      </c>
      <c r="E31" s="1">
        <f>IF($H$9&gt;$N$12,$H$9-$N$12,0)</f>
        <v>2.2999999999999972</v>
      </c>
      <c r="F31" s="37">
        <f>IF($K$9&gt;$N$12,$K$9-$N$12,0)</f>
        <v>4.2000000000000028</v>
      </c>
      <c r="G31">
        <v>0.95</v>
      </c>
    </row>
    <row r="32" spans="1:14" ht="14.25" hidden="1" x14ac:dyDescent="0.45">
      <c r="A32">
        <v>2</v>
      </c>
      <c r="C32" t="s">
        <v>24</v>
      </c>
      <c r="D32" s="1">
        <f>ROUND(IF($F$9&gt;$N$12,$F$9-$N$12,0),0)</f>
        <v>0</v>
      </c>
      <c r="E32" s="1">
        <f>ROUND(IF($H$9&gt;$N$12,$H$9-$N$12,0),0)</f>
        <v>2</v>
      </c>
      <c r="F32" s="37">
        <f>ROUND(IF($K$9&gt;$N$12,$K$9-$N$12,0),0)</f>
        <v>4</v>
      </c>
      <c r="G32">
        <v>1</v>
      </c>
    </row>
    <row r="33" spans="1:11" ht="14.25" hidden="1" x14ac:dyDescent="0.45">
      <c r="A33">
        <v>3</v>
      </c>
      <c r="C33" t="s">
        <v>6</v>
      </c>
      <c r="D33" s="1">
        <f>IF($F$12&lt;$P$12,$P$12-$F$12,0)</f>
        <v>0</v>
      </c>
      <c r="E33" s="1">
        <f>IF($H$12&lt;$P$12,$P$12-$H$12,0)</f>
        <v>2</v>
      </c>
      <c r="F33" s="1">
        <f>IF($K$12&lt;$P$12,$P$12-$K$12,0)</f>
        <v>4</v>
      </c>
      <c r="G33">
        <v>0.95</v>
      </c>
    </row>
    <row r="34" spans="1:11" ht="14.25" hidden="1" x14ac:dyDescent="0.45">
      <c r="A34">
        <v>4</v>
      </c>
      <c r="C34" t="s">
        <v>7</v>
      </c>
      <c r="D34" s="1">
        <f>IF($F$9&gt;$N$12,$F$9-$N$12,0)</f>
        <v>0</v>
      </c>
      <c r="E34" s="1">
        <f>IF($H$9&gt;$N$12,$H$9-$N$12,0)</f>
        <v>2.2999999999999972</v>
      </c>
      <c r="F34" s="37">
        <f>IF($K$9&gt;$N$12,$K$9-$N$12,0)</f>
        <v>4.2000000000000028</v>
      </c>
      <c r="G34">
        <v>1</v>
      </c>
    </row>
    <row r="35" spans="1:11" ht="14.25" hidden="1" x14ac:dyDescent="0.45">
      <c r="A35">
        <v>5</v>
      </c>
      <c r="C35" t="s">
        <v>8</v>
      </c>
      <c r="D35" s="1">
        <f>IF($F$9&gt;$N$12,$F$9-$N$12,0)</f>
        <v>0</v>
      </c>
      <c r="E35" s="1">
        <f>IF($H$9&gt;$N$12,$H$9-$N$12,0)</f>
        <v>2.2999999999999972</v>
      </c>
      <c r="F35" s="37">
        <f>IF($K$9&gt;$N$12,$K$9-$N$12,0)</f>
        <v>4.2000000000000028</v>
      </c>
      <c r="G35">
        <v>0.85</v>
      </c>
    </row>
    <row r="36" spans="1:11" ht="14.25" hidden="1" x14ac:dyDescent="0.45">
      <c r="A36">
        <v>6</v>
      </c>
      <c r="C36" t="s">
        <v>9</v>
      </c>
      <c r="D36" s="1">
        <f>IF($F$12&lt;$P$12,$P$12-$F$12,0)</f>
        <v>0</v>
      </c>
      <c r="E36" s="1">
        <f>IF($H$12&lt;$P$12,$P$12-$H$12,0)</f>
        <v>2</v>
      </c>
      <c r="F36" s="1">
        <f>IF($K$12&lt;$P$12,$P$12-$K$12,0)</f>
        <v>4</v>
      </c>
      <c r="G36">
        <v>0.85</v>
      </c>
    </row>
    <row r="37" spans="1:11" ht="14.25" hidden="1" x14ac:dyDescent="0.45">
      <c r="A37">
        <v>7</v>
      </c>
      <c r="C37" t="s">
        <v>20</v>
      </c>
      <c r="D37" s="1">
        <f>IF($F$12&lt;$P$12,$P$12-$F$12,0)</f>
        <v>0</v>
      </c>
      <c r="E37" s="1">
        <f>IF($H$12&lt;$P$12,$P$12-$H$12,0)</f>
        <v>2</v>
      </c>
      <c r="F37" s="1">
        <f>IF($K$12&lt;$P$12,$P$12-$K$12,0)</f>
        <v>4</v>
      </c>
      <c r="G37">
        <v>0.9</v>
      </c>
    </row>
    <row r="38" spans="1:11" ht="14.25" hidden="1" x14ac:dyDescent="0.45">
      <c r="A38">
        <v>8</v>
      </c>
      <c r="C38" t="s">
        <v>10</v>
      </c>
      <c r="D38" s="1">
        <f>IF($F$9&gt;$N$12,$F$9-$N$12,0)</f>
        <v>0</v>
      </c>
      <c r="E38" s="1">
        <f>IF($H$9&gt;$N$12,$H$9-$N$12,0)</f>
        <v>2.2999999999999972</v>
      </c>
      <c r="F38" s="37">
        <f>IF($K$9&gt;$N$12,$K$9-$N$12,0)</f>
        <v>4.2000000000000028</v>
      </c>
      <c r="G38">
        <v>0.9</v>
      </c>
    </row>
    <row r="39" spans="1:11" ht="14.25" hidden="1" x14ac:dyDescent="0.45"/>
    <row r="40" spans="1:11" ht="14.25" hidden="1" x14ac:dyDescent="0.45">
      <c r="D40" s="1">
        <f>VLOOKUP(G5,C31:D38,2,FALSE)</f>
        <v>0</v>
      </c>
      <c r="E40" s="1">
        <f>VLOOKUP(G5,C31:E38,3,FALSE)</f>
        <v>2</v>
      </c>
      <c r="F40" s="1">
        <f>VLOOKUP(G5,C31:F38,4,FALSE)</f>
        <v>4</v>
      </c>
      <c r="G40">
        <f>VLOOKUP(G5,C31:G38,5,FALSE)</f>
        <v>0.95</v>
      </c>
    </row>
    <row r="41" spans="1:11" ht="14.25" hidden="1" x14ac:dyDescent="0.45"/>
    <row r="42" spans="1:11" ht="14.25" hidden="1" x14ac:dyDescent="0.45">
      <c r="C42" t="s">
        <v>27</v>
      </c>
    </row>
    <row r="43" spans="1:11" ht="14.25" hidden="1" x14ac:dyDescent="0.45">
      <c r="C43" t="s">
        <v>28</v>
      </c>
    </row>
    <row r="44" spans="1:11" ht="14.25" hidden="1" x14ac:dyDescent="0.45">
      <c r="C44" t="s">
        <v>29</v>
      </c>
    </row>
    <row r="45" spans="1:11" ht="14.25" hidden="1" x14ac:dyDescent="0.45">
      <c r="C45" t="s">
        <v>30</v>
      </c>
      <c r="F45" t="s">
        <v>75</v>
      </c>
      <c r="H45" t="s">
        <v>75</v>
      </c>
      <c r="K45" t="s">
        <v>75</v>
      </c>
    </row>
    <row r="46" spans="1:11" ht="14.25" hidden="1" x14ac:dyDescent="0.45"/>
    <row r="47" spans="1:11" ht="14.25" hidden="1" x14ac:dyDescent="0.45">
      <c r="E47" t="s">
        <v>76</v>
      </c>
      <c r="F47" s="52">
        <f>F19*F11/113</f>
        <v>12.5</v>
      </c>
      <c r="H47" s="52">
        <f>H19*H11/113</f>
        <v>12.5</v>
      </c>
      <c r="K47" s="52">
        <f>K19*K11/113</f>
        <v>12.5</v>
      </c>
    </row>
    <row r="48" spans="1:11" ht="14.25" hidden="1" x14ac:dyDescent="0.45">
      <c r="F48" s="102">
        <f>IF(F47&lt;0,F47*-1,F47)</f>
        <v>12.5</v>
      </c>
      <c r="H48" s="102">
        <f>IF(H47&lt;0,H47*-1,H47)</f>
        <v>12.5</v>
      </c>
      <c r="K48" s="102">
        <f>IF(K47&lt;0,K47*-1,K47)</f>
        <v>12.5</v>
      </c>
    </row>
    <row r="49" spans="6:11" ht="14.25" hidden="1" x14ac:dyDescent="0.45">
      <c r="F49">
        <f>IF(F48-INT(F48)=0.5,IF(F47&lt;0,F47+0.001,F47),F47)</f>
        <v>12.5</v>
      </c>
      <c r="H49" s="102">
        <f>IF(H48-INT(H48)=0.5,IF(H47&lt;0,H47+0.001,H47),H47)</f>
        <v>12.5</v>
      </c>
      <c r="K49" s="102">
        <f>IF(K48-INT(K48)=0.5,IF(K47&lt;0,K47+0.001,K47),K47)</f>
        <v>12.5</v>
      </c>
    </row>
    <row r="50" spans="6:11" ht="14.25" hidden="1" x14ac:dyDescent="0.45">
      <c r="F50">
        <f>ROUND(F49,0)</f>
        <v>13</v>
      </c>
      <c r="H50">
        <f>ROUND(H49,0)</f>
        <v>13</v>
      </c>
      <c r="K50">
        <f>ROUND(K49,0)</f>
        <v>13</v>
      </c>
    </row>
    <row r="51" spans="6:11" ht="14.25" hidden="1" x14ac:dyDescent="0.45">
      <c r="F51">
        <f>IF($G$3=$C$45,F47,F50)</f>
        <v>13</v>
      </c>
      <c r="H51" s="102">
        <f>IF($G$3=$C$45,H47,H50)</f>
        <v>13</v>
      </c>
      <c r="K51" s="102">
        <f>IF($G$3=$C$45,K47,K50)</f>
        <v>13</v>
      </c>
    </row>
    <row r="52" spans="6:11" ht="14.25" hidden="1" x14ac:dyDescent="0.45"/>
    <row r="53" spans="6:11" ht="14.25" hidden="1" x14ac:dyDescent="0.45">
      <c r="F53" t="s">
        <v>19</v>
      </c>
      <c r="H53" t="s">
        <v>19</v>
      </c>
      <c r="K53" t="s">
        <v>19</v>
      </c>
    </row>
    <row r="54" spans="6:11" ht="14.25" hidden="1" x14ac:dyDescent="0.45"/>
    <row r="55" spans="6:11" ht="14.25" hidden="1" x14ac:dyDescent="0.45">
      <c r="F55" s="102">
        <f>F22+F23</f>
        <v>12.4</v>
      </c>
      <c r="H55" s="102">
        <f>H22+H23</f>
        <v>14.4</v>
      </c>
      <c r="K55" s="102">
        <f>K22+K23</f>
        <v>16.399999999999999</v>
      </c>
    </row>
    <row r="56" spans="6:11" ht="14.25" hidden="1" x14ac:dyDescent="0.45">
      <c r="F56" s="102">
        <f>IF(F55&lt;0,ROUND(F55*-1,3),ROUND(F55,3))</f>
        <v>12.4</v>
      </c>
      <c r="H56" s="102">
        <f>IF(H55&lt;0,ROUND(H55*-1,3),ROUND(H55,3))</f>
        <v>14.4</v>
      </c>
      <c r="K56" s="102">
        <f>IF(K55&lt;0,ROUND(K55*-1,3),ROUND(K55,3))</f>
        <v>16.399999999999999</v>
      </c>
    </row>
    <row r="57" spans="6:11" ht="14.25" hidden="1" x14ac:dyDescent="0.45">
      <c r="F57" s="102">
        <f>IF(F56-INT(F56)=0.5,IF(F55&lt;0,F55+0.001,F55),F55)</f>
        <v>12.4</v>
      </c>
      <c r="H57" s="102">
        <f>IF(H56-INT(H56)=0.5,IF(H55&lt;0,H55+0.001,H55),H55)</f>
        <v>14.4</v>
      </c>
      <c r="K57" s="102">
        <f>IF(K56-INT(K56)=0.5,IF(K55&lt;0,K55+0.001,K55),K55)</f>
        <v>16.399999999999999</v>
      </c>
    </row>
    <row r="58" spans="6:11" ht="14.25" hidden="1" x14ac:dyDescent="0.45">
      <c r="F58">
        <f>ROUND(F57,0)</f>
        <v>12</v>
      </c>
      <c r="H58">
        <f>ROUND(H57,0)</f>
        <v>14</v>
      </c>
      <c r="K58">
        <f>ROUND(K57,0)</f>
        <v>16</v>
      </c>
    </row>
    <row r="59" spans="6:11" ht="14.25" hidden="1" x14ac:dyDescent="0.45"/>
    <row r="60" spans="6:11" ht="14.25" hidden="1" x14ac:dyDescent="0.45"/>
    <row r="61" spans="6:11" ht="14.25" hidden="1" x14ac:dyDescent="0.45"/>
    <row r="62" spans="6:11" ht="14.25" hidden="1" x14ac:dyDescent="0.45"/>
  </sheetData>
  <sheetProtection algorithmName="SHA-512" hashValue="q8tvKwX4Kjelrc7akKBi4tpqT/bbkOPVFxCI1urEPbk+4DCGKe1j2yGnLjf7+oBWi7tDoRnLTHnOai9mlcx0hA==" saltValue="dU1L0erGBmQTRUyaXrls1w==" spinCount="100000" sheet="1" selectLockedCells="1"/>
  <mergeCells count="6">
    <mergeCell ref="C2:D2"/>
    <mergeCell ref="C3:D3"/>
    <mergeCell ref="G3:H3"/>
    <mergeCell ref="G5:H5"/>
    <mergeCell ref="C28:L29"/>
    <mergeCell ref="E16:K16"/>
  </mergeCells>
  <conditionalFormatting sqref="E16:K16">
    <cfRule type="expression" dxfId="43" priority="8">
      <formula>$G$5&lt;&gt;"Individual Medal (Scratch)"</formula>
    </cfRule>
  </conditionalFormatting>
  <conditionalFormatting sqref="C16:L16">
    <cfRule type="expression" dxfId="42" priority="7">
      <formula>$G$5="Individual Medal (Scratch)"</formula>
    </cfRule>
  </conditionalFormatting>
  <conditionalFormatting sqref="C17:L29">
    <cfRule type="expression" dxfId="41" priority="9">
      <formula>$G$5="Individual Medal (Scratch)"</formula>
    </cfRule>
    <cfRule type="expression" dxfId="40" priority="10">
      <formula>$G$5="Individual Medal (Scratch)"</formula>
    </cfRule>
  </conditionalFormatting>
  <conditionalFormatting sqref="F21">
    <cfRule type="expression" dxfId="39" priority="6">
      <formula>$G$3=$C$45</formula>
    </cfRule>
  </conditionalFormatting>
  <conditionalFormatting sqref="H21">
    <cfRule type="expression" dxfId="38" priority="5">
      <formula>$G$3=$C$45</formula>
    </cfRule>
  </conditionalFormatting>
  <conditionalFormatting sqref="K21">
    <cfRule type="expression" dxfId="37" priority="4">
      <formula>$G$3=$C$45</formula>
    </cfRule>
  </conditionalFormatting>
  <conditionalFormatting sqref="F22">
    <cfRule type="expression" dxfId="36" priority="3">
      <formula>$G$3=$C$45</formula>
    </cfRule>
  </conditionalFormatting>
  <conditionalFormatting sqref="H22">
    <cfRule type="expression" dxfId="35" priority="2">
      <formula>$G$3=$C$45</formula>
    </cfRule>
  </conditionalFormatting>
  <conditionalFormatting sqref="K22">
    <cfRule type="expression" dxfId="34" priority="1">
      <formula>$G$3=$C$45</formula>
    </cfRule>
  </conditionalFormatting>
  <dataValidations count="2">
    <dataValidation type="list" allowBlank="1" showInputMessage="1" showErrorMessage="1" sqref="G3">
      <formula1>$C$42:$C$45</formula1>
    </dataValidation>
    <dataValidation type="list" allowBlank="1" showInputMessage="1" showErrorMessage="1" sqref="G5">
      <formula1>$C$31:$C$38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F9" sqref="F9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24.28515625" customWidth="1"/>
  </cols>
  <sheetData>
    <row r="1" spans="3:16" ht="14.65" thickBot="1" x14ac:dyDescent="0.5"/>
    <row r="2" spans="3:16" ht="14.25" x14ac:dyDescent="0.45">
      <c r="C2" s="144" t="s">
        <v>22</v>
      </c>
      <c r="D2" s="145"/>
      <c r="E2" s="2"/>
      <c r="F2" s="2"/>
      <c r="G2" s="2"/>
      <c r="H2" s="2"/>
      <c r="I2" s="3"/>
    </row>
    <row r="3" spans="3:16" ht="22.15" customHeight="1" x14ac:dyDescent="0.45">
      <c r="C3" s="146" t="s">
        <v>23</v>
      </c>
      <c r="D3" s="147"/>
      <c r="E3" s="5"/>
      <c r="F3" s="30" t="s">
        <v>31</v>
      </c>
      <c r="G3" s="33" t="s">
        <v>27</v>
      </c>
      <c r="H3" s="97"/>
      <c r="I3" s="6"/>
      <c r="J3" s="38"/>
      <c r="K3" s="38"/>
      <c r="L3" s="38"/>
      <c r="N3" s="1"/>
      <c r="O3" s="1"/>
      <c r="P3" s="1"/>
    </row>
    <row r="4" spans="3:16" ht="20.100000000000001" customHeight="1" x14ac:dyDescent="0.65">
      <c r="C4" s="165" t="s">
        <v>25</v>
      </c>
      <c r="D4" s="166"/>
      <c r="E4" s="5"/>
      <c r="F4" s="30"/>
      <c r="G4" s="167"/>
      <c r="H4" s="167"/>
      <c r="I4" s="6"/>
      <c r="J4" s="38"/>
      <c r="K4" s="38"/>
      <c r="L4" s="38"/>
      <c r="N4" s="1"/>
      <c r="O4" s="1"/>
      <c r="P4" s="1"/>
    </row>
    <row r="5" spans="3:16" ht="22.15" customHeight="1" x14ac:dyDescent="0.45">
      <c r="C5" s="146"/>
      <c r="D5" s="147"/>
      <c r="E5" s="39" t="s">
        <v>21</v>
      </c>
      <c r="F5" s="40"/>
      <c r="G5" s="41" t="s">
        <v>5</v>
      </c>
      <c r="H5" s="5"/>
      <c r="I5" s="6"/>
    </row>
    <row r="6" spans="3:16" ht="14.25" x14ac:dyDescent="0.45">
      <c r="C6" s="4"/>
      <c r="D6" s="5"/>
      <c r="E6" s="5"/>
      <c r="F6" s="5"/>
      <c r="G6" s="5"/>
      <c r="H6" s="5"/>
      <c r="I6" s="6"/>
    </row>
    <row r="7" spans="3:16" ht="14.25" x14ac:dyDescent="0.45">
      <c r="C7" s="4"/>
      <c r="D7" s="5"/>
      <c r="E7" s="5"/>
      <c r="F7" s="18" t="s">
        <v>2</v>
      </c>
      <c r="G7" s="5"/>
      <c r="H7" s="18" t="s">
        <v>1</v>
      </c>
      <c r="I7" s="6"/>
    </row>
    <row r="8" spans="3:16" ht="14.25" x14ac:dyDescent="0.45">
      <c r="C8" s="4"/>
      <c r="D8" s="5"/>
      <c r="E8" s="5"/>
      <c r="F8" s="5"/>
      <c r="G8" s="5"/>
      <c r="H8" s="5"/>
      <c r="I8" s="6"/>
    </row>
    <row r="9" spans="3:16" ht="20.100000000000001" customHeight="1" x14ac:dyDescent="0.45">
      <c r="C9" s="4"/>
      <c r="D9" s="5"/>
      <c r="E9" s="42" t="s">
        <v>11</v>
      </c>
      <c r="F9" s="47">
        <v>36</v>
      </c>
      <c r="G9" s="42" t="s">
        <v>11</v>
      </c>
      <c r="H9" s="47">
        <v>36</v>
      </c>
      <c r="I9" s="6"/>
    </row>
    <row r="10" spans="3:16" ht="20.100000000000001" customHeight="1" x14ac:dyDescent="0.45">
      <c r="C10" s="4"/>
      <c r="D10" s="5"/>
      <c r="E10" s="42" t="s">
        <v>0</v>
      </c>
      <c r="F10" s="29">
        <v>36</v>
      </c>
      <c r="G10" s="42" t="s">
        <v>0</v>
      </c>
      <c r="H10" s="29">
        <v>36</v>
      </c>
      <c r="I10" s="6"/>
    </row>
    <row r="11" spans="3:16" ht="20.100000000000001" customHeight="1" x14ac:dyDescent="0.45">
      <c r="C11" s="4"/>
      <c r="D11" s="5"/>
      <c r="E11" s="42" t="s">
        <v>12</v>
      </c>
      <c r="F11" s="29">
        <v>113</v>
      </c>
      <c r="G11" s="42" t="s">
        <v>12</v>
      </c>
      <c r="H11" s="29">
        <v>113</v>
      </c>
      <c r="I11" s="6"/>
    </row>
    <row r="12" spans="3:16" ht="14.25" x14ac:dyDescent="0.45">
      <c r="C12" s="4"/>
      <c r="D12" s="5"/>
      <c r="E12" s="10" t="s">
        <v>16</v>
      </c>
      <c r="F12" s="35">
        <f>F9-F10</f>
        <v>0</v>
      </c>
      <c r="G12" s="10" t="s">
        <v>16</v>
      </c>
      <c r="H12" s="35">
        <f>H9-H10</f>
        <v>0</v>
      </c>
      <c r="I12" s="6"/>
      <c r="J12" s="23"/>
    </row>
    <row r="13" spans="3:16" ht="14.25" x14ac:dyDescent="0.45">
      <c r="C13" s="4"/>
      <c r="D13" s="5"/>
      <c r="E13" s="5"/>
      <c r="F13" s="5"/>
      <c r="G13" s="5"/>
      <c r="H13" s="5"/>
      <c r="I13" s="6"/>
    </row>
    <row r="14" spans="3:16" ht="18" x14ac:dyDescent="0.55000000000000004">
      <c r="C14" s="4"/>
      <c r="D14" s="5"/>
      <c r="E14" s="12" t="s">
        <v>13</v>
      </c>
      <c r="F14" s="17">
        <f>D40</f>
        <v>0</v>
      </c>
      <c r="G14" s="13"/>
      <c r="H14" s="17">
        <f>E40</f>
        <v>0</v>
      </c>
      <c r="I14" s="6"/>
    </row>
    <row r="15" spans="3:16" ht="14.25" x14ac:dyDescent="0.45">
      <c r="C15" s="4"/>
      <c r="D15" s="5"/>
      <c r="E15" s="7"/>
      <c r="F15" s="8"/>
      <c r="G15" s="5"/>
      <c r="H15" s="8"/>
      <c r="I15" s="6"/>
    </row>
    <row r="16" spans="3:16" ht="14.25" x14ac:dyDescent="0.45">
      <c r="C16" s="168" t="s">
        <v>61</v>
      </c>
      <c r="D16" s="169"/>
      <c r="E16" s="169"/>
      <c r="F16" s="169"/>
      <c r="G16" s="169"/>
      <c r="H16" s="169"/>
      <c r="I16" s="170"/>
    </row>
    <row r="17" spans="1:11" ht="14.25" x14ac:dyDescent="0.45">
      <c r="C17" s="4"/>
      <c r="D17" s="5"/>
      <c r="E17" s="5"/>
      <c r="F17" s="5"/>
      <c r="G17" s="5"/>
      <c r="H17" s="5"/>
      <c r="I17" s="6"/>
    </row>
    <row r="18" spans="1:11" ht="14.25" x14ac:dyDescent="0.45">
      <c r="C18" s="4"/>
      <c r="D18" s="58" t="s">
        <v>17</v>
      </c>
      <c r="E18" s="5"/>
      <c r="F18" s="5"/>
      <c r="G18" s="5"/>
      <c r="H18" s="5"/>
      <c r="I18" s="6"/>
    </row>
    <row r="19" spans="1:11" ht="14.25" x14ac:dyDescent="0.45">
      <c r="C19" s="4"/>
      <c r="D19" s="9" t="s">
        <v>3</v>
      </c>
      <c r="E19" s="5"/>
      <c r="F19" s="57">
        <v>12.5</v>
      </c>
      <c r="G19" s="5"/>
      <c r="H19" s="20">
        <v>12.5</v>
      </c>
      <c r="I19" s="6"/>
    </row>
    <row r="20" spans="1:11" ht="5.65" customHeight="1" x14ac:dyDescent="0.45">
      <c r="C20" s="4"/>
      <c r="D20" s="7"/>
      <c r="E20" s="5"/>
      <c r="F20" s="92"/>
      <c r="G20" s="5"/>
      <c r="H20" s="92"/>
      <c r="I20" s="6"/>
    </row>
    <row r="21" spans="1:11" ht="14.25" x14ac:dyDescent="0.45">
      <c r="C21" s="4"/>
      <c r="D21" s="9" t="s">
        <v>18</v>
      </c>
      <c r="E21" s="5"/>
      <c r="F21" s="103">
        <f>F51</f>
        <v>6</v>
      </c>
      <c r="G21" s="21"/>
      <c r="H21" s="103">
        <f>H51</f>
        <v>6</v>
      </c>
      <c r="I21" s="22"/>
      <c r="K21" s="104"/>
    </row>
    <row r="22" spans="1:11" ht="14.25" x14ac:dyDescent="0.45">
      <c r="C22" s="4"/>
      <c r="D22" s="7" t="s">
        <v>4</v>
      </c>
      <c r="E22" s="19">
        <f>F40</f>
        <v>0.95</v>
      </c>
      <c r="F22" s="120">
        <f>ROUND(F21*F40,2)</f>
        <v>5.7</v>
      </c>
      <c r="G22" s="5"/>
      <c r="H22" s="120">
        <f>ROUND(H21*F40,2)</f>
        <v>5.7</v>
      </c>
      <c r="I22" s="6"/>
    </row>
    <row r="23" spans="1:11" ht="14.25" x14ac:dyDescent="0.45">
      <c r="C23" s="4"/>
      <c r="D23" s="9" t="s">
        <v>13</v>
      </c>
      <c r="E23" s="5"/>
      <c r="F23" s="11">
        <f>F14</f>
        <v>0</v>
      </c>
      <c r="G23" s="8"/>
      <c r="H23" s="11">
        <f>H14</f>
        <v>0</v>
      </c>
      <c r="I23" s="6"/>
    </row>
    <row r="24" spans="1:11" ht="14.25" x14ac:dyDescent="0.45">
      <c r="C24" s="4"/>
      <c r="D24" s="7"/>
      <c r="E24" s="5"/>
      <c r="F24" s="8"/>
      <c r="G24" s="8"/>
      <c r="H24" s="8"/>
      <c r="I24" s="6"/>
    </row>
    <row r="25" spans="1:11" ht="18" x14ac:dyDescent="0.55000000000000004">
      <c r="C25" s="4"/>
      <c r="D25" s="14" t="s">
        <v>19</v>
      </c>
      <c r="E25" s="15"/>
      <c r="F25" s="16">
        <f>ROUND(F22+F23,0)</f>
        <v>6</v>
      </c>
      <c r="G25" s="13"/>
      <c r="H25" s="16">
        <f>ROUND(H22+H23,0)</f>
        <v>6</v>
      </c>
      <c r="I25" s="6"/>
    </row>
    <row r="26" spans="1:11" ht="14.25" x14ac:dyDescent="0.45">
      <c r="C26" s="4"/>
      <c r="D26" s="5"/>
      <c r="E26" s="5"/>
      <c r="F26" s="5"/>
      <c r="G26" s="5"/>
      <c r="H26" s="5"/>
      <c r="I26" s="6"/>
    </row>
    <row r="27" spans="1:11" ht="14.25" x14ac:dyDescent="0.45">
      <c r="C27" s="4"/>
      <c r="D27" s="5"/>
      <c r="E27" s="5"/>
      <c r="F27" s="5"/>
      <c r="G27" s="5"/>
      <c r="H27" s="5"/>
      <c r="I27" s="6"/>
    </row>
    <row r="28" spans="1:11" x14ac:dyDescent="0.25">
      <c r="C28" s="148" t="s">
        <v>40</v>
      </c>
      <c r="D28" s="149"/>
      <c r="E28" s="149"/>
      <c r="F28" s="149"/>
      <c r="G28" s="149"/>
      <c r="H28" s="149"/>
      <c r="I28" s="150"/>
    </row>
    <row r="29" spans="1:11" ht="15.75" thickBot="1" x14ac:dyDescent="0.3">
      <c r="C29" s="151"/>
      <c r="D29" s="152"/>
      <c r="E29" s="152"/>
      <c r="F29" s="152"/>
      <c r="G29" s="152"/>
      <c r="H29" s="152"/>
      <c r="I29" s="153"/>
    </row>
    <row r="30" spans="1:11" ht="14.25" hidden="1" x14ac:dyDescent="0.45">
      <c r="D30" t="s">
        <v>14</v>
      </c>
      <c r="E30" t="s">
        <v>15</v>
      </c>
    </row>
    <row r="31" spans="1:11" ht="14.25" hidden="1" x14ac:dyDescent="0.45">
      <c r="A31">
        <v>1</v>
      </c>
      <c r="C31" t="s">
        <v>5</v>
      </c>
      <c r="D31" s="1">
        <f>IF($H$10&gt;$F$10,0,$F$10-$H$10)</f>
        <v>0</v>
      </c>
      <c r="E31" s="1">
        <f>IF($F$10&gt;$H$10,0,$H$10-$F$10)</f>
        <v>0</v>
      </c>
      <c r="F31">
        <v>0.95</v>
      </c>
    </row>
    <row r="32" spans="1:11" ht="14.25" hidden="1" x14ac:dyDescent="0.45">
      <c r="A32">
        <v>2</v>
      </c>
      <c r="C32" t="s">
        <v>24</v>
      </c>
      <c r="D32" s="1">
        <f>IF($H$10&gt;$F$10,0,$F$81-$H$10)</f>
        <v>-36</v>
      </c>
      <c r="E32" s="1">
        <f>IF($F$10&gt;$H$10,0,$H$10-$F$10)</f>
        <v>0</v>
      </c>
      <c r="F32">
        <v>1</v>
      </c>
    </row>
    <row r="33" spans="1:8" ht="14.25" hidden="1" x14ac:dyDescent="0.45">
      <c r="A33">
        <v>3</v>
      </c>
      <c r="C33" t="s">
        <v>6</v>
      </c>
      <c r="D33" s="1">
        <v>0</v>
      </c>
      <c r="E33" s="1">
        <v>0</v>
      </c>
      <c r="F33">
        <v>0.95</v>
      </c>
    </row>
    <row r="34" spans="1:8" ht="14.25" hidden="1" x14ac:dyDescent="0.45">
      <c r="A34">
        <v>4</v>
      </c>
      <c r="C34" t="s">
        <v>7</v>
      </c>
      <c r="D34" s="1">
        <f>IF($H$10&gt;$F$10,0,$F$81-$H$10)</f>
        <v>-36</v>
      </c>
      <c r="E34" s="1">
        <f>IF($F$10&gt;$H$10,0,$H$10-$F$10)</f>
        <v>0</v>
      </c>
      <c r="F34">
        <v>1</v>
      </c>
    </row>
    <row r="35" spans="1:8" ht="14.25" hidden="1" x14ac:dyDescent="0.45">
      <c r="A35">
        <v>5</v>
      </c>
      <c r="C35" t="s">
        <v>8</v>
      </c>
      <c r="D35" s="1">
        <f>IF($H$10&gt;$F$10,0,$F$81-$H$10)</f>
        <v>-36</v>
      </c>
      <c r="E35" s="1">
        <f>IF($F$10&gt;$H$10,0,$H$10-$F$10)</f>
        <v>0</v>
      </c>
      <c r="F35">
        <v>0.85</v>
      </c>
    </row>
    <row r="36" spans="1:8" ht="14.25" hidden="1" x14ac:dyDescent="0.45">
      <c r="A36">
        <v>6</v>
      </c>
      <c r="C36" t="s">
        <v>9</v>
      </c>
      <c r="D36" s="1">
        <v>0</v>
      </c>
      <c r="E36" s="1">
        <v>0</v>
      </c>
      <c r="F36">
        <v>0.85</v>
      </c>
    </row>
    <row r="37" spans="1:8" ht="14.25" hidden="1" x14ac:dyDescent="0.45">
      <c r="A37">
        <v>7</v>
      </c>
      <c r="C37" t="s">
        <v>20</v>
      </c>
      <c r="D37" s="1">
        <v>0</v>
      </c>
      <c r="E37" s="1">
        <v>0</v>
      </c>
      <c r="F37">
        <v>0.9</v>
      </c>
    </row>
    <row r="38" spans="1:8" ht="14.25" hidden="1" x14ac:dyDescent="0.45">
      <c r="A38">
        <v>8</v>
      </c>
      <c r="C38" t="s">
        <v>10</v>
      </c>
      <c r="D38" s="1">
        <f>IF($H$10&gt;$F$10,0,$F$81-$H$10)</f>
        <v>-36</v>
      </c>
      <c r="E38" s="1">
        <f>IF($F$10&gt;$H$10,0,$H$10-$F$10)</f>
        <v>0</v>
      </c>
      <c r="F38">
        <v>0.9</v>
      </c>
    </row>
    <row r="39" spans="1:8" ht="14.25" hidden="1" x14ac:dyDescent="0.45"/>
    <row r="40" spans="1:8" ht="14.25" hidden="1" x14ac:dyDescent="0.45">
      <c r="D40" s="1">
        <f>VLOOKUP(G5,C31:D38,2,FALSE)</f>
        <v>0</v>
      </c>
      <c r="E40" s="1">
        <f>VLOOKUP(G5,C31:E38,3,FALSE)</f>
        <v>0</v>
      </c>
      <c r="F40">
        <f>VLOOKUP(G5,C31:F38,4,FALSE)</f>
        <v>0.95</v>
      </c>
    </row>
    <row r="41" spans="1:8" ht="14.25" hidden="1" x14ac:dyDescent="0.45"/>
    <row r="42" spans="1:8" ht="14.25" hidden="1" x14ac:dyDescent="0.45">
      <c r="C42" t="s">
        <v>27</v>
      </c>
    </row>
    <row r="43" spans="1:8" ht="14.25" hidden="1" x14ac:dyDescent="0.45">
      <c r="C43" t="s">
        <v>28</v>
      </c>
    </row>
    <row r="44" spans="1:8" ht="14.25" hidden="1" x14ac:dyDescent="0.45">
      <c r="C44" t="s">
        <v>29</v>
      </c>
    </row>
    <row r="45" spans="1:8" ht="14.25" hidden="1" x14ac:dyDescent="0.45">
      <c r="C45" t="s">
        <v>30</v>
      </c>
      <c r="F45" t="s">
        <v>75</v>
      </c>
      <c r="H45" t="s">
        <v>75</v>
      </c>
    </row>
    <row r="46" spans="1:8" ht="14.25" hidden="1" x14ac:dyDescent="0.45"/>
    <row r="47" spans="1:8" ht="14.25" hidden="1" x14ac:dyDescent="0.45">
      <c r="E47" t="s">
        <v>76</v>
      </c>
      <c r="F47" s="52">
        <f>((F19/2)*F11/113)+F12</f>
        <v>6.25</v>
      </c>
      <c r="H47" s="52">
        <f>((H19/2)*H11/113)+H12</f>
        <v>6.25</v>
      </c>
    </row>
    <row r="48" spans="1:8" ht="14.25" hidden="1" x14ac:dyDescent="0.45">
      <c r="F48" s="102">
        <f>IF(F47&lt;0,F47*-1,F47)</f>
        <v>6.25</v>
      </c>
      <c r="H48" s="102">
        <f>IF(H47&lt;0,H47*-1,H47)</f>
        <v>6.25</v>
      </c>
    </row>
    <row r="49" spans="6:8" ht="14.25" hidden="1" x14ac:dyDescent="0.45">
      <c r="F49">
        <f>IF(F48-INT(F48)=0.5,IF(F47&lt;0,F47+0.001,F47),F47)</f>
        <v>6.25</v>
      </c>
      <c r="H49" s="102">
        <f>IF(H48-INT(H48)=0.5,IF(H47&lt;0,H47+0.001,H47),H47)</f>
        <v>6.25</v>
      </c>
    </row>
    <row r="50" spans="6:8" ht="14.25" hidden="1" x14ac:dyDescent="0.45">
      <c r="F50">
        <f>ROUND(F49,0)</f>
        <v>6</v>
      </c>
      <c r="H50">
        <f>ROUND(H49,0)</f>
        <v>6</v>
      </c>
    </row>
    <row r="51" spans="6:8" ht="14.25" hidden="1" x14ac:dyDescent="0.45">
      <c r="F51">
        <f>IF($G$3=$C$45,F47,F50)</f>
        <v>6</v>
      </c>
      <c r="H51" s="102">
        <f>IF($G$3=$C$45,H47,H50)</f>
        <v>6</v>
      </c>
    </row>
    <row r="52" spans="6:8" ht="14.25" hidden="1" x14ac:dyDescent="0.45"/>
    <row r="53" spans="6:8" ht="14.25" hidden="1" x14ac:dyDescent="0.45">
      <c r="F53" t="s">
        <v>19</v>
      </c>
      <c r="H53" t="s">
        <v>19</v>
      </c>
    </row>
    <row r="54" spans="6:8" ht="14.25" hidden="1" x14ac:dyDescent="0.45"/>
    <row r="55" spans="6:8" ht="14.25" hidden="1" x14ac:dyDescent="0.45">
      <c r="F55" s="102">
        <f>F22+F23</f>
        <v>5.7</v>
      </c>
      <c r="H55" s="102">
        <f>H22+H23</f>
        <v>5.7</v>
      </c>
    </row>
    <row r="56" spans="6:8" ht="14.25" hidden="1" x14ac:dyDescent="0.45">
      <c r="F56" s="102">
        <f>IF(F55&lt;0,ROUND(F55*-1,3),ROUND(F55,3))</f>
        <v>5.7</v>
      </c>
      <c r="H56" s="102">
        <f>IF(H55&lt;0,ROUND(H55*-1,3),ROUND(H55,3))</f>
        <v>5.7</v>
      </c>
    </row>
    <row r="57" spans="6:8" ht="14.25" hidden="1" x14ac:dyDescent="0.45">
      <c r="F57" s="102">
        <f>IF(F56-INT(F56)=0.5,IF(F55&lt;0,F55+0.001,F55),F55)</f>
        <v>5.7</v>
      </c>
      <c r="H57" s="102">
        <f>IF(H56-INT(H56)=0.5,IF(H55&lt;0,H55+0.001,H55),H55)</f>
        <v>5.7</v>
      </c>
    </row>
    <row r="58" spans="6:8" ht="14.25" hidden="1" x14ac:dyDescent="0.45">
      <c r="F58">
        <f>ROUND(F57,0)</f>
        <v>6</v>
      </c>
      <c r="H58">
        <f>ROUND(H57,0)</f>
        <v>6</v>
      </c>
    </row>
  </sheetData>
  <sheetProtection algorithmName="SHA-512" hashValue="2hlftCQNeH59GAIVz8F9X/5KiTXg7ZjTMb7XWDtv/IeAb5lvKJDn0v6rdD28UXPsm0YhI6o9vqmFXao6lP2QdQ==" saltValue="zLNTJFlOQmyMRiz6rakZUQ==" spinCount="100000" sheet="1" selectLockedCells="1"/>
  <mergeCells count="7">
    <mergeCell ref="C2:D2"/>
    <mergeCell ref="C5:D5"/>
    <mergeCell ref="C28:I29"/>
    <mergeCell ref="C4:D4"/>
    <mergeCell ref="C3:D3"/>
    <mergeCell ref="G4:H4"/>
    <mergeCell ref="C16:I16"/>
  </mergeCells>
  <conditionalFormatting sqref="C17:I29">
    <cfRule type="expression" dxfId="33" priority="5">
      <formula>$G$5="Individual Medal (Scratch)"</formula>
    </cfRule>
  </conditionalFormatting>
  <conditionalFormatting sqref="C16:I16">
    <cfRule type="expression" dxfId="32" priority="3">
      <formula>$G$5=$C$32</formula>
    </cfRule>
    <cfRule type="expression" dxfId="31" priority="4">
      <formula>$G$5&lt;&gt;$C$32</formula>
    </cfRule>
  </conditionalFormatting>
  <conditionalFormatting sqref="F21">
    <cfRule type="expression" dxfId="30" priority="2">
      <formula>$G$3=$C$45</formula>
    </cfRule>
  </conditionalFormatting>
  <conditionalFormatting sqref="H21">
    <cfRule type="expression" dxfId="29" priority="1">
      <formula>$G$3=$C$45</formula>
    </cfRule>
  </conditionalFormatting>
  <dataValidations count="3">
    <dataValidation type="list" allowBlank="1" showInputMessage="1" showErrorMessage="1" sqref="G5">
      <formula1>$C$31:$C$38</formula1>
    </dataValidation>
    <dataValidation type="list" allowBlank="1" showInputMessage="1" showErrorMessage="1" sqref="G6">
      <formula1>#REF!</formula1>
    </dataValidation>
    <dataValidation type="list" allowBlank="1" showInputMessage="1" showErrorMessage="1" sqref="G3">
      <formula1>$C$42:$C$45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workbookViewId="0">
      <selection activeCell="F21" sqref="F21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9" max="9" width="10.140625" customWidth="1"/>
    <col min="13" max="13" width="9" customWidth="1"/>
    <col min="14" max="15" width="9" style="1" customWidth="1"/>
    <col min="16" max="19" width="9" hidden="1" customWidth="1"/>
  </cols>
  <sheetData>
    <row r="1" spans="3:19" ht="14.65" thickBot="1" x14ac:dyDescent="0.5"/>
    <row r="2" spans="3:19" ht="14.25" x14ac:dyDescent="0.45">
      <c r="C2" s="179" t="s">
        <v>22</v>
      </c>
      <c r="D2" s="180"/>
      <c r="E2" s="59"/>
      <c r="F2" s="59"/>
      <c r="G2" s="59"/>
      <c r="H2" s="59"/>
      <c r="I2" s="59"/>
      <c r="J2" s="59"/>
      <c r="K2" s="59"/>
      <c r="L2" s="59"/>
      <c r="M2" s="59"/>
      <c r="N2" s="60"/>
      <c r="O2" s="61"/>
    </row>
    <row r="3" spans="3:19" ht="22.35" customHeight="1" x14ac:dyDescent="0.45">
      <c r="C3" s="181" t="s">
        <v>23</v>
      </c>
      <c r="D3" s="182"/>
      <c r="E3" s="62"/>
      <c r="F3" s="63" t="s">
        <v>31</v>
      </c>
      <c r="G3" s="183" t="s">
        <v>27</v>
      </c>
      <c r="H3" s="183"/>
      <c r="I3" s="62"/>
      <c r="J3" s="62"/>
      <c r="K3" s="62"/>
      <c r="L3" s="62"/>
      <c r="M3" s="62"/>
      <c r="N3" s="64"/>
      <c r="O3" s="65"/>
    </row>
    <row r="4" spans="3:19" ht="14.25" x14ac:dyDescent="0.45">
      <c r="C4" s="66"/>
      <c r="D4" s="67"/>
      <c r="E4" s="62"/>
      <c r="F4" s="62"/>
      <c r="G4" s="62"/>
      <c r="H4" s="62"/>
      <c r="I4" s="62"/>
      <c r="J4" s="62"/>
      <c r="K4" s="62"/>
      <c r="L4" s="62"/>
      <c r="M4" s="62"/>
      <c r="N4" s="64"/>
      <c r="O4" s="65"/>
    </row>
    <row r="5" spans="3:19" ht="22.35" customHeight="1" x14ac:dyDescent="0.65">
      <c r="C5" s="184" t="s">
        <v>41</v>
      </c>
      <c r="D5" s="185"/>
      <c r="E5" s="68" t="s">
        <v>21</v>
      </c>
      <c r="F5" s="69"/>
      <c r="G5" s="183" t="s">
        <v>62</v>
      </c>
      <c r="H5" s="183"/>
      <c r="I5" s="62"/>
      <c r="J5" s="62"/>
      <c r="K5" s="62"/>
      <c r="L5" s="62"/>
      <c r="M5" s="62"/>
      <c r="N5" s="64"/>
      <c r="O5" s="65"/>
    </row>
    <row r="6" spans="3:19" ht="14.25" x14ac:dyDescent="0.45">
      <c r="C6" s="70"/>
      <c r="D6" s="62"/>
      <c r="E6" s="62"/>
      <c r="F6" s="62"/>
      <c r="G6" s="62"/>
      <c r="H6" s="62"/>
      <c r="I6" s="62"/>
      <c r="J6" s="62"/>
      <c r="K6" s="62"/>
      <c r="L6" s="62"/>
      <c r="M6" s="62"/>
      <c r="N6" s="64"/>
      <c r="O6" s="65"/>
    </row>
    <row r="7" spans="3:19" ht="14.25" x14ac:dyDescent="0.45">
      <c r="C7" s="70"/>
      <c r="D7" s="62"/>
      <c r="E7" s="62"/>
      <c r="F7" s="67" t="s">
        <v>37</v>
      </c>
      <c r="G7" s="64"/>
      <c r="H7" s="67" t="s">
        <v>38</v>
      </c>
      <c r="I7" s="64"/>
      <c r="J7" s="64"/>
      <c r="K7" s="67" t="s">
        <v>39</v>
      </c>
      <c r="L7" s="62"/>
      <c r="M7" s="73"/>
      <c r="N7" s="106"/>
      <c r="O7" s="107"/>
      <c r="Q7" s="1" t="s">
        <v>34</v>
      </c>
      <c r="R7" s="1" t="s">
        <v>36</v>
      </c>
      <c r="S7" s="1" t="s">
        <v>16</v>
      </c>
    </row>
    <row r="8" spans="3:19" ht="14.25" x14ac:dyDescent="0.45">
      <c r="C8" s="70"/>
      <c r="D8" s="62"/>
      <c r="E8" s="62"/>
      <c r="F8" s="62"/>
      <c r="G8" s="62"/>
      <c r="H8" s="62"/>
      <c r="I8" s="62"/>
      <c r="J8" s="62"/>
      <c r="K8" s="62"/>
      <c r="L8" s="62"/>
      <c r="M8" s="74"/>
      <c r="N8" s="74"/>
      <c r="O8" s="107"/>
      <c r="Q8" s="1"/>
      <c r="R8" s="1"/>
      <c r="S8" s="1"/>
    </row>
    <row r="9" spans="3:19" ht="20.100000000000001" customHeight="1" x14ac:dyDescent="0.45">
      <c r="C9" s="70"/>
      <c r="D9" s="62"/>
      <c r="E9" s="71" t="s">
        <v>11</v>
      </c>
      <c r="F9" s="50">
        <v>71.099999999999994</v>
      </c>
      <c r="G9" s="71" t="s">
        <v>11</v>
      </c>
      <c r="H9" s="50">
        <v>69.400000000000006</v>
      </c>
      <c r="I9" s="62"/>
      <c r="J9" s="71" t="s">
        <v>11</v>
      </c>
      <c r="K9" s="50">
        <v>71.099999999999994</v>
      </c>
      <c r="L9" s="62"/>
      <c r="M9" s="72"/>
      <c r="N9" s="109"/>
      <c r="O9" s="107"/>
      <c r="Q9" s="1">
        <f>F9</f>
        <v>71.099999999999994</v>
      </c>
      <c r="R9" s="1">
        <f>F10</f>
        <v>70</v>
      </c>
      <c r="S9" s="1">
        <f>F12</f>
        <v>35</v>
      </c>
    </row>
    <row r="10" spans="3:19" ht="20.100000000000001" customHeight="1" x14ac:dyDescent="0.45">
      <c r="C10" s="70"/>
      <c r="D10" s="62"/>
      <c r="E10" s="71" t="s">
        <v>0</v>
      </c>
      <c r="F10" s="49">
        <v>70</v>
      </c>
      <c r="G10" s="71" t="s">
        <v>0</v>
      </c>
      <c r="H10" s="49">
        <v>69</v>
      </c>
      <c r="I10" s="62"/>
      <c r="J10" s="71" t="s">
        <v>0</v>
      </c>
      <c r="K10" s="49">
        <v>70</v>
      </c>
      <c r="L10" s="62"/>
      <c r="M10" s="72"/>
      <c r="N10" s="110"/>
      <c r="O10" s="107"/>
      <c r="Q10" s="1">
        <f>H9</f>
        <v>69.400000000000006</v>
      </c>
      <c r="R10" s="1">
        <f>H10</f>
        <v>69</v>
      </c>
      <c r="S10" s="1">
        <f>H12</f>
        <v>36</v>
      </c>
    </row>
    <row r="11" spans="3:19" ht="20.100000000000001" customHeight="1" x14ac:dyDescent="0.45">
      <c r="C11" s="70"/>
      <c r="D11" s="62"/>
      <c r="E11" s="71" t="s">
        <v>12</v>
      </c>
      <c r="F11" s="49">
        <v>125</v>
      </c>
      <c r="G11" s="71" t="s">
        <v>12</v>
      </c>
      <c r="H11" s="49">
        <v>118</v>
      </c>
      <c r="I11" s="62"/>
      <c r="J11" s="71" t="s">
        <v>12</v>
      </c>
      <c r="K11" s="49">
        <v>125</v>
      </c>
      <c r="L11" s="62"/>
      <c r="M11" s="72"/>
      <c r="N11" s="110"/>
      <c r="O11" s="107"/>
      <c r="Q11" s="1">
        <f>K9</f>
        <v>71.099999999999994</v>
      </c>
      <c r="R11" s="1">
        <f>K10</f>
        <v>70</v>
      </c>
      <c r="S11" s="1">
        <f>K12</f>
        <v>35</v>
      </c>
    </row>
    <row r="12" spans="3:19" ht="14.25" x14ac:dyDescent="0.45">
      <c r="C12" s="70"/>
      <c r="D12" s="62"/>
      <c r="E12" s="72" t="s">
        <v>16</v>
      </c>
      <c r="F12" s="73">
        <f>IF(F9&gt;0,ROUND(36-(F9-F10),0),0)</f>
        <v>35</v>
      </c>
      <c r="G12" s="72" t="s">
        <v>16</v>
      </c>
      <c r="H12" s="73">
        <f>IF(H9&gt;0,ROUND(36-(H9-H10),0),0)</f>
        <v>36</v>
      </c>
      <c r="I12" s="74"/>
      <c r="J12" s="72" t="s">
        <v>16</v>
      </c>
      <c r="K12" s="73">
        <f>IF(K9&gt;0,ROUND(36-(K9-K10),0),0)</f>
        <v>35</v>
      </c>
      <c r="L12" s="122"/>
      <c r="M12" s="72"/>
      <c r="N12" s="73"/>
      <c r="O12" s="107"/>
      <c r="Q12" s="37">
        <f>N9</f>
        <v>0</v>
      </c>
      <c r="R12" s="1">
        <f>N10</f>
        <v>0</v>
      </c>
      <c r="S12" s="1">
        <f>N12</f>
        <v>0</v>
      </c>
    </row>
    <row r="13" spans="3:19" ht="10.5" customHeight="1" x14ac:dyDescent="0.45">
      <c r="C13" s="70"/>
      <c r="D13" s="62"/>
      <c r="E13" s="62"/>
      <c r="F13" s="62"/>
      <c r="G13" s="62"/>
      <c r="H13" s="62"/>
      <c r="I13" s="62"/>
      <c r="J13" s="62"/>
      <c r="K13" s="62"/>
      <c r="L13" s="62"/>
      <c r="M13" s="74"/>
      <c r="N13" s="74"/>
      <c r="O13" s="107"/>
      <c r="P13" s="36" t="s">
        <v>35</v>
      </c>
      <c r="Q13" s="1">
        <f>SMALL(Q9:Q12,COUNTIF($Q$9:$Q$12,0)+1)</f>
        <v>69.400000000000006</v>
      </c>
      <c r="R13" s="1">
        <f>SMALL(R9:R12,COUNTIF($R$9:$R$12,0)+1)</f>
        <v>69</v>
      </c>
      <c r="S13" s="1">
        <f>MAX(S9:S12)</f>
        <v>36</v>
      </c>
    </row>
    <row r="14" spans="3:19" ht="15.75" x14ac:dyDescent="0.5">
      <c r="C14" s="70"/>
      <c r="D14" s="62"/>
      <c r="E14" s="75" t="s">
        <v>13</v>
      </c>
      <c r="F14" s="76">
        <f>D38</f>
        <v>1</v>
      </c>
      <c r="G14" s="77"/>
      <c r="H14" s="76">
        <f>E38</f>
        <v>0</v>
      </c>
      <c r="I14" s="62"/>
      <c r="J14" s="62"/>
      <c r="K14" s="76">
        <f>F38</f>
        <v>1</v>
      </c>
      <c r="L14" s="62"/>
      <c r="M14" s="74"/>
      <c r="N14" s="108"/>
      <c r="O14" s="107"/>
    </row>
    <row r="15" spans="3:19" ht="14.25" x14ac:dyDescent="0.45">
      <c r="C15" s="70"/>
      <c r="D15" s="62"/>
      <c r="E15" s="71"/>
      <c r="F15" s="64"/>
      <c r="G15" s="62"/>
      <c r="H15" s="64"/>
      <c r="I15" s="62"/>
      <c r="J15" s="62"/>
      <c r="K15" s="62"/>
      <c r="L15" s="62"/>
      <c r="M15" s="62"/>
      <c r="N15" s="64"/>
      <c r="O15" s="65"/>
    </row>
    <row r="16" spans="3:19" ht="14.25" x14ac:dyDescent="0.45">
      <c r="C16" s="70"/>
      <c r="D16" s="62"/>
      <c r="E16" s="71"/>
      <c r="F16" s="64"/>
      <c r="G16" s="62"/>
      <c r="H16" s="64"/>
      <c r="I16" s="62"/>
      <c r="J16" s="62"/>
      <c r="K16" s="62"/>
      <c r="L16" s="62"/>
      <c r="M16" s="62"/>
      <c r="N16" s="64"/>
      <c r="O16" s="65"/>
    </row>
    <row r="17" spans="1:24" ht="14.25" x14ac:dyDescent="0.45">
      <c r="C17" s="70"/>
      <c r="D17" s="62"/>
      <c r="E17" s="62"/>
      <c r="F17" s="78" t="s">
        <v>47</v>
      </c>
      <c r="G17" s="79"/>
      <c r="H17" s="80" t="s">
        <v>44</v>
      </c>
      <c r="I17" s="67"/>
      <c r="J17" s="67"/>
      <c r="K17" s="78" t="s">
        <v>45</v>
      </c>
      <c r="L17" s="79"/>
      <c r="M17" s="79"/>
      <c r="N17" s="80" t="s">
        <v>46</v>
      </c>
      <c r="O17" s="65"/>
    </row>
    <row r="18" spans="1:24" ht="14.25" x14ac:dyDescent="0.45">
      <c r="C18" s="70"/>
      <c r="D18" s="81" t="s">
        <v>17</v>
      </c>
      <c r="E18" s="62"/>
      <c r="F18" s="62"/>
      <c r="G18" s="62"/>
      <c r="H18" s="62"/>
      <c r="I18" s="62"/>
      <c r="J18" s="62"/>
      <c r="K18" s="62"/>
      <c r="L18" s="62"/>
      <c r="M18" s="62"/>
      <c r="N18" s="64" t="s">
        <v>33</v>
      </c>
      <c r="O18" s="65"/>
    </row>
    <row r="19" spans="1:24" ht="14.25" x14ac:dyDescent="0.45">
      <c r="C19" s="70"/>
      <c r="D19" s="46"/>
      <c r="E19" s="71" t="s">
        <v>3</v>
      </c>
      <c r="F19" s="51">
        <v>9.3000000000000007</v>
      </c>
      <c r="G19" s="62"/>
      <c r="H19" s="51">
        <v>9.3000000000000007</v>
      </c>
      <c r="I19" s="62"/>
      <c r="J19" s="62"/>
      <c r="K19" s="51">
        <v>9.3000000000000007</v>
      </c>
      <c r="L19" s="62"/>
      <c r="M19" s="62"/>
      <c r="N19" s="51">
        <v>10</v>
      </c>
      <c r="O19" s="65"/>
    </row>
    <row r="20" spans="1:24" ht="3.4" customHeight="1" x14ac:dyDescent="0.45">
      <c r="C20" s="82"/>
      <c r="D20" s="46"/>
      <c r="E20" s="62"/>
      <c r="F20" s="46"/>
      <c r="G20" s="62"/>
      <c r="H20" s="46"/>
      <c r="I20" s="62"/>
      <c r="J20" s="62"/>
      <c r="K20" s="46"/>
      <c r="L20" s="62"/>
      <c r="M20" s="62"/>
      <c r="N20" s="64"/>
      <c r="O20" s="65"/>
    </row>
    <row r="21" spans="1:24" ht="18" customHeight="1" x14ac:dyDescent="0.45">
      <c r="C21" s="82"/>
      <c r="D21" s="46"/>
      <c r="E21" s="62" t="s">
        <v>52</v>
      </c>
      <c r="F21" s="51" t="s">
        <v>48</v>
      </c>
      <c r="G21" s="62"/>
      <c r="H21" s="51" t="s">
        <v>48</v>
      </c>
      <c r="I21" s="62"/>
      <c r="J21" s="62"/>
      <c r="K21" s="51" t="s">
        <v>48</v>
      </c>
      <c r="L21" s="62"/>
      <c r="M21" s="62"/>
      <c r="N21" s="51" t="s">
        <v>49</v>
      </c>
      <c r="O21" s="65"/>
    </row>
    <row r="22" spans="1:24" ht="15.4" customHeight="1" x14ac:dyDescent="0.45">
      <c r="C22" s="82"/>
      <c r="D22" s="46"/>
      <c r="E22" s="62"/>
      <c r="F22" s="46"/>
      <c r="G22" s="83" t="s">
        <v>57</v>
      </c>
      <c r="H22" s="46"/>
      <c r="I22" s="62"/>
      <c r="J22" s="62"/>
      <c r="K22" s="46"/>
      <c r="L22" s="174" t="s">
        <v>57</v>
      </c>
      <c r="M22" s="175"/>
      <c r="N22" s="64"/>
      <c r="O22" s="65"/>
    </row>
    <row r="23" spans="1:24" ht="14.25" x14ac:dyDescent="0.45">
      <c r="C23" s="70"/>
      <c r="D23" s="84"/>
      <c r="E23" s="71" t="s">
        <v>18</v>
      </c>
      <c r="F23" s="105">
        <f>F53</f>
        <v>10</v>
      </c>
      <c r="G23" s="85"/>
      <c r="H23" s="105">
        <f>H53</f>
        <v>10</v>
      </c>
      <c r="I23" s="85"/>
      <c r="J23" s="85"/>
      <c r="K23" s="105">
        <f>L53</f>
        <v>10</v>
      </c>
      <c r="L23" s="62"/>
      <c r="M23" s="62"/>
      <c r="N23" s="105">
        <f>O53</f>
        <v>10</v>
      </c>
      <c r="O23" s="65"/>
    </row>
    <row r="24" spans="1:24" ht="14.25" x14ac:dyDescent="0.45">
      <c r="C24" s="70"/>
      <c r="D24" s="86"/>
      <c r="E24" s="71" t="s">
        <v>4</v>
      </c>
      <c r="F24" s="117">
        <f>F23*P39</f>
        <v>6</v>
      </c>
      <c r="G24" s="121">
        <f>IF(I38="Y",F24+H24,(F23+H23)/2)</f>
        <v>10</v>
      </c>
      <c r="H24" s="117">
        <f>H23*P40</f>
        <v>4</v>
      </c>
      <c r="I24" s="84"/>
      <c r="J24" s="84"/>
      <c r="K24" s="117">
        <f>K23*P41</f>
        <v>6</v>
      </c>
      <c r="L24" s="172">
        <f>IF(I38="Y",K24+N24,(K23+N23)/2)</f>
        <v>10</v>
      </c>
      <c r="M24" s="172"/>
      <c r="N24" s="117">
        <f>N23*P42</f>
        <v>4</v>
      </c>
      <c r="O24" s="65"/>
    </row>
    <row r="25" spans="1:24" ht="14.25" x14ac:dyDescent="0.45">
      <c r="C25" s="70"/>
      <c r="D25" s="84"/>
      <c r="E25" s="71" t="s">
        <v>13</v>
      </c>
      <c r="F25" s="88">
        <f>O39</f>
        <v>1</v>
      </c>
      <c r="G25" s="87">
        <f>(F25+H25)/2</f>
        <v>1</v>
      </c>
      <c r="H25" s="88">
        <f>O40</f>
        <v>1</v>
      </c>
      <c r="I25" s="84"/>
      <c r="J25" s="84"/>
      <c r="K25" s="88">
        <f>O41</f>
        <v>1</v>
      </c>
      <c r="L25" s="171">
        <f>(K25+N25)/2</f>
        <v>0.5</v>
      </c>
      <c r="M25" s="171"/>
      <c r="N25" s="88">
        <f>O42</f>
        <v>0</v>
      </c>
      <c r="O25" s="65"/>
    </row>
    <row r="26" spans="1:24" ht="14.25" x14ac:dyDescent="0.45">
      <c r="C26" s="82"/>
      <c r="D26" s="62"/>
      <c r="E26" s="62"/>
      <c r="F26" s="64"/>
      <c r="G26" s="64"/>
      <c r="H26" s="64"/>
      <c r="I26" s="62"/>
      <c r="J26" s="62"/>
      <c r="K26" s="64"/>
      <c r="L26" s="62"/>
      <c r="M26" s="62"/>
      <c r="N26" s="64"/>
      <c r="O26" s="65"/>
    </row>
    <row r="27" spans="1:24" ht="15.75" x14ac:dyDescent="0.5">
      <c r="C27" s="89" t="s">
        <v>19</v>
      </c>
      <c r="D27" s="90"/>
      <c r="E27" s="90"/>
      <c r="F27" s="91"/>
      <c r="G27" s="76">
        <f>G60</f>
        <v>11</v>
      </c>
      <c r="H27" s="91"/>
      <c r="I27" s="62"/>
      <c r="J27" s="62"/>
      <c r="K27" s="91"/>
      <c r="L27" s="173">
        <f>M60</f>
        <v>11</v>
      </c>
      <c r="M27" s="173"/>
      <c r="N27" s="91"/>
      <c r="O27" s="65"/>
    </row>
    <row r="28" spans="1:24" ht="14.25" x14ac:dyDescent="0.45">
      <c r="C28" s="70"/>
      <c r="D28" s="62"/>
      <c r="E28" s="62"/>
      <c r="F28" s="74" t="s">
        <v>64</v>
      </c>
      <c r="G28" s="74" t="str">
        <f>IF(ISNUMBER(SEARCH("Medal",G5)),"Y","N")</f>
        <v>N</v>
      </c>
      <c r="H28" s="74"/>
      <c r="I28" s="74"/>
      <c r="J28" s="74"/>
      <c r="K28" s="74"/>
      <c r="L28" s="74" t="str">
        <f>IF(ISNUMBER(SEARCH("Medal",G5)),"Y","N")</f>
        <v>N</v>
      </c>
      <c r="M28" s="62"/>
      <c r="N28" s="64"/>
      <c r="O28" s="65"/>
    </row>
    <row r="29" spans="1:24" ht="14.25" x14ac:dyDescent="0.45">
      <c r="C29" s="70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4"/>
      <c r="O29" s="65"/>
      <c r="X29" s="53"/>
    </row>
    <row r="30" spans="1:24" ht="23.25" customHeight="1" thickBot="1" x14ac:dyDescent="0.3">
      <c r="C30" s="176" t="s">
        <v>26</v>
      </c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8"/>
    </row>
    <row r="31" spans="1:24" ht="14.25" hidden="1" x14ac:dyDescent="0.45">
      <c r="D31" s="1" t="s">
        <v>43</v>
      </c>
      <c r="E31" s="1" t="s">
        <v>38</v>
      </c>
      <c r="F31" s="1" t="s">
        <v>39</v>
      </c>
      <c r="G31" s="1" t="s">
        <v>42</v>
      </c>
      <c r="H31" t="s">
        <v>4</v>
      </c>
      <c r="I31" s="1" t="s">
        <v>58</v>
      </c>
      <c r="J31" s="123"/>
      <c r="L31" s="1" t="s">
        <v>34</v>
      </c>
      <c r="M31" s="1" t="s">
        <v>36</v>
      </c>
      <c r="N31" s="1" t="s">
        <v>53</v>
      </c>
      <c r="O31" s="1" t="s">
        <v>54</v>
      </c>
      <c r="P31" s="1" t="s">
        <v>55</v>
      </c>
      <c r="Q31" s="1"/>
    </row>
    <row r="32" spans="1:24" ht="14.25" hidden="1" x14ac:dyDescent="0.45">
      <c r="A32">
        <v>1</v>
      </c>
      <c r="C32" t="s">
        <v>59</v>
      </c>
      <c r="D32" s="1">
        <f>IF($F$9&gt;$Q$13,$F$9-$Q$13,0)</f>
        <v>1.6999999999999886</v>
      </c>
      <c r="E32" s="1">
        <f>IF($H$9&gt;$Q$13,$H$9-$Q$13,0)</f>
        <v>0</v>
      </c>
      <c r="F32" s="37">
        <f>IF($K$9&gt;$Q$13,$K$9-$Q$13,0)</f>
        <v>1.6999999999999886</v>
      </c>
      <c r="G32" s="37">
        <f>IF($N$9&gt;$Q$13,$N$9-$Q$13,0)</f>
        <v>0</v>
      </c>
      <c r="H32">
        <v>0.95</v>
      </c>
      <c r="I32" t="s">
        <v>65</v>
      </c>
      <c r="J32" t="s">
        <v>79</v>
      </c>
      <c r="K32" t="s">
        <v>48</v>
      </c>
      <c r="L32">
        <f>F9</f>
        <v>71.099999999999994</v>
      </c>
      <c r="M32">
        <f>F10</f>
        <v>70</v>
      </c>
      <c r="N32">
        <f>F11</f>
        <v>125</v>
      </c>
      <c r="O32">
        <f>F14</f>
        <v>1</v>
      </c>
      <c r="P32" s="1"/>
      <c r="Q32" s="1"/>
    </row>
    <row r="33" spans="1:17" ht="14.25" hidden="1" x14ac:dyDescent="0.45">
      <c r="A33">
        <v>2</v>
      </c>
      <c r="C33" t="s">
        <v>63</v>
      </c>
      <c r="D33" s="1">
        <f>IF($F$9&gt;$Q$13,$F$9-$Q$13,0)</f>
        <v>1.6999999999999886</v>
      </c>
      <c r="E33" s="1">
        <f>IF($H$9&gt;$Q$13,$H$9-$Q$13,0)</f>
        <v>0</v>
      </c>
      <c r="F33" s="37">
        <f>IF($K$9&gt;$Q$13,$K$9-$Q$13,0)</f>
        <v>1.6999999999999886</v>
      </c>
      <c r="G33" s="37">
        <f>IF($N$9&gt;$Q$13,$N$9-$Q$13,0)</f>
        <v>0</v>
      </c>
      <c r="H33">
        <v>1</v>
      </c>
      <c r="I33" t="s">
        <v>66</v>
      </c>
      <c r="J33" t="s">
        <v>79</v>
      </c>
      <c r="K33" t="s">
        <v>49</v>
      </c>
      <c r="L33">
        <f>H9</f>
        <v>69.400000000000006</v>
      </c>
      <c r="M33">
        <f>H10</f>
        <v>69</v>
      </c>
      <c r="N33">
        <f>H11</f>
        <v>118</v>
      </c>
      <c r="O33">
        <f>H14</f>
        <v>0</v>
      </c>
      <c r="P33" s="1"/>
      <c r="Q33" s="1"/>
    </row>
    <row r="34" spans="1:17" ht="14.25" hidden="1" x14ac:dyDescent="0.45">
      <c r="A34">
        <v>3</v>
      </c>
      <c r="C34" t="s">
        <v>60</v>
      </c>
      <c r="D34" s="1">
        <f>IF($F$12&lt;$S$13,$S$13-$F$12,0)</f>
        <v>1</v>
      </c>
      <c r="E34" s="1">
        <f>IF($H$12&lt;$S$13,$S$13-$H$12,0)</f>
        <v>0</v>
      </c>
      <c r="F34" s="1">
        <f>IF($K$12&lt;$S$13,$S$13-$K$12,0)</f>
        <v>1</v>
      </c>
      <c r="G34" s="1">
        <f>IF($N$12&lt;$S$13,$S$13-$N$12,0)</f>
        <v>36</v>
      </c>
      <c r="H34">
        <v>0.95</v>
      </c>
      <c r="I34" t="s">
        <v>65</v>
      </c>
      <c r="J34" t="s">
        <v>80</v>
      </c>
      <c r="K34" t="s">
        <v>50</v>
      </c>
      <c r="L34" s="52">
        <f>K9</f>
        <v>71.099999999999994</v>
      </c>
      <c r="M34">
        <f>K10</f>
        <v>70</v>
      </c>
      <c r="N34">
        <f>K11</f>
        <v>125</v>
      </c>
      <c r="O34">
        <f>K14</f>
        <v>1</v>
      </c>
      <c r="P34" s="1"/>
      <c r="Q34" s="1"/>
    </row>
    <row r="35" spans="1:17" ht="14.25" hidden="1" x14ac:dyDescent="0.45">
      <c r="A35">
        <v>4</v>
      </c>
      <c r="C35" t="s">
        <v>62</v>
      </c>
      <c r="D35" s="1">
        <f>IF($F$12&lt;$S$13,$S$13-$F$12,0)</f>
        <v>1</v>
      </c>
      <c r="E35" s="1">
        <f>IF($H$12&lt;$S$13,$S$13-$H$12,0)</f>
        <v>0</v>
      </c>
      <c r="F35" s="1">
        <f>IF($K$12&lt;$S$13,$S$13-$K$12,0)</f>
        <v>1</v>
      </c>
      <c r="G35" s="1">
        <f>IF($N$12&lt;$S$13,$S$13-$N$12,0)</f>
        <v>36</v>
      </c>
      <c r="H35">
        <v>1</v>
      </c>
      <c r="I35" t="s">
        <v>66</v>
      </c>
      <c r="J35" t="s">
        <v>80</v>
      </c>
      <c r="K35" t="s">
        <v>51</v>
      </c>
      <c r="L35" s="52">
        <f>N9</f>
        <v>0</v>
      </c>
      <c r="M35">
        <f>N10</f>
        <v>0</v>
      </c>
      <c r="N35">
        <f>N11</f>
        <v>0</v>
      </c>
      <c r="O35">
        <f>N14</f>
        <v>0</v>
      </c>
      <c r="P35" s="1"/>
      <c r="Q35" s="1"/>
    </row>
    <row r="36" spans="1:17" ht="14.25" hidden="1" x14ac:dyDescent="0.45">
      <c r="A36">
        <v>5</v>
      </c>
      <c r="C36" t="s">
        <v>77</v>
      </c>
      <c r="D36" s="123">
        <f>IF($F$9&gt;$Q$13,$F$9-$Q$13,0)</f>
        <v>1.6999999999999886</v>
      </c>
      <c r="E36" s="123">
        <f>IF($H$9&gt;$Q$13,$H$9-$Q$13,0)</f>
        <v>0</v>
      </c>
      <c r="F36" s="37">
        <f>IF($K$9&gt;$Q$13,$K$9-$Q$13,0)</f>
        <v>1.6999999999999886</v>
      </c>
      <c r="G36" s="37">
        <f>IF($N$9&gt;$Q$13,$N$9-$Q$13,0)</f>
        <v>0</v>
      </c>
      <c r="H36">
        <v>0.95</v>
      </c>
      <c r="I36" t="s">
        <v>65</v>
      </c>
      <c r="J36" t="s">
        <v>81</v>
      </c>
      <c r="L36" s="52"/>
      <c r="N36"/>
      <c r="O36"/>
      <c r="P36" s="123"/>
      <c r="Q36" s="123"/>
    </row>
    <row r="37" spans="1:17" ht="14.25" hidden="1" x14ac:dyDescent="0.45">
      <c r="A37">
        <v>6</v>
      </c>
      <c r="C37" t="s">
        <v>78</v>
      </c>
      <c r="D37" s="123">
        <f>IF($F$9&gt;$Q$13,$F$9-$Q$13,0)</f>
        <v>1.6999999999999886</v>
      </c>
      <c r="E37" s="123">
        <f>IF($H$9&gt;$Q$13,$H$9-$Q$13,0)</f>
        <v>0</v>
      </c>
      <c r="F37" s="37">
        <f>IF($K$9&gt;$Q$13,$K$9-$Q$13,0)</f>
        <v>1.6999999999999886</v>
      </c>
      <c r="G37" s="37">
        <f>IF($N$9&gt;$Q$13,$N$9-$Q$13,0)</f>
        <v>0</v>
      </c>
      <c r="H37">
        <v>1</v>
      </c>
      <c r="I37" t="s">
        <v>66</v>
      </c>
      <c r="J37" t="s">
        <v>81</v>
      </c>
      <c r="L37" s="52"/>
      <c r="N37"/>
      <c r="O37"/>
      <c r="P37" s="123"/>
      <c r="Q37" s="123"/>
    </row>
    <row r="38" spans="1:17" ht="14.25" hidden="1" x14ac:dyDescent="0.45">
      <c r="D38" s="1">
        <f>VLOOKUP(G5,C32:D37,2,FALSE)</f>
        <v>1</v>
      </c>
      <c r="E38" s="1">
        <f>VLOOKUP(G5,C32:E37,3,FALSE)</f>
        <v>0</v>
      </c>
      <c r="F38" s="1">
        <f>VLOOKUP(G5,C32:F37,4,FALSE)</f>
        <v>1</v>
      </c>
      <c r="G38" s="1">
        <f>VLOOKUP(G5,C32:G37,5,FALSE)</f>
        <v>36</v>
      </c>
      <c r="H38">
        <f>VLOOKUP(G5,C32:H37,6,FALSE)</f>
        <v>1</v>
      </c>
      <c r="I38" t="str">
        <f>VLOOKUP(G5,C32:I37,7,FALSE)</f>
        <v>Y</v>
      </c>
      <c r="J38" t="str">
        <f>VLOOKUP(G5,C32:J37,8,FALSE)</f>
        <v>S</v>
      </c>
      <c r="N38"/>
      <c r="O38"/>
      <c r="P38" s="1"/>
      <c r="Q38" s="1"/>
    </row>
    <row r="39" spans="1:17" ht="14.25" hidden="1" x14ac:dyDescent="0.45">
      <c r="K39" t="s">
        <v>47</v>
      </c>
      <c r="L39">
        <f>VLOOKUP(F21,K32:N35,4,FALSE)</f>
        <v>125</v>
      </c>
      <c r="N39"/>
      <c r="O39">
        <f>VLOOKUP(F21,K32:O35,5,FALSE)</f>
        <v>1</v>
      </c>
      <c r="P39" s="1">
        <f>IF(F23&lt;=H23,0.6,0.4)</f>
        <v>0.6</v>
      </c>
      <c r="Q39" s="1"/>
    </row>
    <row r="40" spans="1:17" ht="14.25" hidden="1" x14ac:dyDescent="0.45">
      <c r="C40" t="s">
        <v>27</v>
      </c>
      <c r="K40" t="s">
        <v>44</v>
      </c>
      <c r="L40">
        <f>VLOOKUP(H21,K32:N35,4,FALSE)</f>
        <v>125</v>
      </c>
      <c r="N40"/>
      <c r="O40">
        <f>VLOOKUP(H21,K32:O35,5,FALSE)</f>
        <v>1</v>
      </c>
      <c r="P40" s="1">
        <f>IF(H23&lt;F23,0.6,0.4)</f>
        <v>0.4</v>
      </c>
      <c r="Q40" s="1"/>
    </row>
    <row r="41" spans="1:17" ht="14.25" hidden="1" x14ac:dyDescent="0.45">
      <c r="C41" t="s">
        <v>28</v>
      </c>
      <c r="K41" t="s">
        <v>45</v>
      </c>
      <c r="L41">
        <f>VLOOKUP(K21,K32:N35,4,FALSE)</f>
        <v>125</v>
      </c>
      <c r="N41"/>
      <c r="O41">
        <f>VLOOKUP(K21,K32:O35,5,FALSE)</f>
        <v>1</v>
      </c>
      <c r="P41" s="1">
        <f>IF(K23&lt;=N23,0.6,0.4)</f>
        <v>0.6</v>
      </c>
      <c r="Q41" s="1"/>
    </row>
    <row r="42" spans="1:17" ht="14.25" hidden="1" x14ac:dyDescent="0.45">
      <c r="C42" t="s">
        <v>29</v>
      </c>
      <c r="K42" t="s">
        <v>46</v>
      </c>
      <c r="L42">
        <f>VLOOKUP(N21,K32:N35,4,FALSE)</f>
        <v>118</v>
      </c>
      <c r="N42"/>
      <c r="O42">
        <f>VLOOKUP(N21,K32:O35,5,FALSE)</f>
        <v>0</v>
      </c>
      <c r="P42" s="1">
        <f>IF(N23&lt;K23,0.6,0.4)</f>
        <v>0.4</v>
      </c>
      <c r="Q42" s="1"/>
    </row>
    <row r="43" spans="1:17" ht="14.25" hidden="1" x14ac:dyDescent="0.45">
      <c r="C43" t="s">
        <v>30</v>
      </c>
      <c r="N43"/>
      <c r="O43"/>
      <c r="P43" s="1"/>
      <c r="Q43" s="1"/>
    </row>
    <row r="44" spans="1:17" ht="14.25" hidden="1" x14ac:dyDescent="0.45">
      <c r="N44"/>
      <c r="P44" s="1"/>
    </row>
    <row r="45" spans="1:17" ht="14.25" hidden="1" x14ac:dyDescent="0.45">
      <c r="C45" t="s">
        <v>48</v>
      </c>
      <c r="K45" t="s">
        <v>56</v>
      </c>
      <c r="N45"/>
      <c r="P45" s="1"/>
    </row>
    <row r="46" spans="1:17" ht="14.25" hidden="1" x14ac:dyDescent="0.45">
      <c r="C46" t="s">
        <v>49</v>
      </c>
      <c r="N46"/>
      <c r="P46" s="1"/>
    </row>
    <row r="47" spans="1:17" ht="14.25" hidden="1" x14ac:dyDescent="0.45">
      <c r="C47" t="s">
        <v>50</v>
      </c>
      <c r="F47" t="s">
        <v>75</v>
      </c>
      <c r="H47" t="s">
        <v>75</v>
      </c>
      <c r="L47" t="s">
        <v>75</v>
      </c>
      <c r="N47"/>
      <c r="O47" t="s">
        <v>75</v>
      </c>
      <c r="P47" s="1"/>
    </row>
    <row r="48" spans="1:17" ht="14.25" hidden="1" x14ac:dyDescent="0.45">
      <c r="N48"/>
      <c r="O48"/>
      <c r="P48" s="1"/>
    </row>
    <row r="49" spans="5:16" ht="12.4" hidden="1" customHeight="1" x14ac:dyDescent="0.45">
      <c r="E49" t="s">
        <v>76</v>
      </c>
      <c r="F49" s="52">
        <f>F19*L39/113</f>
        <v>10.287610619469026</v>
      </c>
      <c r="H49" s="52">
        <f>H19*L40/113</f>
        <v>10.287610619469026</v>
      </c>
      <c r="L49" s="52">
        <f>K19*L41/113</f>
        <v>10.287610619469026</v>
      </c>
      <c r="N49" s="52"/>
      <c r="O49" s="52">
        <f>N19*L42/113</f>
        <v>10.442477876106194</v>
      </c>
      <c r="P49" s="1"/>
    </row>
    <row r="50" spans="5:16" ht="14.25" hidden="1" x14ac:dyDescent="0.45">
      <c r="F50" s="102">
        <f>IF(F49&lt;0,F49*-1,F49)</f>
        <v>10.287610619469026</v>
      </c>
      <c r="H50" s="102">
        <f>IF(H49&lt;0,H49*-1,H49)</f>
        <v>10.287610619469026</v>
      </c>
      <c r="L50" s="102">
        <f>IF(L49&lt;0,L49*-1,L49)</f>
        <v>10.287610619469026</v>
      </c>
      <c r="N50" s="102"/>
      <c r="O50" s="102">
        <f>IF(O49&lt;0,O49*-1,O49)</f>
        <v>10.442477876106194</v>
      </c>
      <c r="P50" s="1"/>
    </row>
    <row r="51" spans="5:16" ht="14.25" hidden="1" x14ac:dyDescent="0.45">
      <c r="F51" s="102">
        <f>IF(F50-INT(F50)=0.5,IF(F49&lt;0,F49+0.001,F49),F49)</f>
        <v>10.287610619469026</v>
      </c>
      <c r="H51" s="102">
        <f>IF(H50-INT(H50)=0.5,IF(H49&lt;0,H49+0.001,H49),H49)</f>
        <v>10.287610619469026</v>
      </c>
      <c r="L51" s="102">
        <f>IF(L50-INT(L50)=0.5,IF(L49&lt;0,L49+0.001,L49),L49)</f>
        <v>10.287610619469026</v>
      </c>
      <c r="N51" s="102"/>
      <c r="O51" s="102">
        <f>IF(O50-INT(O50)=0.5,IF(O49&lt;0,O49+0.001,O49),O49)</f>
        <v>10.442477876106194</v>
      </c>
      <c r="P51" s="1"/>
    </row>
    <row r="52" spans="5:16" ht="14.25" hidden="1" x14ac:dyDescent="0.45">
      <c r="F52">
        <f>ROUND(F51,0)</f>
        <v>10</v>
      </c>
      <c r="H52">
        <f>ROUND(H51,0)</f>
        <v>10</v>
      </c>
      <c r="L52">
        <f>ROUND(L51,0)</f>
        <v>10</v>
      </c>
      <c r="N52"/>
      <c r="O52">
        <f>ROUND(O51,0)</f>
        <v>10</v>
      </c>
      <c r="P52" s="1"/>
    </row>
    <row r="53" spans="5:16" ht="14.25" hidden="1" x14ac:dyDescent="0.45">
      <c r="F53" s="102">
        <f>IF($G$3=$C$43,F49,F52)</f>
        <v>10</v>
      </c>
      <c r="H53" s="102">
        <f>IF($G$3=$C$43,H49,H52)</f>
        <v>10</v>
      </c>
      <c r="L53" s="102">
        <f>IF($G$3=$C$43,L49,L52)</f>
        <v>10</v>
      </c>
      <c r="N53" s="102"/>
      <c r="O53" s="102">
        <f>IF($G$3=$C$43,O49,O52)</f>
        <v>10</v>
      </c>
      <c r="P53" s="1"/>
    </row>
    <row r="54" spans="5:16" ht="14.25" hidden="1" x14ac:dyDescent="0.45">
      <c r="N54"/>
      <c r="P54" s="1"/>
    </row>
    <row r="55" spans="5:16" ht="14.25" hidden="1" x14ac:dyDescent="0.45">
      <c r="G55" t="s">
        <v>19</v>
      </c>
      <c r="M55" t="s">
        <v>19</v>
      </c>
      <c r="N55"/>
      <c r="P55" s="1"/>
    </row>
    <row r="56" spans="5:16" ht="14.25" hidden="1" x14ac:dyDescent="0.45">
      <c r="N56"/>
      <c r="P56" s="1"/>
    </row>
    <row r="57" spans="5:16" ht="14.25" hidden="1" x14ac:dyDescent="0.45">
      <c r="G57" s="102">
        <f>G24+G25</f>
        <v>11</v>
      </c>
      <c r="M57" s="102">
        <f>L24+L25</f>
        <v>10.5</v>
      </c>
      <c r="N57"/>
      <c r="P57" s="1"/>
    </row>
    <row r="58" spans="5:16" ht="14.25" hidden="1" x14ac:dyDescent="0.45">
      <c r="G58" s="102">
        <f>IF(G57&lt;0,ROUND(G57*-1,3),ROUND(G57,3))</f>
        <v>11</v>
      </c>
      <c r="M58" s="102">
        <f>IF(M57&lt;0,ROUND(M57*-1,3),ROUND(M57,3))</f>
        <v>10.5</v>
      </c>
      <c r="N58"/>
      <c r="P58" s="1"/>
    </row>
    <row r="59" spans="5:16" ht="14.25" hidden="1" x14ac:dyDescent="0.45">
      <c r="G59" s="102">
        <f>IF(G58-INT(G58)=0.5,IF(G57&lt;0,G57+0.001,G57),G57)</f>
        <v>11</v>
      </c>
      <c r="M59" s="102">
        <f>IF(M58-INT(M58)=0.5,IF(M57&lt;0,M57+0.001,M57),M57)</f>
        <v>10.5</v>
      </c>
      <c r="N59"/>
      <c r="P59" s="1"/>
    </row>
    <row r="60" spans="5:16" ht="14.25" hidden="1" x14ac:dyDescent="0.45">
      <c r="G60">
        <f>IF(J38="M",ROUND(G59,1),ROUND(G59,0))</f>
        <v>11</v>
      </c>
      <c r="M60">
        <f>IF(J38="M",ROUND(M59,1),ROUND(M59,0))</f>
        <v>11</v>
      </c>
      <c r="N60"/>
      <c r="P60" s="1"/>
    </row>
  </sheetData>
  <sheetProtection algorithmName="SHA-512" hashValue="fR76FsunYBKQmF/K8HERUSXTndzudhy/ddRzSpGKnjvLTb7ERKw4j3L2tP4X9j4uKsEU0jX4pzBQS5K7TMf3Lg==" saltValue="jRcK4FxlmCuQYUPK1EEbqQ==" spinCount="100000" sheet="1" selectLockedCells="1"/>
  <mergeCells count="10">
    <mergeCell ref="C2:D2"/>
    <mergeCell ref="C3:D3"/>
    <mergeCell ref="G3:H3"/>
    <mergeCell ref="G5:H5"/>
    <mergeCell ref="C5:D5"/>
    <mergeCell ref="L25:M25"/>
    <mergeCell ref="L24:M24"/>
    <mergeCell ref="L27:M27"/>
    <mergeCell ref="L22:M22"/>
    <mergeCell ref="C30:O30"/>
  </mergeCells>
  <conditionalFormatting sqref="F24">
    <cfRule type="expression" dxfId="28" priority="12">
      <formula>$G$5="Foursomes Matchplay"</formula>
    </cfRule>
    <cfRule type="expression" dxfId="27" priority="24">
      <formula>$G$5="Foursomes Stableford"</formula>
    </cfRule>
    <cfRule type="expression" dxfId="26" priority="26">
      <formula>$G$5="Foursomes Medal"</formula>
    </cfRule>
  </conditionalFormatting>
  <conditionalFormatting sqref="F23">
    <cfRule type="expression" dxfId="25" priority="17">
      <formula>$G$3=$C$43</formula>
    </cfRule>
  </conditionalFormatting>
  <conditionalFormatting sqref="H23">
    <cfRule type="expression" dxfId="24" priority="16">
      <formula>$G$3=$C$43</formula>
    </cfRule>
  </conditionalFormatting>
  <conditionalFormatting sqref="K23">
    <cfRule type="expression" dxfId="23" priority="15">
      <formula>$G$3=$C$43</formula>
    </cfRule>
  </conditionalFormatting>
  <conditionalFormatting sqref="N23">
    <cfRule type="expression" dxfId="22" priority="14">
      <formula>$G$3=$C$43</formula>
    </cfRule>
  </conditionalFormatting>
  <conditionalFormatting sqref="H24">
    <cfRule type="expression" dxfId="21" priority="9">
      <formula>$G$5="Foursomes Matchplay"</formula>
    </cfRule>
    <cfRule type="expression" dxfId="20" priority="10">
      <formula>$G$5="Foursomes Stableford"</formula>
    </cfRule>
    <cfRule type="expression" dxfId="19" priority="11">
      <formula>$G$5="Foursomes Medal"</formula>
    </cfRule>
  </conditionalFormatting>
  <conditionalFormatting sqref="K24">
    <cfRule type="expression" dxfId="18" priority="6">
      <formula>$G$5="Foursomes Matchplay"</formula>
    </cfRule>
    <cfRule type="expression" dxfId="17" priority="7">
      <formula>$G$5="Foursomes Stableford"</formula>
    </cfRule>
    <cfRule type="expression" dxfId="16" priority="8">
      <formula>$G$5="Foursomes Medal"</formula>
    </cfRule>
  </conditionalFormatting>
  <conditionalFormatting sqref="N24">
    <cfRule type="expression" dxfId="15" priority="3">
      <formula>$G$5="Foursomes Matchplay"</formula>
    </cfRule>
    <cfRule type="expression" dxfId="14" priority="4">
      <formula>$G$5="Foursomes Stableford"</formula>
    </cfRule>
    <cfRule type="expression" dxfId="13" priority="5">
      <formula>$G$5="Foursomes Medal"</formula>
    </cfRule>
  </conditionalFormatting>
  <conditionalFormatting sqref="G27">
    <cfRule type="expression" dxfId="12" priority="2">
      <formula>$J$38="M"</formula>
    </cfRule>
  </conditionalFormatting>
  <conditionalFormatting sqref="L27">
    <cfRule type="expression" dxfId="11" priority="1">
      <formula>$J$38="M"</formula>
    </cfRule>
  </conditionalFormatting>
  <dataValidations count="3">
    <dataValidation type="list" allowBlank="1" showInputMessage="1" showErrorMessage="1" sqref="G3">
      <formula1>$C$40:$C$43</formula1>
    </dataValidation>
    <dataValidation type="list" allowBlank="1" showInputMessage="1" showErrorMessage="1" sqref="N21 F21 H21 K21">
      <formula1>$C$45:$C$47</formula1>
    </dataValidation>
    <dataValidation type="list" allowBlank="1" showInputMessage="1" showErrorMessage="1" sqref="G5:H5">
      <formula1>$C$32:$C$37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workbookViewId="0">
      <selection activeCell="G5" sqref="G5:H5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9" max="9" width="10.140625" customWidth="1"/>
    <col min="14" max="15" width="9" style="1"/>
    <col min="16" max="26" width="9" hidden="1" customWidth="1"/>
  </cols>
  <sheetData>
    <row r="1" spans="3:24" ht="14.65" thickBot="1" x14ac:dyDescent="0.5"/>
    <row r="2" spans="3:24" ht="14.25" x14ac:dyDescent="0.45">
      <c r="C2" s="179" t="s">
        <v>22</v>
      </c>
      <c r="D2" s="180"/>
      <c r="E2" s="59"/>
      <c r="F2" s="59"/>
      <c r="G2" s="59"/>
      <c r="H2" s="59"/>
      <c r="I2" s="59"/>
      <c r="J2" s="59"/>
      <c r="K2" s="59"/>
      <c r="L2" s="59"/>
      <c r="M2" s="59"/>
      <c r="N2" s="60"/>
      <c r="O2" s="61"/>
    </row>
    <row r="3" spans="3:24" ht="22.35" customHeight="1" x14ac:dyDescent="0.45">
      <c r="C3" s="181" t="s">
        <v>23</v>
      </c>
      <c r="D3" s="182"/>
      <c r="E3" s="62"/>
      <c r="F3" s="63" t="s">
        <v>31</v>
      </c>
      <c r="G3" s="183" t="s">
        <v>27</v>
      </c>
      <c r="H3" s="183"/>
      <c r="I3" s="62"/>
      <c r="J3" s="62"/>
      <c r="K3" s="62"/>
      <c r="L3" s="62"/>
      <c r="M3" s="62"/>
      <c r="N3" s="64"/>
      <c r="O3" s="65"/>
    </row>
    <row r="4" spans="3:24" ht="14.25" x14ac:dyDescent="0.45">
      <c r="C4" s="66"/>
      <c r="D4" s="67"/>
      <c r="E4" s="62"/>
      <c r="F4" s="62"/>
      <c r="G4" s="62"/>
      <c r="H4" s="62"/>
      <c r="I4" s="62"/>
      <c r="J4" s="62"/>
      <c r="K4" s="62"/>
      <c r="L4" s="62"/>
      <c r="M4" s="62"/>
      <c r="N4" s="64"/>
      <c r="O4" s="65"/>
    </row>
    <row r="5" spans="3:24" ht="22.35" customHeight="1" x14ac:dyDescent="0.65">
      <c r="C5" s="184" t="s">
        <v>41</v>
      </c>
      <c r="D5" s="185"/>
      <c r="E5" s="68" t="s">
        <v>21</v>
      </c>
      <c r="F5" s="69"/>
      <c r="G5" s="183" t="s">
        <v>67</v>
      </c>
      <c r="H5" s="183"/>
      <c r="I5" s="62"/>
      <c r="J5" s="62"/>
      <c r="K5" s="62"/>
      <c r="L5" s="62"/>
      <c r="M5" s="62"/>
      <c r="N5" s="64"/>
      <c r="O5" s="65"/>
    </row>
    <row r="6" spans="3:24" ht="14.25" x14ac:dyDescent="0.45">
      <c r="C6" s="70"/>
      <c r="D6" s="62"/>
      <c r="E6" s="62"/>
      <c r="F6" s="62"/>
      <c r="G6" s="62"/>
      <c r="H6" s="62"/>
      <c r="I6" s="62"/>
      <c r="J6" s="62"/>
      <c r="K6" s="62"/>
      <c r="L6" s="62"/>
      <c r="M6" s="62"/>
      <c r="N6" s="64"/>
      <c r="O6" s="65"/>
    </row>
    <row r="7" spans="3:24" ht="14.25" x14ac:dyDescent="0.45">
      <c r="C7" s="70"/>
      <c r="D7" s="62"/>
      <c r="E7" s="62"/>
      <c r="F7" s="67" t="s">
        <v>37</v>
      </c>
      <c r="G7" s="64"/>
      <c r="H7" s="67" t="s">
        <v>38</v>
      </c>
      <c r="I7" s="64"/>
      <c r="J7" s="64"/>
      <c r="K7" s="67" t="s">
        <v>39</v>
      </c>
      <c r="L7" s="62"/>
      <c r="M7" s="64"/>
      <c r="N7" s="96"/>
      <c r="O7" s="65"/>
      <c r="Q7" s="1" t="s">
        <v>34</v>
      </c>
      <c r="R7" s="1" t="s">
        <v>36</v>
      </c>
      <c r="S7" s="1" t="s">
        <v>16</v>
      </c>
    </row>
    <row r="8" spans="3:24" ht="14.25" x14ac:dyDescent="0.45">
      <c r="C8" s="70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5"/>
      <c r="Q8" s="1"/>
      <c r="R8" s="1"/>
      <c r="S8" s="1"/>
    </row>
    <row r="9" spans="3:24" ht="20.100000000000001" customHeight="1" x14ac:dyDescent="0.45">
      <c r="C9" s="70"/>
      <c r="D9" s="62"/>
      <c r="E9" s="71" t="s">
        <v>11</v>
      </c>
      <c r="F9" s="50">
        <v>72</v>
      </c>
      <c r="G9" s="71" t="s">
        <v>11</v>
      </c>
      <c r="H9" s="50">
        <v>73.3</v>
      </c>
      <c r="I9" s="62"/>
      <c r="J9" s="71" t="s">
        <v>11</v>
      </c>
      <c r="K9" s="50">
        <v>75</v>
      </c>
      <c r="L9" s="62"/>
      <c r="M9" s="71"/>
      <c r="N9" s="99"/>
      <c r="O9" s="65"/>
      <c r="Q9" s="1">
        <f>F9</f>
        <v>72</v>
      </c>
      <c r="R9" s="1">
        <f>F10</f>
        <v>72</v>
      </c>
      <c r="S9" s="1">
        <f>F12</f>
        <v>36</v>
      </c>
    </row>
    <row r="10" spans="3:24" ht="20.100000000000001" customHeight="1" x14ac:dyDescent="0.45">
      <c r="C10" s="70"/>
      <c r="D10" s="62"/>
      <c r="E10" s="71" t="s">
        <v>0</v>
      </c>
      <c r="F10" s="49">
        <v>72</v>
      </c>
      <c r="G10" s="71" t="s">
        <v>0</v>
      </c>
      <c r="H10" s="49">
        <v>72</v>
      </c>
      <c r="I10" s="62"/>
      <c r="J10" s="71" t="s">
        <v>0</v>
      </c>
      <c r="K10" s="49">
        <v>72</v>
      </c>
      <c r="L10" s="62"/>
      <c r="M10" s="71"/>
      <c r="N10" s="100"/>
      <c r="O10" s="65"/>
      <c r="Q10" s="1">
        <f>H9</f>
        <v>73.3</v>
      </c>
      <c r="R10" s="1">
        <f>H10</f>
        <v>72</v>
      </c>
      <c r="S10" s="1">
        <f>H12</f>
        <v>35</v>
      </c>
    </row>
    <row r="11" spans="3:24" ht="20.100000000000001" customHeight="1" x14ac:dyDescent="0.45">
      <c r="C11" s="70"/>
      <c r="D11" s="62"/>
      <c r="E11" s="71" t="s">
        <v>12</v>
      </c>
      <c r="F11" s="49">
        <v>113</v>
      </c>
      <c r="G11" s="71" t="s">
        <v>12</v>
      </c>
      <c r="H11" s="49">
        <v>140</v>
      </c>
      <c r="I11" s="62"/>
      <c r="J11" s="71" t="s">
        <v>12</v>
      </c>
      <c r="K11" s="49">
        <v>130</v>
      </c>
      <c r="L11" s="62"/>
      <c r="M11" s="71"/>
      <c r="N11" s="100"/>
      <c r="O11" s="65"/>
      <c r="Q11" s="1">
        <f>K9</f>
        <v>75</v>
      </c>
      <c r="R11" s="1">
        <f>K10</f>
        <v>72</v>
      </c>
      <c r="S11" s="1">
        <f>K12</f>
        <v>33</v>
      </c>
    </row>
    <row r="12" spans="3:24" ht="14.25" x14ac:dyDescent="0.45">
      <c r="C12" s="70"/>
      <c r="D12" s="62"/>
      <c r="E12" s="72" t="s">
        <v>16</v>
      </c>
      <c r="F12" s="73">
        <f>IF(F9&gt;0,ROUND(36-(F9-F10),0),0)</f>
        <v>36</v>
      </c>
      <c r="G12" s="72" t="s">
        <v>16</v>
      </c>
      <c r="H12" s="73">
        <f>IF(H9&gt;0,ROUND(36-(H9-H10),0),0)</f>
        <v>35</v>
      </c>
      <c r="I12" s="74"/>
      <c r="J12" s="72" t="s">
        <v>16</v>
      </c>
      <c r="K12" s="73">
        <f>IF(K9&gt;0,ROUND(36-(K9-K10),0),0)</f>
        <v>33</v>
      </c>
      <c r="L12" s="74"/>
      <c r="M12" s="72"/>
      <c r="N12" s="73"/>
      <c r="O12" s="65"/>
      <c r="Q12" s="37">
        <f>N9</f>
        <v>0</v>
      </c>
      <c r="R12" s="1">
        <f>N10</f>
        <v>0</v>
      </c>
      <c r="S12" s="1">
        <f>N12</f>
        <v>0</v>
      </c>
    </row>
    <row r="13" spans="3:24" ht="10.5" customHeight="1" x14ac:dyDescent="0.45">
      <c r="C13" s="70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5"/>
      <c r="P13" s="36" t="s">
        <v>35</v>
      </c>
      <c r="Q13" s="1">
        <f>SMALL(Q9:Q12,COUNTIF($Q$9:$Q$12,0)+1)</f>
        <v>72</v>
      </c>
      <c r="R13" s="1">
        <f>SMALL(R9:R12,COUNTIF($R$9:$R$12,0)+1)</f>
        <v>72</v>
      </c>
      <c r="S13" s="1">
        <f>MAX(S9:S12)</f>
        <v>36</v>
      </c>
    </row>
    <row r="14" spans="3:24" ht="15.75" x14ac:dyDescent="0.5">
      <c r="C14" s="70"/>
      <c r="D14" s="62"/>
      <c r="E14" s="75" t="s">
        <v>13</v>
      </c>
      <c r="F14" s="76">
        <f>D36</f>
        <v>0</v>
      </c>
      <c r="G14" s="77"/>
      <c r="H14" s="76">
        <f>E36</f>
        <v>1.2999999999999972</v>
      </c>
      <c r="I14" s="62"/>
      <c r="J14" s="62"/>
      <c r="K14" s="76">
        <f>F36</f>
        <v>3</v>
      </c>
      <c r="L14" s="62"/>
      <c r="M14" s="62"/>
      <c r="N14" s="91"/>
      <c r="O14" s="65"/>
    </row>
    <row r="15" spans="3:24" ht="14.25" x14ac:dyDescent="0.45">
      <c r="C15" s="70"/>
      <c r="D15" s="62"/>
      <c r="E15" s="71"/>
      <c r="F15" s="64"/>
      <c r="G15" s="62"/>
      <c r="H15" s="64"/>
      <c r="I15" s="62"/>
      <c r="J15" s="62"/>
      <c r="K15" s="62"/>
      <c r="L15" s="62"/>
      <c r="M15" s="62"/>
      <c r="N15" s="64"/>
      <c r="O15" s="65"/>
    </row>
    <row r="16" spans="3:24" ht="14.25" x14ac:dyDescent="0.45">
      <c r="C16" s="70"/>
      <c r="D16" s="62"/>
      <c r="E16" s="71"/>
      <c r="F16" s="64"/>
      <c r="G16" s="62"/>
      <c r="H16" s="64"/>
      <c r="I16" s="62"/>
      <c r="J16" s="62"/>
      <c r="K16" s="62"/>
      <c r="L16" s="62"/>
      <c r="M16" s="62"/>
      <c r="N16" s="64"/>
      <c r="O16" s="65"/>
      <c r="X16">
        <v>0.42499999999999999</v>
      </c>
    </row>
    <row r="17" spans="1:30" ht="14.25" x14ac:dyDescent="0.45">
      <c r="C17" s="70"/>
      <c r="D17" s="62"/>
      <c r="E17" s="62"/>
      <c r="F17" s="67" t="s">
        <v>47</v>
      </c>
      <c r="G17" s="67"/>
      <c r="H17" s="67" t="s">
        <v>44</v>
      </c>
      <c r="I17" s="67"/>
      <c r="J17" s="67"/>
      <c r="K17" s="67" t="s">
        <v>45</v>
      </c>
      <c r="L17" s="67"/>
      <c r="M17" s="67"/>
      <c r="N17" s="67" t="s">
        <v>46</v>
      </c>
      <c r="O17" s="65"/>
      <c r="X17">
        <f>ROUND(X16,2)</f>
        <v>0.43</v>
      </c>
    </row>
    <row r="18" spans="1:30" ht="14.25" x14ac:dyDescent="0.45">
      <c r="C18" s="70"/>
      <c r="D18" s="81" t="s">
        <v>17</v>
      </c>
      <c r="E18" s="62"/>
      <c r="F18" s="62"/>
      <c r="G18" s="62"/>
      <c r="H18" s="62"/>
      <c r="I18" s="62"/>
      <c r="J18" s="62"/>
      <c r="K18" s="62"/>
      <c r="L18" s="62"/>
      <c r="M18" s="62"/>
      <c r="N18" s="64" t="s">
        <v>33</v>
      </c>
      <c r="O18" s="65"/>
    </row>
    <row r="19" spans="1:30" ht="14.25" x14ac:dyDescent="0.45">
      <c r="C19" s="70"/>
      <c r="D19" s="46"/>
      <c r="E19" s="71" t="s">
        <v>3</v>
      </c>
      <c r="F19" s="51">
        <v>15</v>
      </c>
      <c r="G19" s="62"/>
      <c r="H19" s="51">
        <v>14</v>
      </c>
      <c r="I19" s="62"/>
      <c r="J19" s="62"/>
      <c r="K19" s="51">
        <v>13</v>
      </c>
      <c r="L19" s="62"/>
      <c r="M19" s="62"/>
      <c r="N19" s="51">
        <v>0</v>
      </c>
      <c r="O19" s="65"/>
    </row>
    <row r="20" spans="1:30" ht="3.4" customHeight="1" x14ac:dyDescent="0.45">
      <c r="C20" s="82"/>
      <c r="D20" s="46"/>
      <c r="E20" s="62"/>
      <c r="F20" s="46"/>
      <c r="G20" s="62"/>
      <c r="H20" s="46"/>
      <c r="I20" s="62"/>
      <c r="J20" s="62"/>
      <c r="K20" s="46"/>
      <c r="L20" s="62"/>
      <c r="M20" s="62"/>
      <c r="N20" s="64"/>
      <c r="O20" s="65"/>
    </row>
    <row r="21" spans="1:30" ht="18" customHeight="1" x14ac:dyDescent="0.45">
      <c r="C21" s="82"/>
      <c r="D21" s="46"/>
      <c r="E21" s="62" t="s">
        <v>52</v>
      </c>
      <c r="F21" s="51" t="s">
        <v>48</v>
      </c>
      <c r="G21" s="62"/>
      <c r="H21" s="51" t="s">
        <v>49</v>
      </c>
      <c r="I21" s="62"/>
      <c r="J21" s="62"/>
      <c r="K21" s="51" t="s">
        <v>50</v>
      </c>
      <c r="L21" s="62"/>
      <c r="M21" s="62"/>
      <c r="N21" s="51" t="s">
        <v>49</v>
      </c>
      <c r="O21" s="65"/>
      <c r="R21" t="s">
        <v>71</v>
      </c>
      <c r="S21" t="s">
        <v>72</v>
      </c>
    </row>
    <row r="22" spans="1:30" ht="15.4" customHeight="1" x14ac:dyDescent="0.45">
      <c r="C22" s="82"/>
      <c r="D22" s="46"/>
      <c r="E22" s="62"/>
      <c r="F22" s="46"/>
      <c r="G22" s="67"/>
      <c r="H22" s="46"/>
      <c r="I22" s="62"/>
      <c r="J22" s="62"/>
      <c r="K22" s="46"/>
      <c r="L22" s="113"/>
      <c r="M22" s="113"/>
      <c r="N22" s="64"/>
      <c r="O22" s="65"/>
      <c r="Q22" t="s">
        <v>47</v>
      </c>
      <c r="R22">
        <f>F23</f>
        <v>15</v>
      </c>
      <c r="S22">
        <f>F23</f>
        <v>15</v>
      </c>
    </row>
    <row r="23" spans="1:30" ht="14.25" x14ac:dyDescent="0.45">
      <c r="C23" s="70"/>
      <c r="D23" s="84"/>
      <c r="E23" s="71" t="s">
        <v>18</v>
      </c>
      <c r="F23" s="105">
        <f>IF(G3="Scotland",E47,F47)</f>
        <v>15</v>
      </c>
      <c r="G23" s="85"/>
      <c r="H23" s="105">
        <f>IF(G3="Scotland",E48,F48)</f>
        <v>17</v>
      </c>
      <c r="I23" s="85"/>
      <c r="J23" s="85"/>
      <c r="K23" s="105">
        <f>IF(G3="Scotland",E49,F49)</f>
        <v>15</v>
      </c>
      <c r="L23" s="62"/>
      <c r="M23" s="62"/>
      <c r="N23" s="105">
        <f>IF(G3="Scotland",E50,F50)</f>
        <v>0</v>
      </c>
      <c r="O23" s="65"/>
      <c r="Q23" t="s">
        <v>44</v>
      </c>
      <c r="R23">
        <f>H23</f>
        <v>17</v>
      </c>
      <c r="S23">
        <f>H23</f>
        <v>17</v>
      </c>
    </row>
    <row r="24" spans="1:30" ht="14.25" x14ac:dyDescent="0.45">
      <c r="C24" s="70"/>
      <c r="D24" s="86"/>
      <c r="E24" s="71" t="s">
        <v>4</v>
      </c>
      <c r="F24" s="117">
        <f>F23*O37</f>
        <v>3</v>
      </c>
      <c r="G24" s="115">
        <f>O37</f>
        <v>0.2</v>
      </c>
      <c r="H24" s="117">
        <f>H23*O38</f>
        <v>1.7000000000000002</v>
      </c>
      <c r="I24" s="115">
        <f>O38</f>
        <v>0.1</v>
      </c>
      <c r="J24" s="98"/>
      <c r="K24" s="117">
        <f>K23*O39</f>
        <v>2.25</v>
      </c>
      <c r="L24" s="115">
        <f>O39</f>
        <v>0.15</v>
      </c>
      <c r="M24" s="114"/>
      <c r="N24" s="117">
        <f>N23*O40</f>
        <v>0</v>
      </c>
      <c r="O24" s="116">
        <f>O40</f>
        <v>0.25</v>
      </c>
      <c r="Q24" t="s">
        <v>45</v>
      </c>
      <c r="R24">
        <f>K23</f>
        <v>15</v>
      </c>
      <c r="S24">
        <f>K23</f>
        <v>15</v>
      </c>
    </row>
    <row r="25" spans="1:30" ht="14.25" x14ac:dyDescent="0.45">
      <c r="C25" s="70"/>
      <c r="D25" s="84"/>
      <c r="E25" s="71" t="s">
        <v>13</v>
      </c>
      <c r="F25" s="117">
        <f>IF($G$5=$C$33,N37/3,N37/4)</f>
        <v>0</v>
      </c>
      <c r="G25" s="93"/>
      <c r="H25" s="117">
        <f>IF($G$5=$C$33,N38/3,N38/4)</f>
        <v>0.32499999999999929</v>
      </c>
      <c r="I25" s="84"/>
      <c r="J25" s="84"/>
      <c r="K25" s="117">
        <f>IF($G$5=$C$33,N39/3,N39/4)</f>
        <v>0.75</v>
      </c>
      <c r="L25" s="114"/>
      <c r="M25" s="114"/>
      <c r="N25" s="117">
        <f>N40/4</f>
        <v>0.32499999999999929</v>
      </c>
      <c r="O25" s="65"/>
      <c r="Q25" t="s">
        <v>46</v>
      </c>
      <c r="R25">
        <f>N23</f>
        <v>0</v>
      </c>
    </row>
    <row r="26" spans="1:30" ht="14.25" x14ac:dyDescent="0.45">
      <c r="C26" s="82"/>
      <c r="D26" s="62"/>
      <c r="E26" s="62"/>
      <c r="F26" s="95">
        <f>F24+F25</f>
        <v>3</v>
      </c>
      <c r="G26" s="73"/>
      <c r="H26" s="95">
        <f>H24+H25</f>
        <v>2.0249999999999995</v>
      </c>
      <c r="I26" s="74"/>
      <c r="J26" s="74"/>
      <c r="K26" s="95">
        <f>K24+K25</f>
        <v>3</v>
      </c>
      <c r="L26" s="74"/>
      <c r="M26" s="74"/>
      <c r="N26" s="95">
        <f>IF(G5=C33,0,N24+N25)</f>
        <v>0.32499999999999929</v>
      </c>
      <c r="O26" s="65"/>
      <c r="R26" s="188" t="s">
        <v>73</v>
      </c>
      <c r="S26" s="188"/>
      <c r="V26" s="189" t="s">
        <v>74</v>
      </c>
      <c r="W26" s="189"/>
    </row>
    <row r="27" spans="1:30" ht="15.75" x14ac:dyDescent="0.5">
      <c r="C27" s="4"/>
      <c r="D27" s="90"/>
      <c r="E27" s="90"/>
      <c r="F27" s="91"/>
      <c r="G27" s="94" t="s">
        <v>69</v>
      </c>
      <c r="H27" s="91"/>
      <c r="I27" s="187">
        <f>F26+H26+K26+N26</f>
        <v>8.3499999999999979</v>
      </c>
      <c r="J27" s="173"/>
      <c r="K27" s="91"/>
      <c r="L27" s="186"/>
      <c r="M27" s="186"/>
      <c r="N27" s="91"/>
      <c r="O27" s="65"/>
      <c r="Q27">
        <v>1</v>
      </c>
      <c r="R27" s="112">
        <f>R22*10</f>
        <v>150</v>
      </c>
      <c r="S27" s="112">
        <f>R27+Q27</f>
        <v>151</v>
      </c>
      <c r="V27">
        <f>R22*10</f>
        <v>150</v>
      </c>
      <c r="W27">
        <f>V27+Q27</f>
        <v>151</v>
      </c>
    </row>
    <row r="28" spans="1:30" ht="14.25" x14ac:dyDescent="0.45">
      <c r="C28" s="70"/>
      <c r="D28" s="62"/>
      <c r="E28" s="62"/>
      <c r="F28" s="74" t="s">
        <v>64</v>
      </c>
      <c r="G28" s="74" t="str">
        <f>IF(ISNUMBER(SEARCH("Medal",G5)),"Y","N")</f>
        <v>N</v>
      </c>
      <c r="H28" s="74"/>
      <c r="I28" s="74"/>
      <c r="J28" s="74"/>
      <c r="K28" s="74"/>
      <c r="L28" s="74" t="str">
        <f>IF(ISNUMBER(SEARCH("Medal",G5)),"Y","N")</f>
        <v>N</v>
      </c>
      <c r="M28" s="62"/>
      <c r="N28" s="64"/>
      <c r="O28" s="65"/>
      <c r="Q28">
        <v>2</v>
      </c>
      <c r="R28" s="112">
        <f>R23*10</f>
        <v>170</v>
      </c>
      <c r="S28" s="112">
        <f>R28+Q28</f>
        <v>172</v>
      </c>
      <c r="V28">
        <f>R23*10</f>
        <v>170</v>
      </c>
      <c r="W28">
        <f>V28+Q28</f>
        <v>172</v>
      </c>
      <c r="AD28" s="52"/>
    </row>
    <row r="29" spans="1:30" ht="14.25" x14ac:dyDescent="0.45">
      <c r="C29" s="70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4"/>
      <c r="O29" s="65"/>
      <c r="Q29">
        <v>3</v>
      </c>
      <c r="R29" s="112">
        <f>R24*10</f>
        <v>150</v>
      </c>
      <c r="S29" s="112">
        <f>R29+Q29</f>
        <v>153</v>
      </c>
      <c r="V29">
        <f>R24*10</f>
        <v>150</v>
      </c>
      <c r="W29">
        <f>V29+Q29</f>
        <v>153</v>
      </c>
      <c r="Y29" s="53"/>
    </row>
    <row r="30" spans="1:30" ht="23.25" customHeight="1" thickBot="1" x14ac:dyDescent="0.3">
      <c r="C30" s="176" t="s">
        <v>26</v>
      </c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8"/>
      <c r="Q30">
        <v>4</v>
      </c>
      <c r="R30" s="112">
        <f>R25*10</f>
        <v>0</v>
      </c>
      <c r="S30" s="112">
        <f>R30+Q30</f>
        <v>4</v>
      </c>
    </row>
    <row r="31" spans="1:30" ht="14.25" hidden="1" x14ac:dyDescent="0.45">
      <c r="D31" s="1" t="s">
        <v>43</v>
      </c>
      <c r="E31" s="1" t="s">
        <v>38</v>
      </c>
      <c r="F31" s="1" t="s">
        <v>39</v>
      </c>
      <c r="G31" s="1" t="s">
        <v>42</v>
      </c>
      <c r="H31" t="s">
        <v>4</v>
      </c>
      <c r="I31" s="1" t="s">
        <v>58</v>
      </c>
      <c r="K31" s="1" t="s">
        <v>34</v>
      </c>
      <c r="L31" s="1" t="s">
        <v>36</v>
      </c>
      <c r="M31" s="1" t="s">
        <v>53</v>
      </c>
      <c r="N31" s="1" t="s">
        <v>54</v>
      </c>
      <c r="O31" s="1" t="s">
        <v>55</v>
      </c>
      <c r="P31" s="1"/>
      <c r="R31" s="112"/>
      <c r="S31" s="112"/>
    </row>
    <row r="32" spans="1:30" ht="14.25" hidden="1" x14ac:dyDescent="0.45">
      <c r="A32">
        <v>1</v>
      </c>
      <c r="C32" t="s">
        <v>67</v>
      </c>
      <c r="D32" s="1">
        <f>IF($F$9&gt;$Q$13,$F$9-$Q$13,0)</f>
        <v>0</v>
      </c>
      <c r="E32" s="1">
        <f>IF($H$9&gt;$Q$13,$H$9-$Q$13,0)</f>
        <v>1.2999999999999972</v>
      </c>
      <c r="F32" s="37">
        <f>IF($K$9&gt;$Q$13,$K$9-$Q$13,0)</f>
        <v>3</v>
      </c>
      <c r="G32" s="37">
        <f>IF($N$9&gt;$Q$13,$N$9-$Q$13,0)</f>
        <v>0</v>
      </c>
      <c r="H32">
        <v>0.95</v>
      </c>
      <c r="I32" t="s">
        <v>65</v>
      </c>
      <c r="J32" t="s">
        <v>48</v>
      </c>
      <c r="K32">
        <f>F9</f>
        <v>72</v>
      </c>
      <c r="L32">
        <f>F10</f>
        <v>72</v>
      </c>
      <c r="M32">
        <f>F11</f>
        <v>113</v>
      </c>
      <c r="N32">
        <f>F14</f>
        <v>0</v>
      </c>
      <c r="P32" s="1"/>
      <c r="R32" s="112">
        <f>SMALL(R$27:R$30,1)</f>
        <v>0</v>
      </c>
      <c r="S32" s="112">
        <f>SMALL(S$27:S$30,1)</f>
        <v>4</v>
      </c>
      <c r="T32">
        <f>S32-R32</f>
        <v>4</v>
      </c>
      <c r="U32">
        <v>0.25</v>
      </c>
      <c r="V32">
        <f>SMALL(V$27:V$29,1)</f>
        <v>150</v>
      </c>
      <c r="W32">
        <f>SMALL(W$27:W$29,1)</f>
        <v>151</v>
      </c>
      <c r="X32">
        <f>W32-V32</f>
        <v>1</v>
      </c>
      <c r="Y32">
        <v>0.3</v>
      </c>
    </row>
    <row r="33" spans="1:25" ht="14.25" hidden="1" x14ac:dyDescent="0.45">
      <c r="A33">
        <v>2</v>
      </c>
      <c r="C33" t="s">
        <v>68</v>
      </c>
      <c r="D33" s="1">
        <f>IF($F$9&gt;$Q$13,$F$9-$Q$13,0)</f>
        <v>0</v>
      </c>
      <c r="E33" s="1">
        <f>IF($H$9&gt;$Q$13,$H$9-$Q$13,0)</f>
        <v>1.2999999999999972</v>
      </c>
      <c r="F33" s="37">
        <f>IF($K$9&gt;$Q$13,$K$9-$Q$13,0)</f>
        <v>3</v>
      </c>
      <c r="G33" s="37">
        <f>IF($N$9&gt;$Q$13,$N$9-$Q$13,0)</f>
        <v>0</v>
      </c>
      <c r="H33">
        <v>1</v>
      </c>
      <c r="I33" t="s">
        <v>66</v>
      </c>
      <c r="J33" t="s">
        <v>49</v>
      </c>
      <c r="K33">
        <f>H9</f>
        <v>73.3</v>
      </c>
      <c r="L33">
        <f>H10</f>
        <v>72</v>
      </c>
      <c r="M33">
        <f>H11</f>
        <v>140</v>
      </c>
      <c r="N33">
        <f>H14</f>
        <v>1.2999999999999972</v>
      </c>
      <c r="P33" s="1"/>
      <c r="R33" s="112">
        <f>SMALL(R$27:R$30,2)</f>
        <v>150</v>
      </c>
      <c r="S33" s="112">
        <f>SMALL(S$27:S$30,2)</f>
        <v>151</v>
      </c>
      <c r="T33">
        <f>S33-R33</f>
        <v>1</v>
      </c>
      <c r="U33">
        <v>0.2</v>
      </c>
      <c r="V33">
        <f>SMALL(V$27:V$29,2)</f>
        <v>150</v>
      </c>
      <c r="W33">
        <f>SMALL(W$27:W$29,2)</f>
        <v>153</v>
      </c>
      <c r="X33">
        <f>W33-V33</f>
        <v>3</v>
      </c>
      <c r="Y33">
        <v>0.2</v>
      </c>
    </row>
    <row r="34" spans="1:25" ht="14.25" hidden="1" x14ac:dyDescent="0.45">
      <c r="A34">
        <v>3</v>
      </c>
      <c r="C34" t="s">
        <v>60</v>
      </c>
      <c r="D34" s="1">
        <f>IF($F$12&lt;$S$13,$S$13-$F$12,0)</f>
        <v>0</v>
      </c>
      <c r="E34" s="1">
        <f>IF($H$12&lt;$S$13,$S$13-$H$12,0)</f>
        <v>1</v>
      </c>
      <c r="F34" s="1">
        <f>IF($K$12&lt;$S$13,$S$13-$K$12,0)</f>
        <v>3</v>
      </c>
      <c r="G34" s="1">
        <f>IF($N$12&lt;$S$13,$S$13-$N$12,0)</f>
        <v>36</v>
      </c>
      <c r="H34">
        <v>0.95</v>
      </c>
      <c r="I34" t="s">
        <v>65</v>
      </c>
      <c r="J34" t="s">
        <v>50</v>
      </c>
      <c r="K34" s="52">
        <f>K9</f>
        <v>75</v>
      </c>
      <c r="L34">
        <f>K10</f>
        <v>72</v>
      </c>
      <c r="M34">
        <f>K11</f>
        <v>130</v>
      </c>
      <c r="N34">
        <f>K14</f>
        <v>3</v>
      </c>
      <c r="P34" s="1"/>
      <c r="R34" s="112">
        <f>SMALL(R$27:R$30,3)</f>
        <v>150</v>
      </c>
      <c r="S34" s="112">
        <f>SMALL(S$27:S$30,3)</f>
        <v>153</v>
      </c>
      <c r="T34">
        <f>S34-R34</f>
        <v>3</v>
      </c>
      <c r="U34">
        <v>0.15</v>
      </c>
      <c r="V34">
        <f>SMALL(V$27:V$29,3)</f>
        <v>170</v>
      </c>
      <c r="W34">
        <f>SMALL(W$27:W$29,3)</f>
        <v>172</v>
      </c>
      <c r="X34">
        <f>W34-V34</f>
        <v>2</v>
      </c>
      <c r="Y34">
        <v>0.1</v>
      </c>
    </row>
    <row r="35" spans="1:25" ht="14.25" hidden="1" x14ac:dyDescent="0.45">
      <c r="A35">
        <v>4</v>
      </c>
      <c r="C35" t="s">
        <v>62</v>
      </c>
      <c r="D35" s="1">
        <f>IF($F$12&lt;$S$13,$S$13-$F$12,0)</f>
        <v>0</v>
      </c>
      <c r="E35" s="1">
        <f>IF($H$12&lt;$S$13,$S$13-$H$12,0)</f>
        <v>1</v>
      </c>
      <c r="F35" s="1">
        <f>IF($K$12&lt;$S$13,$S$13-$K$12,0)</f>
        <v>3</v>
      </c>
      <c r="G35" s="1">
        <f>IF($N$12&lt;$S$13,$S$13-$N$12,0)</f>
        <v>36</v>
      </c>
      <c r="H35">
        <v>1</v>
      </c>
      <c r="I35" t="s">
        <v>66</v>
      </c>
      <c r="J35" t="s">
        <v>51</v>
      </c>
      <c r="K35" s="52">
        <f>N9</f>
        <v>0</v>
      </c>
      <c r="L35">
        <f>N10</f>
        <v>0</v>
      </c>
      <c r="M35">
        <f>N11</f>
        <v>0</v>
      </c>
      <c r="N35">
        <f>N14</f>
        <v>0</v>
      </c>
      <c r="P35" s="1"/>
      <c r="R35" s="112">
        <f>SMALL(R$27:R$30,4)</f>
        <v>170</v>
      </c>
      <c r="S35" s="112">
        <f>SMALL(S$27:S$30,4)</f>
        <v>172</v>
      </c>
      <c r="T35">
        <f>S35-R35</f>
        <v>2</v>
      </c>
      <c r="U35">
        <v>0.1</v>
      </c>
      <c r="X35">
        <v>4</v>
      </c>
      <c r="Y35">
        <v>0</v>
      </c>
    </row>
    <row r="36" spans="1:25" ht="14.25" hidden="1" x14ac:dyDescent="0.45">
      <c r="D36" s="1">
        <f>VLOOKUP(G5,C32:D35,2,FALSE)</f>
        <v>0</v>
      </c>
      <c r="E36" s="1">
        <f>VLOOKUP(G5,C32:E35,3,FALSE)</f>
        <v>1.2999999999999972</v>
      </c>
      <c r="F36" s="1">
        <f>VLOOKUP(G5,C32:F35,4,FALSE)</f>
        <v>3</v>
      </c>
      <c r="G36" s="1">
        <f>VLOOKUP(G5,C32:G35,5,FALSE)</f>
        <v>0</v>
      </c>
      <c r="H36">
        <f>VLOOKUP(G5,C32:H35,6,FALSE)</f>
        <v>0.95</v>
      </c>
      <c r="I36" t="str">
        <f>VLOOKUP(G5,C32:I35,7,FALSE)</f>
        <v>N</v>
      </c>
      <c r="N36"/>
      <c r="P36" s="1"/>
    </row>
    <row r="37" spans="1:25" ht="14.25" hidden="1" x14ac:dyDescent="0.45">
      <c r="I37">
        <v>1</v>
      </c>
      <c r="J37" t="s">
        <v>47</v>
      </c>
      <c r="K37">
        <f>VLOOKUP(F21,J32:M35,4,FALSE)</f>
        <v>113</v>
      </c>
      <c r="N37">
        <f>VLOOKUP(F21,J32:N35,5,FALSE)</f>
        <v>0</v>
      </c>
      <c r="O37" s="1">
        <f>VLOOKUP(I37,$S$38:$T$41,2,FALSE)</f>
        <v>0.2</v>
      </c>
      <c r="P37" s="1"/>
    </row>
    <row r="38" spans="1:25" ht="14.25" hidden="1" x14ac:dyDescent="0.45">
      <c r="C38" t="s">
        <v>27</v>
      </c>
      <c r="I38">
        <v>2</v>
      </c>
      <c r="J38" t="s">
        <v>44</v>
      </c>
      <c r="K38">
        <f>VLOOKUP(H21,J32:M35,4,FALSE)</f>
        <v>140</v>
      </c>
      <c r="N38">
        <f>VLOOKUP(H21,J32:N35,5,FALSE)</f>
        <v>1.2999999999999972</v>
      </c>
      <c r="O38" s="1">
        <f t="shared" ref="O38:O40" si="0">VLOOKUP(I38,$S$38:$T$41,2,FALSE)</f>
        <v>0.1</v>
      </c>
      <c r="P38" s="1"/>
      <c r="S38">
        <f>IF(G5="Scramble - 4 Players",T32,X32)</f>
        <v>4</v>
      </c>
      <c r="T38">
        <f>IF(G5="Scramble - 4 Players",U32,Y32)</f>
        <v>0.25</v>
      </c>
    </row>
    <row r="39" spans="1:25" ht="14.25" hidden="1" x14ac:dyDescent="0.45">
      <c r="C39" t="s">
        <v>28</v>
      </c>
      <c r="I39">
        <v>3</v>
      </c>
      <c r="J39" t="s">
        <v>45</v>
      </c>
      <c r="K39">
        <f>VLOOKUP(K21,J32:M35,4,FALSE)</f>
        <v>130</v>
      </c>
      <c r="N39">
        <f>VLOOKUP(K21,J32:N35,5,FALSE)</f>
        <v>3</v>
      </c>
      <c r="O39" s="1">
        <f t="shared" si="0"/>
        <v>0.15</v>
      </c>
      <c r="P39" s="1"/>
      <c r="S39">
        <f>IF(G5="Scramble - 4 Players",T33,X33)</f>
        <v>1</v>
      </c>
      <c r="T39">
        <f>IF(G5="Scramble - 4 Players",U33,Y33)</f>
        <v>0.2</v>
      </c>
    </row>
    <row r="40" spans="1:25" ht="14.25" hidden="1" x14ac:dyDescent="0.45">
      <c r="C40" t="s">
        <v>29</v>
      </c>
      <c r="I40">
        <v>4</v>
      </c>
      <c r="J40" t="s">
        <v>46</v>
      </c>
      <c r="K40">
        <f>VLOOKUP(N21,J32:M35,4,FALSE)</f>
        <v>140</v>
      </c>
      <c r="N40">
        <f>VLOOKUP(N21,J32:N35,5,FALSE)</f>
        <v>1.2999999999999972</v>
      </c>
      <c r="O40" s="1">
        <f t="shared" si="0"/>
        <v>0.25</v>
      </c>
      <c r="P40" s="1"/>
      <c r="S40">
        <f>IF(G5="Scramble - 4 Players",T34,X34)</f>
        <v>3</v>
      </c>
      <c r="T40">
        <f>IF(G5="Scramble - 4 Players",U34,Y34)</f>
        <v>0.15</v>
      </c>
    </row>
    <row r="41" spans="1:25" ht="14.25" hidden="1" x14ac:dyDescent="0.45">
      <c r="C41" t="s">
        <v>30</v>
      </c>
      <c r="N41"/>
      <c r="P41" s="1"/>
      <c r="S41">
        <f>IF(G5="Scramble - 4 Players",T35,X35)</f>
        <v>2</v>
      </c>
      <c r="T41">
        <f>IF(G5="Scramble - 4 Players",U35,Y35)</f>
        <v>0.1</v>
      </c>
    </row>
    <row r="42" spans="1:25" ht="14.25" hidden="1" x14ac:dyDescent="0.45"/>
    <row r="43" spans="1:25" ht="14.25" hidden="1" x14ac:dyDescent="0.45">
      <c r="C43" t="s">
        <v>48</v>
      </c>
      <c r="J43" t="s">
        <v>56</v>
      </c>
    </row>
    <row r="44" spans="1:25" ht="14.25" hidden="1" x14ac:dyDescent="0.45">
      <c r="C44" t="s">
        <v>49</v>
      </c>
    </row>
    <row r="45" spans="1:25" ht="14.25" hidden="1" x14ac:dyDescent="0.45">
      <c r="C45" t="s">
        <v>50</v>
      </c>
    </row>
    <row r="46" spans="1:25" ht="14.25" hidden="1" x14ac:dyDescent="0.45">
      <c r="D46" s="111" t="s">
        <v>70</v>
      </c>
    </row>
    <row r="47" spans="1:25" ht="12.4" hidden="1" customHeight="1" x14ac:dyDescent="0.45">
      <c r="C47" t="s">
        <v>47</v>
      </c>
      <c r="D47" s="37">
        <f>F19</f>
        <v>15</v>
      </c>
      <c r="E47" s="102">
        <f>D47*K37/113</f>
        <v>15</v>
      </c>
      <c r="F47">
        <f>IF(E47&lt;0,ROUND(E47+0.001,0),ROUND(E47,0))</f>
        <v>15</v>
      </c>
    </row>
    <row r="48" spans="1:25" ht="14.25" hidden="1" x14ac:dyDescent="0.45">
      <c r="C48" t="s">
        <v>44</v>
      </c>
      <c r="D48" s="37">
        <f>H19</f>
        <v>14</v>
      </c>
      <c r="E48" s="102">
        <f t="shared" ref="E48:E50" si="1">D48*K38/113</f>
        <v>17.345132743362832</v>
      </c>
      <c r="F48">
        <f t="shared" ref="F48:F50" si="2">IF(E48&lt;0,ROUND(E48+0.001,0),ROUND(E48,0))</f>
        <v>17</v>
      </c>
    </row>
    <row r="49" spans="3:6" ht="14.25" hidden="1" x14ac:dyDescent="0.45">
      <c r="C49" t="s">
        <v>45</v>
      </c>
      <c r="D49" s="37">
        <f>K19</f>
        <v>13</v>
      </c>
      <c r="E49" s="102">
        <f t="shared" si="1"/>
        <v>14.955752212389381</v>
      </c>
      <c r="F49">
        <f t="shared" si="2"/>
        <v>15</v>
      </c>
    </row>
    <row r="50" spans="3:6" ht="14.25" hidden="1" x14ac:dyDescent="0.45">
      <c r="C50" t="s">
        <v>46</v>
      </c>
      <c r="D50" s="37">
        <f>N19</f>
        <v>0</v>
      </c>
      <c r="E50" s="102">
        <f t="shared" si="1"/>
        <v>0</v>
      </c>
      <c r="F50">
        <f t="shared" si="2"/>
        <v>0</v>
      </c>
    </row>
  </sheetData>
  <sheetProtection algorithmName="SHA-512" hashValue="iI6CK0EByvLJCLlD3C4HS92uS1+xnNUgJ3zz3oLnNAqQ0KEWSwVZugUv1op/nztEmoYYYF67417l5YC+FuhQAA==" saltValue="KHS7MTWuGcfyrRASFE2A/A==" spinCount="100000" sheet="1" selectLockedCells="1"/>
  <mergeCells count="10">
    <mergeCell ref="C2:D2"/>
    <mergeCell ref="C3:D3"/>
    <mergeCell ref="G3:H3"/>
    <mergeCell ref="C5:D5"/>
    <mergeCell ref="G5:H5"/>
    <mergeCell ref="L27:M27"/>
    <mergeCell ref="C30:O30"/>
    <mergeCell ref="I27:J27"/>
    <mergeCell ref="R26:S26"/>
    <mergeCell ref="V26:W26"/>
  </mergeCells>
  <conditionalFormatting sqref="F23">
    <cfRule type="expression" dxfId="10" priority="6">
      <formula>$G$3=$C$41</formula>
    </cfRule>
  </conditionalFormatting>
  <conditionalFormatting sqref="H23">
    <cfRule type="expression" dxfId="9" priority="5">
      <formula>$G$3=$C$41</formula>
    </cfRule>
  </conditionalFormatting>
  <conditionalFormatting sqref="K23">
    <cfRule type="expression" dxfId="8" priority="4">
      <formula>$G$3=$C$41</formula>
    </cfRule>
  </conditionalFormatting>
  <conditionalFormatting sqref="N23">
    <cfRule type="expression" dxfId="7" priority="3">
      <formula>$G$3=$C$41</formula>
    </cfRule>
  </conditionalFormatting>
  <conditionalFormatting sqref="N17:O26">
    <cfRule type="expression" dxfId="6" priority="1">
      <formula>$G$5=$C$33</formula>
    </cfRule>
  </conditionalFormatting>
  <dataValidations count="3">
    <dataValidation type="list" allowBlank="1" showInputMessage="1" showErrorMessage="1" sqref="G5:H5">
      <formula1>$C$32:$C$33</formula1>
    </dataValidation>
    <dataValidation type="list" allowBlank="1" showInputMessage="1" showErrorMessage="1" sqref="N21 F21 H21 K21">
      <formula1>$C$43:$C$45</formula1>
    </dataValidation>
    <dataValidation type="list" allowBlank="1" showInputMessage="1" showErrorMessage="1" sqref="G3">
      <formula1>$C$38:$C$41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workbookViewId="0">
      <selection activeCell="K11" sqref="K11"/>
    </sheetView>
  </sheetViews>
  <sheetFormatPr defaultColWidth="9" defaultRowHeight="15" x14ac:dyDescent="0.25"/>
  <cols>
    <col min="1" max="1" width="9" style="132"/>
    <col min="2" max="2" width="4.42578125" style="132" customWidth="1"/>
    <col min="3" max="3" width="22.7109375" style="132" bestFit="1" customWidth="1"/>
    <col min="4" max="4" width="9" style="132"/>
    <col min="5" max="5" width="13" style="132" customWidth="1"/>
    <col min="6" max="6" width="9" style="132"/>
    <col min="7" max="7" width="17.5703125" style="132" customWidth="1"/>
    <col min="8" max="8" width="9" style="132"/>
    <col min="9" max="9" width="10.140625" style="132" customWidth="1"/>
    <col min="10" max="13" width="9" style="132"/>
    <col min="14" max="15" width="9" style="133"/>
    <col min="16" max="19" width="9" style="132" hidden="1" customWidth="1"/>
    <col min="20" max="26" width="9" style="132" customWidth="1"/>
    <col min="27" max="16384" width="9" style="132"/>
  </cols>
  <sheetData>
    <row r="1" spans="3:19" ht="14.65" thickBot="1" x14ac:dyDescent="0.5"/>
    <row r="2" spans="3:19" ht="14.25" x14ac:dyDescent="0.45">
      <c r="C2" s="179" t="s">
        <v>22</v>
      </c>
      <c r="D2" s="180"/>
      <c r="E2" s="59"/>
      <c r="F2" s="59"/>
      <c r="G2" s="59"/>
      <c r="H2" s="59"/>
      <c r="I2" s="59"/>
      <c r="J2" s="59"/>
      <c r="K2" s="59"/>
      <c r="L2" s="59"/>
      <c r="M2" s="59"/>
      <c r="N2" s="60"/>
      <c r="O2" s="61"/>
    </row>
    <row r="3" spans="3:19" ht="22.35" customHeight="1" x14ac:dyDescent="0.45">
      <c r="C3" s="181" t="s">
        <v>23</v>
      </c>
      <c r="D3" s="182"/>
      <c r="E3" s="62"/>
      <c r="F3" s="63" t="s">
        <v>31</v>
      </c>
      <c r="G3" s="183" t="s">
        <v>27</v>
      </c>
      <c r="H3" s="183"/>
      <c r="I3" s="62"/>
      <c r="J3" s="62"/>
      <c r="K3" s="62"/>
      <c r="L3" s="62"/>
      <c r="M3" s="62"/>
      <c r="N3" s="64"/>
      <c r="O3" s="65"/>
    </row>
    <row r="4" spans="3:19" ht="14.25" x14ac:dyDescent="0.45">
      <c r="C4" s="125"/>
      <c r="D4" s="126"/>
      <c r="E4" s="62"/>
      <c r="F4" s="62"/>
      <c r="G4" s="62"/>
      <c r="H4" s="62"/>
      <c r="I4" s="62"/>
      <c r="J4" s="62"/>
      <c r="K4" s="62"/>
      <c r="L4" s="62"/>
      <c r="M4" s="62"/>
      <c r="N4" s="64"/>
      <c r="O4" s="65"/>
    </row>
    <row r="5" spans="3:19" ht="22.35" customHeight="1" x14ac:dyDescent="0.65">
      <c r="C5" s="184" t="s">
        <v>41</v>
      </c>
      <c r="D5" s="185"/>
      <c r="E5" s="68" t="s">
        <v>21</v>
      </c>
      <c r="F5" s="69"/>
      <c r="G5" s="183" t="s">
        <v>88</v>
      </c>
      <c r="H5" s="183"/>
      <c r="I5" s="62"/>
      <c r="J5" s="128" t="s">
        <v>89</v>
      </c>
      <c r="K5" s="62"/>
      <c r="L5" s="62"/>
      <c r="M5" s="62"/>
      <c r="N5" s="64"/>
      <c r="O5" s="65"/>
    </row>
    <row r="6" spans="3:19" ht="14.25" x14ac:dyDescent="0.45">
      <c r="C6" s="70"/>
      <c r="D6" s="62"/>
      <c r="E6" s="62"/>
      <c r="F6" s="62"/>
      <c r="G6" s="62"/>
      <c r="H6" s="62"/>
      <c r="I6" s="62"/>
      <c r="J6" s="62"/>
      <c r="K6" s="62"/>
      <c r="L6" s="62"/>
      <c r="M6" s="62"/>
      <c r="N6" s="64"/>
      <c r="O6" s="65"/>
    </row>
    <row r="7" spans="3:19" ht="14.25" x14ac:dyDescent="0.45">
      <c r="C7" s="70"/>
      <c r="D7" s="62"/>
      <c r="E7" s="62"/>
      <c r="F7" s="126" t="s">
        <v>37</v>
      </c>
      <c r="G7" s="64"/>
      <c r="H7" s="126" t="s">
        <v>38</v>
      </c>
      <c r="I7" s="64"/>
      <c r="J7" s="64"/>
      <c r="K7" s="126" t="s">
        <v>39</v>
      </c>
      <c r="L7" s="62"/>
      <c r="M7" s="64"/>
      <c r="N7" s="126"/>
      <c r="O7" s="65"/>
      <c r="Q7" s="133" t="s">
        <v>34</v>
      </c>
      <c r="R7" s="133" t="s">
        <v>36</v>
      </c>
      <c r="S7" s="133" t="s">
        <v>16</v>
      </c>
    </row>
    <row r="8" spans="3:19" ht="14.25" x14ac:dyDescent="0.45">
      <c r="C8" s="70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5"/>
      <c r="Q8" s="133"/>
      <c r="R8" s="133"/>
      <c r="S8" s="133"/>
    </row>
    <row r="9" spans="3:19" ht="20.100000000000001" customHeight="1" x14ac:dyDescent="0.45">
      <c r="C9" s="70"/>
      <c r="D9" s="62"/>
      <c r="E9" s="71" t="s">
        <v>11</v>
      </c>
      <c r="F9" s="50">
        <v>72</v>
      </c>
      <c r="G9" s="71" t="s">
        <v>11</v>
      </c>
      <c r="H9" s="50">
        <v>73.3</v>
      </c>
      <c r="I9" s="62"/>
      <c r="J9" s="71" t="s">
        <v>11</v>
      </c>
      <c r="K9" s="50">
        <v>75</v>
      </c>
      <c r="L9" s="62"/>
      <c r="M9" s="71"/>
      <c r="N9" s="99"/>
      <c r="O9" s="65"/>
      <c r="Q9" s="133">
        <f>F9</f>
        <v>72</v>
      </c>
      <c r="R9" s="133">
        <f>F10</f>
        <v>72</v>
      </c>
      <c r="S9" s="133">
        <f>F12</f>
        <v>36</v>
      </c>
    </row>
    <row r="10" spans="3:19" ht="20.100000000000001" customHeight="1" x14ac:dyDescent="0.45">
      <c r="C10" s="70"/>
      <c r="D10" s="62"/>
      <c r="E10" s="71" t="s">
        <v>0</v>
      </c>
      <c r="F10" s="49">
        <v>72</v>
      </c>
      <c r="G10" s="71" t="s">
        <v>0</v>
      </c>
      <c r="H10" s="49">
        <v>72</v>
      </c>
      <c r="I10" s="62"/>
      <c r="J10" s="71" t="s">
        <v>0</v>
      </c>
      <c r="K10" s="49">
        <v>72</v>
      </c>
      <c r="L10" s="62"/>
      <c r="M10" s="71"/>
      <c r="N10" s="100"/>
      <c r="O10" s="65"/>
      <c r="Q10" s="133">
        <f>H9</f>
        <v>73.3</v>
      </c>
      <c r="R10" s="133">
        <f>H10</f>
        <v>72</v>
      </c>
      <c r="S10" s="133">
        <f>H12</f>
        <v>35</v>
      </c>
    </row>
    <row r="11" spans="3:19" ht="20.100000000000001" customHeight="1" x14ac:dyDescent="0.45">
      <c r="C11" s="70"/>
      <c r="D11" s="62"/>
      <c r="E11" s="71" t="s">
        <v>12</v>
      </c>
      <c r="F11" s="49">
        <v>113</v>
      </c>
      <c r="G11" s="71" t="s">
        <v>12</v>
      </c>
      <c r="H11" s="49">
        <v>140</v>
      </c>
      <c r="I11" s="62"/>
      <c r="J11" s="71" t="s">
        <v>12</v>
      </c>
      <c r="K11" s="49">
        <v>130</v>
      </c>
      <c r="L11" s="62"/>
      <c r="M11" s="71"/>
      <c r="N11" s="100"/>
      <c r="O11" s="65"/>
      <c r="Q11" s="133">
        <f>K9</f>
        <v>75</v>
      </c>
      <c r="R11" s="133">
        <f>K10</f>
        <v>72</v>
      </c>
      <c r="S11" s="133">
        <f>K12</f>
        <v>33</v>
      </c>
    </row>
    <row r="12" spans="3:19" ht="14.25" x14ac:dyDescent="0.45">
      <c r="C12" s="70"/>
      <c r="D12" s="62"/>
      <c r="E12" s="72" t="s">
        <v>16</v>
      </c>
      <c r="F12" s="73">
        <f>IF(F9&gt;0,ROUND(36-(F9-F10),0),0)</f>
        <v>36</v>
      </c>
      <c r="G12" s="72" t="s">
        <v>16</v>
      </c>
      <c r="H12" s="73">
        <f>IF(H9&gt;0,ROUND(36-(H9-H10),0),0)</f>
        <v>35</v>
      </c>
      <c r="I12" s="74"/>
      <c r="J12" s="72" t="s">
        <v>16</v>
      </c>
      <c r="K12" s="73">
        <f>IF(K9&gt;0,ROUND(36-(K9-K10),0),0)</f>
        <v>33</v>
      </c>
      <c r="L12" s="74"/>
      <c r="M12" s="72"/>
      <c r="N12" s="73"/>
      <c r="O12" s="65"/>
      <c r="Q12" s="134"/>
      <c r="R12" s="133"/>
      <c r="S12" s="133"/>
    </row>
    <row r="13" spans="3:19" ht="10.5" customHeight="1" x14ac:dyDescent="0.45">
      <c r="C13" s="70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5"/>
      <c r="P13" s="135" t="s">
        <v>35</v>
      </c>
      <c r="Q13" s="133">
        <f>SMALL(Q9:Q11,COUNTIF($Q$9:$Q$11,0)+1)</f>
        <v>72</v>
      </c>
      <c r="R13" s="133">
        <f t="shared" ref="R13" si="0">SMALL(R9:R11,COUNTIF($Q$9:$Q$11,0)+1)</f>
        <v>72</v>
      </c>
      <c r="S13" s="133">
        <f>MAX(S9:S11)</f>
        <v>36</v>
      </c>
    </row>
    <row r="14" spans="3:19" ht="15.75" x14ac:dyDescent="0.5">
      <c r="C14" s="70"/>
      <c r="D14" s="62"/>
      <c r="E14" s="75" t="s">
        <v>13</v>
      </c>
      <c r="F14" s="127">
        <f>H42</f>
        <v>0</v>
      </c>
      <c r="G14" s="77"/>
      <c r="H14" s="127">
        <f>I42</f>
        <v>1.2999999999999972</v>
      </c>
      <c r="I14" s="62"/>
      <c r="J14" s="62"/>
      <c r="K14" s="127">
        <f>J42</f>
        <v>3</v>
      </c>
      <c r="L14" s="62"/>
      <c r="M14" s="62"/>
      <c r="N14" s="91"/>
      <c r="O14" s="65"/>
    </row>
    <row r="15" spans="3:19" ht="14.25" x14ac:dyDescent="0.45">
      <c r="C15" s="70"/>
      <c r="D15" s="62"/>
      <c r="E15" s="71"/>
      <c r="F15" s="64"/>
      <c r="G15" s="62"/>
      <c r="H15" s="64"/>
      <c r="I15" s="62"/>
      <c r="J15" s="62"/>
      <c r="K15" s="62"/>
      <c r="L15" s="62"/>
      <c r="M15" s="62"/>
      <c r="N15" s="64"/>
      <c r="O15" s="65"/>
    </row>
    <row r="16" spans="3:19" ht="14.25" x14ac:dyDescent="0.45">
      <c r="C16" s="70"/>
      <c r="D16" s="62"/>
      <c r="E16" s="71"/>
      <c r="F16" s="64"/>
      <c r="G16" s="62"/>
      <c r="H16" s="64"/>
      <c r="I16" s="62"/>
      <c r="J16" s="62"/>
      <c r="K16" s="62"/>
      <c r="L16" s="62"/>
      <c r="M16" s="62"/>
      <c r="N16" s="64"/>
      <c r="O16" s="65"/>
    </row>
    <row r="17" spans="1:30" ht="14.25" x14ac:dyDescent="0.45">
      <c r="C17" s="70"/>
      <c r="D17" s="62"/>
      <c r="E17" s="62"/>
      <c r="F17" s="126" t="s">
        <v>47</v>
      </c>
      <c r="G17" s="126"/>
      <c r="H17" s="126" t="s">
        <v>44</v>
      </c>
      <c r="I17" s="126"/>
      <c r="J17" s="126"/>
      <c r="K17" s="126" t="s">
        <v>45</v>
      </c>
      <c r="L17" s="126"/>
      <c r="M17" s="126"/>
      <c r="N17" s="126" t="s">
        <v>46</v>
      </c>
      <c r="O17" s="65"/>
    </row>
    <row r="18" spans="1:30" ht="14.25" x14ac:dyDescent="0.45">
      <c r="C18" s="70"/>
      <c r="D18" s="81" t="s">
        <v>17</v>
      </c>
      <c r="E18" s="62"/>
      <c r="F18" s="62"/>
      <c r="G18" s="62"/>
      <c r="H18" s="62"/>
      <c r="I18" s="62"/>
      <c r="J18" s="62"/>
      <c r="K18" s="62"/>
      <c r="L18" s="62"/>
      <c r="M18" s="62"/>
      <c r="N18" s="64" t="s">
        <v>33</v>
      </c>
      <c r="O18" s="65"/>
    </row>
    <row r="19" spans="1:30" ht="14.25" x14ac:dyDescent="0.45">
      <c r="C19" s="70"/>
      <c r="D19" s="46"/>
      <c r="E19" s="71" t="s">
        <v>3</v>
      </c>
      <c r="F19" s="51">
        <v>-2</v>
      </c>
      <c r="G19" s="62"/>
      <c r="H19" s="51">
        <v>14</v>
      </c>
      <c r="I19" s="62"/>
      <c r="J19" s="62"/>
      <c r="K19" s="51">
        <v>13</v>
      </c>
      <c r="L19" s="62"/>
      <c r="M19" s="62"/>
      <c r="N19" s="51">
        <v>4</v>
      </c>
      <c r="O19" s="65"/>
    </row>
    <row r="20" spans="1:30" ht="3.4" customHeight="1" x14ac:dyDescent="0.45">
      <c r="C20" s="82"/>
      <c r="D20" s="46"/>
      <c r="E20" s="62"/>
      <c r="F20" s="46">
        <v>-2</v>
      </c>
      <c r="G20" s="62"/>
      <c r="H20" s="46"/>
      <c r="I20" s="62"/>
      <c r="J20" s="62"/>
      <c r="K20" s="46"/>
      <c r="L20" s="62"/>
      <c r="M20" s="62"/>
      <c r="N20" s="46"/>
      <c r="O20" s="65"/>
    </row>
    <row r="21" spans="1:30" ht="18" customHeight="1" x14ac:dyDescent="0.45">
      <c r="C21" s="82"/>
      <c r="D21" s="46"/>
      <c r="E21" s="62" t="s">
        <v>52</v>
      </c>
      <c r="F21" s="51" t="s">
        <v>48</v>
      </c>
      <c r="G21" s="62"/>
      <c r="H21" s="51" t="s">
        <v>49</v>
      </c>
      <c r="I21" s="62"/>
      <c r="J21" s="62"/>
      <c r="K21" s="51" t="s">
        <v>48</v>
      </c>
      <c r="L21" s="62"/>
      <c r="M21" s="62"/>
      <c r="N21" s="51" t="s">
        <v>50</v>
      </c>
      <c r="O21" s="65"/>
    </row>
    <row r="22" spans="1:30" ht="15.4" customHeight="1" x14ac:dyDescent="0.45">
      <c r="C22" s="82"/>
      <c r="D22" s="46"/>
      <c r="E22" s="62"/>
      <c r="F22" s="46"/>
      <c r="G22" s="126"/>
      <c r="H22" s="46"/>
      <c r="I22" s="62"/>
      <c r="J22" s="62"/>
      <c r="K22" s="46"/>
      <c r="L22" s="113"/>
      <c r="M22" s="113"/>
      <c r="N22" s="64"/>
      <c r="O22" s="65"/>
    </row>
    <row r="23" spans="1:30" ht="14.25" x14ac:dyDescent="0.45">
      <c r="C23" s="70"/>
      <c r="D23" s="84"/>
      <c r="E23" s="71" t="s">
        <v>18</v>
      </c>
      <c r="F23" s="105">
        <f>IF(G3="Scotland",E47,F47)</f>
        <v>-2</v>
      </c>
      <c r="G23" s="85"/>
      <c r="H23" s="105">
        <f>IF(G3="Scotland",E48,F48)</f>
        <v>17</v>
      </c>
      <c r="I23" s="85"/>
      <c r="J23" s="85"/>
      <c r="K23" s="105">
        <f>IF(G3="Scotland",E49,F49)</f>
        <v>13</v>
      </c>
      <c r="L23" s="62"/>
      <c r="M23" s="62"/>
      <c r="N23" s="105">
        <f>IF(G3="Scotland",E50,F50)</f>
        <v>5</v>
      </c>
      <c r="O23" s="65"/>
    </row>
    <row r="24" spans="1:30" ht="14.25" x14ac:dyDescent="0.45">
      <c r="C24" s="70"/>
      <c r="D24" s="86"/>
      <c r="E24" s="71" t="s">
        <v>4</v>
      </c>
      <c r="F24" s="117">
        <f>F23*G24</f>
        <v>-2</v>
      </c>
      <c r="G24" s="115">
        <f>L42</f>
        <v>1</v>
      </c>
      <c r="H24" s="117">
        <f>H23*I24</f>
        <v>17</v>
      </c>
      <c r="I24" s="115">
        <f>L42</f>
        <v>1</v>
      </c>
      <c r="J24" s="98"/>
      <c r="K24" s="117">
        <f>K23*L24</f>
        <v>13</v>
      </c>
      <c r="L24" s="115">
        <f>L42</f>
        <v>1</v>
      </c>
      <c r="M24" s="114"/>
      <c r="N24" s="117">
        <f>N23*O24</f>
        <v>5</v>
      </c>
      <c r="O24" s="116">
        <f>L42</f>
        <v>1</v>
      </c>
    </row>
    <row r="25" spans="1:30" ht="14.25" x14ac:dyDescent="0.45">
      <c r="C25" s="70"/>
      <c r="D25" s="84"/>
      <c r="E25" s="71" t="s">
        <v>13</v>
      </c>
      <c r="F25" s="129">
        <f>IF(F21=$C$51,H42,IF(F21=$C$52,I42,J42))</f>
        <v>0</v>
      </c>
      <c r="G25" s="93"/>
      <c r="H25" s="129">
        <f>IF(H21=$C$51,H42,IF(H21=$C$52,I42,J42))</f>
        <v>1.2999999999999972</v>
      </c>
      <c r="I25" s="84"/>
      <c r="J25" s="84"/>
      <c r="K25" s="129">
        <f>IF(K21=$C$51,H42,IF(K21=$C$52,I42,J42))</f>
        <v>0</v>
      </c>
      <c r="L25" s="114"/>
      <c r="M25" s="114"/>
      <c r="N25" s="129">
        <f>IF(N21=$C$51,H42,IF(N21=$C$52,I42,J42))</f>
        <v>3</v>
      </c>
      <c r="O25" s="65"/>
      <c r="Q25" s="136"/>
      <c r="R25" s="136"/>
      <c r="S25" s="136"/>
      <c r="T25" s="136"/>
      <c r="U25" s="136"/>
    </row>
    <row r="26" spans="1:30" ht="14.25" x14ac:dyDescent="0.45">
      <c r="C26" s="82"/>
      <c r="D26" s="62"/>
      <c r="E26" s="62"/>
      <c r="F26" s="95">
        <f>F24+F25</f>
        <v>-2</v>
      </c>
      <c r="G26" s="73"/>
      <c r="H26" s="95">
        <f>H24+H25</f>
        <v>18.299999999999997</v>
      </c>
      <c r="I26" s="74"/>
      <c r="J26" s="74"/>
      <c r="K26" s="95">
        <f>K24+K25</f>
        <v>13</v>
      </c>
      <c r="L26" s="74"/>
      <c r="M26" s="74"/>
      <c r="N26" s="95">
        <f>IF(G5=C33,0,N24+N25)</f>
        <v>8</v>
      </c>
      <c r="O26" s="65"/>
      <c r="Q26" s="136"/>
      <c r="R26" s="191"/>
      <c r="S26" s="191"/>
      <c r="T26" s="136"/>
      <c r="U26" s="136"/>
      <c r="V26" s="190"/>
      <c r="W26" s="190"/>
    </row>
    <row r="27" spans="1:30" ht="15.75" x14ac:dyDescent="0.5">
      <c r="C27" s="70"/>
      <c r="D27" s="89" t="s">
        <v>19</v>
      </c>
      <c r="E27" s="90"/>
      <c r="F27" s="127">
        <f>I64</f>
        <v>-2</v>
      </c>
      <c r="G27" s="94"/>
      <c r="H27" s="127">
        <f>J64</f>
        <v>18</v>
      </c>
      <c r="I27" s="130"/>
      <c r="J27" s="131"/>
      <c r="K27" s="127">
        <f>K64</f>
        <v>16</v>
      </c>
      <c r="L27" s="186"/>
      <c r="M27" s="186"/>
      <c r="N27" s="127">
        <f>L64</f>
        <v>8</v>
      </c>
      <c r="O27" s="65"/>
      <c r="Q27" s="136"/>
      <c r="R27" s="136"/>
      <c r="S27" s="136"/>
      <c r="T27" s="136"/>
      <c r="U27" s="136"/>
    </row>
    <row r="28" spans="1:30" ht="14.25" x14ac:dyDescent="0.45">
      <c r="C28" s="70"/>
      <c r="D28" s="62"/>
      <c r="E28" s="62"/>
      <c r="F28" s="74" t="s">
        <v>64</v>
      </c>
      <c r="G28" s="74" t="str">
        <f>IF(ISNUMBER(SEARCH("Medal",G5)),"Y","N")</f>
        <v>N</v>
      </c>
      <c r="H28" s="74"/>
      <c r="I28" s="74"/>
      <c r="J28" s="74"/>
      <c r="K28" s="74"/>
      <c r="L28" s="74" t="str">
        <f>IF(ISNUMBER(SEARCH("Medal",G5)),"Y","N")</f>
        <v>N</v>
      </c>
      <c r="M28" s="62"/>
      <c r="N28" s="64"/>
      <c r="O28" s="65"/>
      <c r="Q28" s="136"/>
      <c r="R28" s="136"/>
      <c r="S28" s="136"/>
      <c r="T28" s="136"/>
      <c r="U28" s="136"/>
      <c r="AD28" s="137"/>
    </row>
    <row r="29" spans="1:30" ht="14.25" x14ac:dyDescent="0.45">
      <c r="C29" s="70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4"/>
      <c r="O29" s="65"/>
      <c r="Q29" s="136"/>
      <c r="R29" s="136"/>
      <c r="S29" s="136"/>
      <c r="T29" s="136"/>
      <c r="U29" s="136"/>
      <c r="Y29" s="138"/>
    </row>
    <row r="30" spans="1:30" ht="23.25" customHeight="1" thickBot="1" x14ac:dyDescent="0.3">
      <c r="C30" s="176" t="s">
        <v>26</v>
      </c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8"/>
      <c r="Q30" s="136"/>
      <c r="R30" s="136"/>
      <c r="S30" s="136"/>
      <c r="T30" s="136"/>
      <c r="U30" s="136"/>
    </row>
    <row r="31" spans="1:30" ht="14.25" hidden="1" x14ac:dyDescent="0.45">
      <c r="D31" s="133" t="s">
        <v>43</v>
      </c>
      <c r="E31" s="133" t="s">
        <v>38</v>
      </c>
      <c r="F31" s="133" t="s">
        <v>39</v>
      </c>
      <c r="G31" s="133"/>
      <c r="H31" s="133" t="s">
        <v>48</v>
      </c>
      <c r="I31" s="133" t="s">
        <v>49</v>
      </c>
      <c r="J31" s="133" t="s">
        <v>50</v>
      </c>
      <c r="K31" s="133"/>
      <c r="L31" s="133" t="s">
        <v>4</v>
      </c>
      <c r="M31" s="132" t="s">
        <v>4</v>
      </c>
      <c r="P31" s="133"/>
      <c r="Q31" s="136"/>
      <c r="R31" s="136"/>
      <c r="S31" s="136"/>
      <c r="T31" s="136"/>
      <c r="U31" s="136"/>
    </row>
    <row r="32" spans="1:30" ht="14.25" hidden="1" x14ac:dyDescent="0.45">
      <c r="A32" s="132">
        <v>1</v>
      </c>
      <c r="C32" s="132" t="s">
        <v>82</v>
      </c>
      <c r="D32" s="133">
        <f>IF($F$9&gt;$Q$13,$F$9-$Q$13,0)</f>
        <v>0</v>
      </c>
      <c r="E32" s="134">
        <f>IF($H$9&gt;$Q$13,$H$9-$Q$13,0)</f>
        <v>1.2999999999999972</v>
      </c>
      <c r="F32" s="134">
        <f>IF($K$9&gt;$Q$13,$K$9-$Q$13,0)</f>
        <v>3</v>
      </c>
      <c r="G32" s="134"/>
      <c r="H32" s="133">
        <f>IF($F$12&lt;$S$13,$S$13-$F$12,0)</f>
        <v>0</v>
      </c>
      <c r="I32" s="133">
        <f>IF($H$12&lt;$S$13,$S$13-$H$12,0)</f>
        <v>1</v>
      </c>
      <c r="J32" s="133">
        <f>IF($K$12&lt;$S$13,$S$13-$K$12,0)</f>
        <v>3</v>
      </c>
      <c r="L32" s="133">
        <v>0.75</v>
      </c>
      <c r="M32" s="133">
        <v>0.75</v>
      </c>
      <c r="N32" s="132"/>
      <c r="P32" s="133"/>
      <c r="Q32" s="136"/>
      <c r="R32" s="136"/>
      <c r="S32" s="136"/>
      <c r="T32" s="136"/>
      <c r="U32" s="136"/>
    </row>
    <row r="33" spans="1:21" ht="14.25" hidden="1" x14ac:dyDescent="0.45">
      <c r="A33" s="132">
        <v>2</v>
      </c>
      <c r="C33" s="132" t="s">
        <v>83</v>
      </c>
      <c r="D33" s="133">
        <f>IF($F$9&gt;$Q$13,$F$9-$Q$13,0)</f>
        <v>0</v>
      </c>
      <c r="E33" s="134">
        <f>IF($H$9&gt;$Q$13,$H$9-$Q$13,0)</f>
        <v>1.2999999999999972</v>
      </c>
      <c r="F33" s="134">
        <f>IF($K$9&gt;$Q$13,$K$9-$Q$13,0)</f>
        <v>3</v>
      </c>
      <c r="G33" s="134"/>
      <c r="H33" s="133">
        <f t="shared" ref="H33:H38" si="1">IF($F$12&lt;$S$13,$S$13-$F$12,0)</f>
        <v>0</v>
      </c>
      <c r="I33" s="133">
        <f t="shared" ref="I33:I38" si="2">IF($H$12&lt;$S$13,$S$13-$H$12,0)</f>
        <v>1</v>
      </c>
      <c r="J33" s="133">
        <f t="shared" ref="J33:J38" si="3">IF($K$12&lt;$S$13,$S$13-$K$12,0)</f>
        <v>3</v>
      </c>
      <c r="L33" s="133">
        <v>0.85</v>
      </c>
      <c r="M33" s="133">
        <v>0.8</v>
      </c>
      <c r="N33" s="132"/>
      <c r="P33" s="133"/>
      <c r="Q33" s="136"/>
      <c r="R33" s="136"/>
      <c r="S33" s="136"/>
      <c r="T33" s="136"/>
      <c r="U33" s="136"/>
    </row>
    <row r="34" spans="1:21" ht="14.25" hidden="1" x14ac:dyDescent="0.45">
      <c r="A34" s="132">
        <v>3</v>
      </c>
      <c r="C34" s="132" t="s">
        <v>85</v>
      </c>
      <c r="D34" s="133">
        <f>IF($F$12&lt;$S$13,$S$13-$F$12,0)</f>
        <v>0</v>
      </c>
      <c r="E34" s="134">
        <f t="shared" ref="E34:E38" si="4">IF($H$9&gt;$Q$13,$H$9-$Q$13,0)</f>
        <v>1.2999999999999972</v>
      </c>
      <c r="F34" s="134">
        <f t="shared" ref="F34:F38" si="5">IF($K$9&gt;$Q$13,$K$9-$Q$13,0)</f>
        <v>3</v>
      </c>
      <c r="G34" s="133"/>
      <c r="H34" s="133">
        <f t="shared" si="1"/>
        <v>0</v>
      </c>
      <c r="I34" s="133">
        <f t="shared" si="2"/>
        <v>1</v>
      </c>
      <c r="J34" s="133">
        <f t="shared" si="3"/>
        <v>3</v>
      </c>
      <c r="K34" s="137"/>
      <c r="L34" s="133">
        <v>1</v>
      </c>
      <c r="M34" s="133">
        <v>0.9</v>
      </c>
      <c r="N34" s="132"/>
      <c r="P34" s="133"/>
      <c r="Q34" s="136"/>
      <c r="R34" s="136"/>
      <c r="S34" s="136"/>
      <c r="T34" s="136"/>
      <c r="U34" s="136"/>
    </row>
    <row r="35" spans="1:21" ht="14.25" hidden="1" x14ac:dyDescent="0.45">
      <c r="A35" s="132">
        <v>4</v>
      </c>
      <c r="C35" s="132" t="s">
        <v>84</v>
      </c>
      <c r="D35" s="133">
        <f>IF($F$12&lt;$S$13,$S$13-$F$12,0)</f>
        <v>0</v>
      </c>
      <c r="E35" s="134">
        <f t="shared" si="4"/>
        <v>1.2999999999999972</v>
      </c>
      <c r="F35" s="134">
        <f t="shared" si="5"/>
        <v>3</v>
      </c>
      <c r="G35" s="133"/>
      <c r="H35" s="133">
        <f t="shared" si="1"/>
        <v>0</v>
      </c>
      <c r="I35" s="133">
        <f t="shared" si="2"/>
        <v>1</v>
      </c>
      <c r="J35" s="133">
        <f t="shared" si="3"/>
        <v>3</v>
      </c>
      <c r="K35" s="137"/>
      <c r="L35" s="133">
        <v>1</v>
      </c>
      <c r="M35" s="133">
        <v>1</v>
      </c>
      <c r="N35" s="132"/>
      <c r="P35" s="133"/>
      <c r="Q35" s="136"/>
      <c r="R35" s="136"/>
      <c r="S35" s="136"/>
      <c r="T35" s="136"/>
      <c r="U35" s="136"/>
    </row>
    <row r="36" spans="1:21" ht="14.25" hidden="1" x14ac:dyDescent="0.45">
      <c r="A36" s="132">
        <v>5</v>
      </c>
      <c r="C36" s="132" t="s">
        <v>86</v>
      </c>
      <c r="D36" s="133">
        <f t="shared" ref="D36:D38" si="6">IF($F$12&lt;$S$13,$S$13-$F$12,0)</f>
        <v>0</v>
      </c>
      <c r="E36" s="134">
        <f t="shared" si="4"/>
        <v>1.2999999999999972</v>
      </c>
      <c r="F36" s="134">
        <f t="shared" si="5"/>
        <v>3</v>
      </c>
      <c r="G36" s="133"/>
      <c r="H36" s="133">
        <f t="shared" si="1"/>
        <v>0</v>
      </c>
      <c r="I36" s="133">
        <f t="shared" si="2"/>
        <v>1</v>
      </c>
      <c r="J36" s="133">
        <f t="shared" si="3"/>
        <v>3</v>
      </c>
      <c r="L36" s="133">
        <v>0.7</v>
      </c>
      <c r="M36" s="133">
        <v>0.7</v>
      </c>
      <c r="N36" s="132"/>
      <c r="P36" s="133"/>
      <c r="Q36" s="136"/>
      <c r="R36" s="136"/>
      <c r="S36" s="136"/>
      <c r="T36" s="136"/>
      <c r="U36" s="136"/>
    </row>
    <row r="37" spans="1:21" ht="14.25" hidden="1" x14ac:dyDescent="0.45">
      <c r="A37" s="132">
        <v>6</v>
      </c>
      <c r="C37" s="132" t="s">
        <v>87</v>
      </c>
      <c r="D37" s="133">
        <f t="shared" si="6"/>
        <v>0</v>
      </c>
      <c r="E37" s="134">
        <f t="shared" si="4"/>
        <v>1.2999999999999972</v>
      </c>
      <c r="F37" s="134">
        <f t="shared" si="5"/>
        <v>3</v>
      </c>
      <c r="H37" s="133">
        <f t="shared" si="1"/>
        <v>0</v>
      </c>
      <c r="I37" s="133">
        <f t="shared" si="2"/>
        <v>1</v>
      </c>
      <c r="J37" s="133">
        <f t="shared" si="3"/>
        <v>3</v>
      </c>
      <c r="L37" s="133">
        <v>0.85</v>
      </c>
      <c r="M37" s="133">
        <v>0.85</v>
      </c>
      <c r="N37" s="132"/>
      <c r="P37" s="133"/>
      <c r="Q37" s="136"/>
      <c r="R37" s="136"/>
      <c r="S37" s="136"/>
      <c r="T37" s="136"/>
      <c r="U37" s="136"/>
    </row>
    <row r="38" spans="1:21" ht="14.25" hidden="1" x14ac:dyDescent="0.45">
      <c r="A38" s="132">
        <v>7</v>
      </c>
      <c r="C38" s="132" t="s">
        <v>88</v>
      </c>
      <c r="D38" s="133">
        <f t="shared" si="6"/>
        <v>0</v>
      </c>
      <c r="E38" s="134">
        <f t="shared" si="4"/>
        <v>1.2999999999999972</v>
      </c>
      <c r="F38" s="134">
        <f t="shared" si="5"/>
        <v>3</v>
      </c>
      <c r="H38" s="133">
        <f t="shared" si="1"/>
        <v>0</v>
      </c>
      <c r="I38" s="133">
        <f t="shared" si="2"/>
        <v>1</v>
      </c>
      <c r="J38" s="133">
        <f t="shared" si="3"/>
        <v>3</v>
      </c>
      <c r="L38" s="133">
        <v>1</v>
      </c>
      <c r="M38" s="133">
        <v>1</v>
      </c>
      <c r="N38" s="132"/>
      <c r="P38" s="133"/>
      <c r="Q38" s="136"/>
      <c r="R38" s="136"/>
      <c r="S38" s="136"/>
      <c r="T38" s="136"/>
      <c r="U38" s="136"/>
    </row>
    <row r="39" spans="1:21" ht="14.25" hidden="1" x14ac:dyDescent="0.45">
      <c r="D39" s="133">
        <f>VLOOKUP($G$5,$C$32:D$38,2,FALSE)</f>
        <v>0</v>
      </c>
      <c r="E39" s="133">
        <f>VLOOKUP($G$5,$C$32:E$38,3,FALSE)</f>
        <v>1.2999999999999972</v>
      </c>
      <c r="F39" s="133">
        <f>VLOOKUP($G$5,$C$32:F$38,4,FALSE)</f>
        <v>3</v>
      </c>
      <c r="H39" s="133">
        <f>VLOOKUP($G$5,$C$32:H$38,6,FALSE)</f>
        <v>0</v>
      </c>
      <c r="I39" s="133">
        <f>VLOOKUP($G$5,$C$32:I$38,7,FALSE)</f>
        <v>1</v>
      </c>
      <c r="J39" s="133">
        <f>VLOOKUP($G$5,$C$32:J$38,8,FALSE)</f>
        <v>3</v>
      </c>
      <c r="L39" s="133">
        <f>VLOOKUP($G$5,$C$32:L$38,10,FALSE)</f>
        <v>1</v>
      </c>
      <c r="M39" s="133">
        <f>VLOOKUP($G$5,$C$32:M$38,11,FALSE)</f>
        <v>1</v>
      </c>
      <c r="N39" s="132"/>
      <c r="P39" s="133"/>
      <c r="Q39" s="136"/>
      <c r="R39" s="136"/>
      <c r="S39" s="136"/>
      <c r="T39" s="136"/>
      <c r="U39" s="136"/>
    </row>
    <row r="40" spans="1:21" ht="14.25" hidden="1" x14ac:dyDescent="0.45">
      <c r="C40" s="132" t="s">
        <v>27</v>
      </c>
      <c r="D40" s="190" t="s">
        <v>89</v>
      </c>
      <c r="E40" s="190"/>
      <c r="F40" s="190"/>
      <c r="H40" s="190" t="s">
        <v>92</v>
      </c>
      <c r="I40" s="190"/>
      <c r="J40" s="190"/>
      <c r="L40" s="133" t="s">
        <v>95</v>
      </c>
      <c r="M40" s="133" t="s">
        <v>96</v>
      </c>
      <c r="N40" s="132"/>
      <c r="P40" s="133"/>
      <c r="Q40" s="136"/>
      <c r="R40" s="136"/>
      <c r="S40" s="136"/>
      <c r="T40" s="136"/>
      <c r="U40" s="136"/>
    </row>
    <row r="41" spans="1:21" ht="14.25" hidden="1" x14ac:dyDescent="0.45">
      <c r="C41" s="132" t="s">
        <v>28</v>
      </c>
      <c r="N41" s="132"/>
      <c r="P41" s="133"/>
      <c r="Q41" s="136"/>
      <c r="R41" s="136"/>
      <c r="S41" s="136"/>
      <c r="T41" s="136"/>
      <c r="U41" s="136"/>
    </row>
    <row r="42" spans="1:21" ht="14.25" hidden="1" x14ac:dyDescent="0.45">
      <c r="C42" s="132" t="s">
        <v>29</v>
      </c>
      <c r="G42" s="132" t="s">
        <v>94</v>
      </c>
      <c r="H42" s="133">
        <f>IF($J$5=$C$44,D39,H39)</f>
        <v>0</v>
      </c>
      <c r="I42" s="133">
        <f t="shared" ref="I42:J42" si="7">IF($J$5=$C$44,E39,I39)</f>
        <v>1.2999999999999972</v>
      </c>
      <c r="J42" s="133">
        <f t="shared" si="7"/>
        <v>3</v>
      </c>
      <c r="L42" s="133">
        <f>IF($J$5=$C$46,M39,L39)</f>
        <v>1</v>
      </c>
      <c r="Q42" s="136"/>
      <c r="R42" s="136"/>
      <c r="S42" s="136"/>
      <c r="T42" s="136"/>
      <c r="U42" s="136"/>
    </row>
    <row r="43" spans="1:21" ht="14.25" hidden="1" x14ac:dyDescent="0.45">
      <c r="C43" s="132" t="s">
        <v>30</v>
      </c>
      <c r="Q43" s="136"/>
      <c r="R43" s="136"/>
      <c r="S43" s="136"/>
      <c r="T43" s="136"/>
      <c r="U43" s="136"/>
    </row>
    <row r="44" spans="1:21" ht="14.25" hidden="1" x14ac:dyDescent="0.45">
      <c r="C44" s="132" t="s">
        <v>89</v>
      </c>
    </row>
    <row r="45" spans="1:21" ht="14.25" hidden="1" x14ac:dyDescent="0.45">
      <c r="C45" s="132" t="s">
        <v>90</v>
      </c>
    </row>
    <row r="46" spans="1:21" ht="14.25" hidden="1" x14ac:dyDescent="0.45">
      <c r="C46" s="132" t="s">
        <v>91</v>
      </c>
      <c r="D46" s="139" t="s">
        <v>70</v>
      </c>
    </row>
    <row r="47" spans="1:21" ht="12.4" hidden="1" customHeight="1" x14ac:dyDescent="0.45">
      <c r="C47" s="132" t="s">
        <v>47</v>
      </c>
      <c r="D47" s="134">
        <f>F19</f>
        <v>-2</v>
      </c>
      <c r="E47" s="140">
        <f>D47*G47/113</f>
        <v>-2</v>
      </c>
      <c r="F47" s="141">
        <f>I56</f>
        <v>-2</v>
      </c>
      <c r="G47" s="132">
        <f>IF(F21=C51,F11,IF(F21=C52,H11,K11))</f>
        <v>113</v>
      </c>
    </row>
    <row r="48" spans="1:21" ht="14.25" hidden="1" x14ac:dyDescent="0.45">
      <c r="C48" s="132" t="s">
        <v>44</v>
      </c>
      <c r="D48" s="134">
        <f>H19</f>
        <v>14</v>
      </c>
      <c r="E48" s="140">
        <f>D48*G48/113</f>
        <v>17.345132743362832</v>
      </c>
      <c r="F48" s="141">
        <f>J56</f>
        <v>17</v>
      </c>
      <c r="G48" s="132">
        <f>IF(H21=C51,F11,IF(H21=C52,H11,K11))</f>
        <v>140</v>
      </c>
    </row>
    <row r="49" spans="3:12" ht="14.25" hidden="1" x14ac:dyDescent="0.45">
      <c r="C49" s="132" t="s">
        <v>45</v>
      </c>
      <c r="D49" s="134">
        <f>K19</f>
        <v>13</v>
      </c>
      <c r="E49" s="140">
        <f>D49*G49/113</f>
        <v>13</v>
      </c>
      <c r="F49" s="141">
        <f>K56</f>
        <v>13</v>
      </c>
      <c r="G49" s="132">
        <f>IF(K21=C51,F11,IF(K21=C52,H11,K11))</f>
        <v>113</v>
      </c>
    </row>
    <row r="50" spans="3:12" ht="14.25" hidden="1" x14ac:dyDescent="0.45">
      <c r="C50" s="132" t="s">
        <v>46</v>
      </c>
      <c r="D50" s="134">
        <f>N19</f>
        <v>4</v>
      </c>
      <c r="E50" s="140">
        <f>D50*G50/113</f>
        <v>4.6017699115044248</v>
      </c>
      <c r="F50" s="141">
        <f>L56</f>
        <v>5</v>
      </c>
      <c r="G50" s="132">
        <f>IF(N21=C51,F11,IF(N21=C52,H11,K11))</f>
        <v>130</v>
      </c>
    </row>
    <row r="51" spans="3:12" ht="14.25" hidden="1" x14ac:dyDescent="0.45">
      <c r="C51" s="132" t="s">
        <v>48</v>
      </c>
    </row>
    <row r="52" spans="3:12" ht="14.25" hidden="1" x14ac:dyDescent="0.45">
      <c r="C52" s="132" t="s">
        <v>49</v>
      </c>
      <c r="I52" s="132" t="s">
        <v>47</v>
      </c>
      <c r="J52" s="132" t="s">
        <v>44</v>
      </c>
      <c r="K52" s="132" t="s">
        <v>45</v>
      </c>
      <c r="L52" s="132" t="s">
        <v>46</v>
      </c>
    </row>
    <row r="53" spans="3:12" ht="14.25" hidden="1" x14ac:dyDescent="0.45">
      <c r="C53" s="132" t="s">
        <v>50</v>
      </c>
      <c r="H53" s="132" t="s">
        <v>76</v>
      </c>
      <c r="I53" s="137">
        <f>D47*G47/113</f>
        <v>-2</v>
      </c>
      <c r="J53" s="137">
        <f>D48*G48/113</f>
        <v>17.345132743362832</v>
      </c>
      <c r="K53" s="137">
        <f>D49*G49/113</f>
        <v>13</v>
      </c>
      <c r="L53" s="137">
        <f>D50*G50/113</f>
        <v>4.6017699115044248</v>
      </c>
    </row>
    <row r="54" spans="3:12" ht="14.25" hidden="1" x14ac:dyDescent="0.45">
      <c r="I54" s="140">
        <f>IF(I53&lt;0,I53*-1,I53)</f>
        <v>2</v>
      </c>
      <c r="J54" s="140">
        <f>IF(J53&lt;0,J53*-1,J53)</f>
        <v>17.345132743362832</v>
      </c>
      <c r="K54" s="140">
        <f>IF(K53&lt;0,K53*-1,K53)</f>
        <v>13</v>
      </c>
      <c r="L54" s="140">
        <f>IF(L53&lt;0,L53*-1,L53)</f>
        <v>4.6017699115044248</v>
      </c>
    </row>
    <row r="55" spans="3:12" ht="14.25" hidden="1" x14ac:dyDescent="0.45">
      <c r="I55" s="140">
        <f>IF(I54-INT(I54)=0.5,IF(I53&lt;0,I53+0.001,I53),I53)</f>
        <v>-2</v>
      </c>
      <c r="J55" s="140">
        <f>IF(J54-INT(J54)=0.5,IF(J53&lt;0,J53+0.001,J53),J53)</f>
        <v>17.345132743362832</v>
      </c>
      <c r="K55" s="140">
        <f>IF(K54-INT(K54)=0.5,IF(K53&lt;0,K53+0.001,K53),K53)</f>
        <v>13</v>
      </c>
      <c r="L55" s="140">
        <f>IF(L54-INT(L54)=0.5,IF(L53&lt;0,L53+0.001,L53),L53)</f>
        <v>4.6017699115044248</v>
      </c>
    </row>
    <row r="56" spans="3:12" ht="14.25" hidden="1" x14ac:dyDescent="0.45">
      <c r="H56" s="132" t="s">
        <v>97</v>
      </c>
      <c r="I56" s="141">
        <f>ROUND(I55,0)</f>
        <v>-2</v>
      </c>
      <c r="J56" s="141">
        <f>ROUND(J55,0)</f>
        <v>17</v>
      </c>
      <c r="K56" s="141">
        <f>ROUND(K55,0)</f>
        <v>13</v>
      </c>
      <c r="L56" s="141">
        <f>ROUND(L55,0)</f>
        <v>5</v>
      </c>
    </row>
    <row r="57" spans="3:12" ht="14.25" hidden="1" x14ac:dyDescent="0.45">
      <c r="I57" s="140">
        <f>IF($G$3=$C$45,I53,I56)</f>
        <v>-2</v>
      </c>
      <c r="J57" s="140">
        <f>IF($G$3=$C$45,J53,J56)</f>
        <v>17</v>
      </c>
      <c r="K57" s="140">
        <f>IF($G$3=$C$45,K53,K56)</f>
        <v>13</v>
      </c>
      <c r="L57" s="140">
        <f>IF($G$3=$C$45,L53,L56)</f>
        <v>5</v>
      </c>
    </row>
    <row r="58" spans="3:12" ht="14.25" hidden="1" x14ac:dyDescent="0.45"/>
    <row r="59" spans="3:12" ht="14.25" hidden="1" x14ac:dyDescent="0.45">
      <c r="I59" s="135" t="s">
        <v>19</v>
      </c>
    </row>
    <row r="60" spans="3:12" ht="14.25" hidden="1" x14ac:dyDescent="0.45"/>
    <row r="61" spans="3:12" ht="14.25" hidden="1" x14ac:dyDescent="0.45">
      <c r="G61" s="142">
        <f>I24</f>
        <v>1</v>
      </c>
      <c r="I61" s="140">
        <f>F24+F25</f>
        <v>-2</v>
      </c>
      <c r="J61" s="140">
        <f>H24+H25</f>
        <v>18.299999999999997</v>
      </c>
      <c r="K61" s="140">
        <f>K24+N25</f>
        <v>16</v>
      </c>
      <c r="L61" s="140">
        <f>N24+N25</f>
        <v>8</v>
      </c>
    </row>
    <row r="62" spans="3:12" ht="14.25" hidden="1" x14ac:dyDescent="0.45">
      <c r="I62" s="140">
        <f>IF(I61&lt;0,ROUND(I61*-1,3),ROUND(I61,3))</f>
        <v>2</v>
      </c>
      <c r="J62" s="140">
        <f>IF(J61&lt;0,ROUND(J61*-1,3),ROUND(J61,3))</f>
        <v>18.3</v>
      </c>
      <c r="K62" s="140">
        <f>IF(K61&lt;0,ROUND(K61*-1,3),ROUND(K61,3))</f>
        <v>16</v>
      </c>
      <c r="L62" s="140">
        <f>IF(L61&lt;0,ROUND(L61*-1,3),ROUND(L61,3))</f>
        <v>8</v>
      </c>
    </row>
    <row r="63" spans="3:12" ht="14.25" hidden="1" x14ac:dyDescent="0.45">
      <c r="I63" s="140">
        <f>IF(I62-INT(I62)=0.5,IF(I61&lt;0,I61+0.001,I61),I61)</f>
        <v>-2</v>
      </c>
      <c r="J63" s="140">
        <f>IF(J62-INT(J62)=0.5,IF(J61&lt;0,J61+0.001,J61),J61)</f>
        <v>18.299999999999997</v>
      </c>
      <c r="K63" s="140">
        <f>IF(K62-INT(K62)=0.5,IF(K61&lt;0,K61+0.001,K61),K61)</f>
        <v>16</v>
      </c>
      <c r="L63" s="140">
        <f>IF(L62-INT(L62)=0.5,IF(L61&lt;0,L61+0.001,L61),L61)</f>
        <v>8</v>
      </c>
    </row>
    <row r="64" spans="3:12" ht="14.25" hidden="1" x14ac:dyDescent="0.45">
      <c r="I64" s="132">
        <f>ROUND(I63,0)</f>
        <v>-2</v>
      </c>
      <c r="J64" s="132">
        <f>ROUND(J63,0)</f>
        <v>18</v>
      </c>
      <c r="K64" s="132">
        <f>ROUND(K63,0)</f>
        <v>16</v>
      </c>
      <c r="L64" s="132">
        <f>ROUND(L63,0)</f>
        <v>8</v>
      </c>
    </row>
    <row r="65" ht="14.25" hidden="1" x14ac:dyDescent="0.45"/>
  </sheetData>
  <sheetProtection algorithmName="SHA-512" hashValue="yJe0FKlhJXc2W9lv57rWnpwqEW3tbQMXfJQYIGO1DTnqL/r8BdMGH780Jye6E6lGpmjTRipWdCzKJXf2gbjOMg==" saltValue="tTMobIWwwFrGwGFXk5CcEA==" spinCount="100000" sheet="1" objects="1" scenarios="1" selectLockedCells="1"/>
  <mergeCells count="11">
    <mergeCell ref="C2:D2"/>
    <mergeCell ref="C3:D3"/>
    <mergeCell ref="G3:H3"/>
    <mergeCell ref="C5:D5"/>
    <mergeCell ref="G5:H5"/>
    <mergeCell ref="V26:W26"/>
    <mergeCell ref="L27:M27"/>
    <mergeCell ref="C30:O30"/>
    <mergeCell ref="D40:F40"/>
    <mergeCell ref="H40:J40"/>
    <mergeCell ref="R26:S26"/>
  </mergeCells>
  <conditionalFormatting sqref="D27:F27">
    <cfRule type="expression" dxfId="5" priority="14">
      <formula>$G$5="Individual Medal (Scratch)"</formula>
    </cfRule>
  </conditionalFormatting>
  <conditionalFormatting sqref="E27:F27">
    <cfRule type="expression" priority="13">
      <formula>$G$5="Individual Medal (Scratch)"</formula>
    </cfRule>
  </conditionalFormatting>
  <conditionalFormatting sqref="H27">
    <cfRule type="expression" dxfId="4" priority="12">
      <formula>$G$5="Individual Medal (Scratch)"</formula>
    </cfRule>
  </conditionalFormatting>
  <conditionalFormatting sqref="H27">
    <cfRule type="expression" priority="11">
      <formula>$G$5="Individual Medal (Scratch)"</formula>
    </cfRule>
  </conditionalFormatting>
  <conditionalFormatting sqref="K27">
    <cfRule type="expression" dxfId="3" priority="10">
      <formula>$G$5="Individual Medal (Scratch)"</formula>
    </cfRule>
  </conditionalFormatting>
  <conditionalFormatting sqref="K27">
    <cfRule type="expression" priority="9">
      <formula>$G$5="Individual Medal (Scratch)"</formula>
    </cfRule>
  </conditionalFormatting>
  <conditionalFormatting sqref="N17:O27">
    <cfRule type="expression" dxfId="2" priority="3">
      <formula>$G$5=$C$36</formula>
    </cfRule>
    <cfRule type="expression" dxfId="1" priority="2">
      <formula>$G$5=$C$37</formula>
    </cfRule>
    <cfRule type="expression" dxfId="0" priority="1">
      <formula>$G$5=$C$38</formula>
    </cfRule>
  </conditionalFormatting>
  <dataValidations count="4">
    <dataValidation type="list" allowBlank="1" showInputMessage="1" showErrorMessage="1" sqref="G5:H5">
      <formula1>$C$32:$C$38</formula1>
    </dataValidation>
    <dataValidation type="list" allowBlank="1" showInputMessage="1" showErrorMessage="1" sqref="J5">
      <formula1>$C$44:$C$46</formula1>
    </dataValidation>
    <dataValidation type="list" allowBlank="1" showInputMessage="1" showErrorMessage="1" sqref="G3">
      <formula1>$C$40:$C$43</formula1>
    </dataValidation>
    <dataValidation type="list" allowBlank="1" showInputMessage="1" showErrorMessage="1" sqref="F21 H21 K21 N21">
      <formula1>$C$51:$C$53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18 Holes - 2 Tees</vt:lpstr>
      <vt:lpstr>18 Holes - 3 Tees</vt:lpstr>
      <vt:lpstr>9 Holes - 2 Tees</vt:lpstr>
      <vt:lpstr>Foursomes Greensomes</vt:lpstr>
      <vt:lpstr>Scrambles</vt:lpstr>
      <vt:lpstr>Team Competitions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Gaertner</dc:creator>
  <cp:lastModifiedBy>Eileen</cp:lastModifiedBy>
  <cp:lastPrinted>2017-05-18T10:37:57Z</cp:lastPrinted>
  <dcterms:created xsi:type="dcterms:W3CDTF">2014-01-14T11:14:11Z</dcterms:created>
  <dcterms:modified xsi:type="dcterms:W3CDTF">2021-01-24T17:08:12Z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8d81ebde-b093-4b89-9be9-5dcc83ba689e</vt:lpwstr>
  </property>
</Properties>
</file>