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3"/>
  <workbookPr autoCompressPictures="0"/>
  <xr:revisionPtr revIDLastSave="0" documentId="11_065E2A4AC875B8257ED4C123BE37240136920378" xr6:coauthVersionLast="47" xr6:coauthVersionMax="47" xr10:uidLastSave="{00000000-0000-0000-0000-000000000000}"/>
  <bookViews>
    <workbookView xWindow="0" yWindow="-460" windowWidth="28800" windowHeight="18000" tabRatio="539" activeTab="1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Team Sheet" sheetId="7" state="hidden" r:id="rId7"/>
    <sheet name="Team Perf" sheetId="8" r:id="rId8"/>
    <sheet name="Criteria" sheetId="9" state="hidden" r:id="rId9"/>
  </sheets>
  <definedNames>
    <definedName name="_xlnm._FilterDatabase" localSheetId="1" hidden="1">Batting!$A$2:$P$42</definedName>
    <definedName name="_xlnm._FilterDatabase" localSheetId="2" hidden="1">Bowling!$A$3:$R$42</definedName>
    <definedName name="_xlnm._FilterDatabase" localSheetId="4" hidden="1">'Duck Cup'!$A$2:$E$37</definedName>
    <definedName name="_xlnm._FilterDatabase" localSheetId="5" hidden="1">'Fantasy Cricket'!$A$3:$S$3</definedName>
    <definedName name="_xlnm._FilterDatabase" localSheetId="3" hidden="1">Fielding!$A$2:$H$35</definedName>
    <definedName name="_xlnm._FilterDatabase" localSheetId="7" hidden="1">'Team Perf'!$A$1:$AJ$328</definedName>
    <definedName name="_xlnm._FilterDatabase" localSheetId="6" hidden="1">'Team Sheet'!$A$1:$AC$56</definedName>
    <definedName name="abarn_bat">Criteria!$A$4:$B$5</definedName>
    <definedName name="Ahearne">Criteria!$A$2:$A$3</definedName>
    <definedName name="Ahearne_bat">Criteria!$A$2:$B$3</definedName>
    <definedName name="Akers_V">Criteria!$F$2:$F$3</definedName>
    <definedName name="Anders">Criteria!$D$2:$D$3</definedName>
    <definedName name="Bainbridge">Criteria!$D$4:$D$5</definedName>
    <definedName name="Barnard">Criteria!$A$4:$A$5</definedName>
    <definedName name="Barr_S">Criteria!$F$4:$F$5</definedName>
    <definedName name="barrs_wk">Criteria!$F$4:$G$5</definedName>
    <definedName name="bat_100">'Team Perf'!$Q$2:$Q$250</definedName>
    <definedName name="bat_4s">'Team Perf'!$L$2:$L$250</definedName>
    <definedName name="bat_50">'Team Perf'!$P$2:$P$250</definedName>
    <definedName name="bat_6s">'Team Perf'!$M$2:$M$250</definedName>
    <definedName name="bat_balls">'Team Perf'!$J$2:$J$250</definedName>
    <definedName name="bat_duck">'Team Perf'!$O$2:$O$250</definedName>
    <definedName name="bat_mins">'Team Perf'!$K$2:$K$250</definedName>
    <definedName name="bat_no">'Team Perf'!$N$2:$N$250</definedName>
    <definedName name="bat_run">'Team Perf'!$H$2:$H$250</definedName>
    <definedName name="Booth_R">Criteria!$H$4:$H$5</definedName>
    <definedName name="bowl_5wkts">'Team Perf'!$AC$2:$AC$250</definedName>
    <definedName name="bowl_mdn">'Team Perf'!$S$2:$S$250</definedName>
    <definedName name="bowl_nball">'Team Perf'!$U$2:$U$250</definedName>
    <definedName name="bowl_over">'Team Perf'!$R$2:$R$250</definedName>
    <definedName name="bowl_run">'Team Perf'!$V$2:$V$250</definedName>
    <definedName name="bowl_wide">'Team Perf'!$T$2:$T$250</definedName>
    <definedName name="bowl_wktb">'Team Perf'!$X$2:$X$250</definedName>
    <definedName name="bowl_wktct">'Team Perf'!$Z$2:$Z$250</definedName>
    <definedName name="bowl_wkthw">'Team Perf'!$AB$2:$AB$250</definedName>
    <definedName name="bowl_wktlbw">'Team Perf'!$Y$2:$Y$250</definedName>
    <definedName name="bowl_wktst">'Team Perf'!$AA$2:$AA$250</definedName>
    <definedName name="bye">'Team Perf'!$AD$2:$AD$327</definedName>
    <definedName name="cahea_bat">Criteria!$A$2:$B$3</definedName>
    <definedName name="Carsberg">Criteria!$A$6:$A$7</definedName>
    <definedName name="Carsberg_T">Criteria!$A$6:$A$7</definedName>
    <definedName name="Collins_M">Criteria!$D$6:$D$7</definedName>
    <definedName name="Dawson_N">Criteria!$A$8:$A$9</definedName>
    <definedName name="Drever_A">Criteria!$D$8:$D$9</definedName>
    <definedName name="Elburn_A">Criteria!$F$8:$F$9</definedName>
    <definedName name="fld_ct">'Team Perf'!$AE$2:$AE$250</definedName>
    <definedName name="fld_ro">'Team Perf'!$AF$2:$AF$250</definedName>
    <definedName name="fld_wkbye">'Team Perf'!$AD$2:$AD$250</definedName>
    <definedName name="fld_wkct">'Team Perf'!$AH$2:$AH$327</definedName>
    <definedName name="fld_wkst">'Team Perf'!$AG$2:$AG$327</definedName>
    <definedName name="Gallant_B">Criteria!$A$10:$A$11</definedName>
    <definedName name="Gallant_G">Criteria!$D$10:$D$11</definedName>
    <definedName name="Gallant_J">Criteria!$F$10:$F$11</definedName>
    <definedName name="Gilbert_J">Criteria!$H$10:$H$11</definedName>
    <definedName name="Gilbert_S">Criteria!$J$10:$J$11</definedName>
    <definedName name="gilbert_wk">Criteria!$J$10:$K$11</definedName>
    <definedName name="Hawkins_C">Criteria!$A$12:$A$13</definedName>
    <definedName name="Higgins_D">Criteria!$D$12:$D$13</definedName>
    <definedName name="how_out">'Team Perf'!$I$2:$I$250</definedName>
    <definedName name="hutchg_wk">Criteria!$H$12:$I$13</definedName>
    <definedName name="Hutchings_G">Criteria!$H$12:$H$13</definedName>
    <definedName name="match_date">'Team Perf'!$A$2:$A$327</definedName>
    <definedName name="match_team_data">'Team Sheet'!$A$1:$W$55</definedName>
    <definedName name="Matthews_C">Criteria!$M$16:$M$17</definedName>
    <definedName name="Matthews_K">Criteria!$F$16:$F$17</definedName>
    <definedName name="McClos_F">Criteria!$J$16:$J$17</definedName>
    <definedName name="Mimmack">Criteria!$L$16:$L$17</definedName>
    <definedName name="oppo_name">'Team Perf'!$B$2:$B$327</definedName>
    <definedName name="overs">'Team Perf'!$R$2:$R$327</definedName>
    <definedName name="_xlnm.Print_Area" localSheetId="0">'Match Summary'!$B$1:$W$35</definedName>
    <definedName name="Russell_T">Criteria!$A$20:$A$21</definedName>
    <definedName name="Scholes_P">Criteria!$D$22:$D$23</definedName>
    <definedName name="scholp_wk">Criteria!$D$22:$E$23</definedName>
    <definedName name="Scoles_P">Criteria!$D$22:$D$23</definedName>
    <definedName name="Scott_D">Criteria!$H$22:$H$23</definedName>
    <definedName name="Smith_B">Criteria!$L$22:$L$23</definedName>
    <definedName name="Stevens_P">Criteria!$N$22:$N$23</definedName>
    <definedName name="Sutcliffe_P">Criteria!$O$22:$O$23</definedName>
    <definedName name="Taylor_P">Criteria!$A$24:$A$25</definedName>
    <definedName name="team_data_all">'Team Perf'!$A$1:$AI$327</definedName>
    <definedName name="team_name">'Team Perf'!$D$2:$D$327</definedName>
    <definedName name="Wood_C">Criteria!$A$26:$A$27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3" l="1"/>
  <c r="H35" i="3"/>
  <c r="H36" i="3"/>
  <c r="H37" i="3"/>
  <c r="H38" i="3"/>
  <c r="H39" i="3"/>
  <c r="H40" i="3"/>
  <c r="H41" i="3"/>
  <c r="H42" i="3"/>
  <c r="H43" i="3"/>
  <c r="AD328" i="8"/>
  <c r="D34" i="3"/>
  <c r="D35" i="3"/>
  <c r="D36" i="3"/>
  <c r="D37" i="3"/>
  <c r="D38" i="3"/>
  <c r="D39" i="3"/>
  <c r="D40" i="3"/>
  <c r="D41" i="3"/>
  <c r="D42" i="3"/>
  <c r="D43" i="3"/>
  <c r="E40" i="2"/>
  <c r="E41" i="2"/>
  <c r="E42" i="2"/>
  <c r="E43" i="2"/>
  <c r="O30" i="2"/>
  <c r="P30" i="2"/>
  <c r="W223" i="8"/>
  <c r="AC223" i="8"/>
  <c r="W210" i="8"/>
  <c r="AC210" i="8"/>
  <c r="W285" i="8"/>
  <c r="AC285" i="8"/>
  <c r="W296" i="8"/>
  <c r="AC296" i="8"/>
  <c r="W308" i="8"/>
  <c r="AC308" i="8"/>
  <c r="AF328" i="8"/>
  <c r="AG328" i="8"/>
  <c r="AA328" i="8"/>
  <c r="AB328" i="8"/>
  <c r="X328" i="8"/>
  <c r="Y328" i="8"/>
  <c r="N285" i="8"/>
  <c r="N296" i="8"/>
  <c r="N308" i="8"/>
  <c r="O26" i="2"/>
  <c r="O285" i="8"/>
  <c r="O296" i="8"/>
  <c r="O308" i="8"/>
  <c r="P26" i="2"/>
  <c r="Q285" i="8"/>
  <c r="Q296" i="8"/>
  <c r="Q308" i="8"/>
  <c r="P285" i="8"/>
  <c r="P296" i="8"/>
  <c r="P308" i="8"/>
  <c r="N223" i="8"/>
  <c r="O223" i="8"/>
  <c r="Q223" i="8"/>
  <c r="P223" i="8"/>
  <c r="O37" i="2"/>
  <c r="P37" i="2"/>
  <c r="N210" i="8"/>
  <c r="O36" i="2"/>
  <c r="O210" i="8"/>
  <c r="P36" i="2"/>
  <c r="Q210" i="8"/>
  <c r="P210" i="8"/>
  <c r="H328" i="8"/>
  <c r="N17" i="8"/>
  <c r="N30" i="8"/>
  <c r="N53" i="8"/>
  <c r="N65" i="8"/>
  <c r="N2" i="8"/>
  <c r="N3" i="8"/>
  <c r="N4" i="8"/>
  <c r="N5" i="8"/>
  <c r="N6" i="8"/>
  <c r="N7" i="8"/>
  <c r="N8" i="8"/>
  <c r="N9" i="8"/>
  <c r="N10" i="8"/>
  <c r="N11" i="8"/>
  <c r="N12" i="8"/>
  <c r="N14" i="8"/>
  <c r="N15" i="8"/>
  <c r="N16" i="8"/>
  <c r="N18" i="8"/>
  <c r="N19" i="8"/>
  <c r="N20" i="8"/>
  <c r="N21" i="8"/>
  <c r="N22" i="8"/>
  <c r="N23" i="8"/>
  <c r="N24" i="8"/>
  <c r="N26" i="8"/>
  <c r="N27" i="8"/>
  <c r="N28" i="8"/>
  <c r="N29" i="8"/>
  <c r="N31" i="8"/>
  <c r="N32" i="8"/>
  <c r="N33" i="8"/>
  <c r="N34" i="8"/>
  <c r="N35" i="8"/>
  <c r="N36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4" i="8"/>
  <c r="N55" i="8"/>
  <c r="N56" i="8"/>
  <c r="N57" i="8"/>
  <c r="N58" i="8"/>
  <c r="N59" i="8"/>
  <c r="N60" i="8"/>
  <c r="N61" i="8"/>
  <c r="N62" i="8"/>
  <c r="N63" i="8"/>
  <c r="N64" i="8"/>
  <c r="N66" i="8"/>
  <c r="N67" i="8"/>
  <c r="N68" i="8"/>
  <c r="N69" i="8"/>
  <c r="N70" i="8"/>
  <c r="N71" i="8"/>
  <c r="N72" i="8"/>
  <c r="N74" i="8"/>
  <c r="N75" i="8"/>
  <c r="N76" i="8"/>
  <c r="N77" i="8"/>
  <c r="N78" i="8"/>
  <c r="N79" i="8"/>
  <c r="N80" i="8"/>
  <c r="N81" i="8"/>
  <c r="N82" i="8"/>
  <c r="N83" i="8"/>
  <c r="N84" i="8"/>
  <c r="N86" i="8"/>
  <c r="N87" i="8"/>
  <c r="N88" i="8"/>
  <c r="N89" i="8"/>
  <c r="N90" i="8"/>
  <c r="N91" i="8"/>
  <c r="N92" i="8"/>
  <c r="N93" i="8"/>
  <c r="N94" i="8"/>
  <c r="N95" i="8"/>
  <c r="N96" i="8"/>
  <c r="N98" i="8"/>
  <c r="N99" i="8"/>
  <c r="N100" i="8"/>
  <c r="N101" i="8"/>
  <c r="N102" i="8"/>
  <c r="N103" i="8"/>
  <c r="N104" i="8"/>
  <c r="N105" i="8"/>
  <c r="N106" i="8"/>
  <c r="N107" i="8"/>
  <c r="N108" i="8"/>
  <c r="N110" i="8"/>
  <c r="N111" i="8"/>
  <c r="N112" i="8"/>
  <c r="N113" i="8"/>
  <c r="N114" i="8"/>
  <c r="N115" i="8"/>
  <c r="N116" i="8"/>
  <c r="N117" i="8"/>
  <c r="N118" i="8"/>
  <c r="N119" i="8"/>
  <c r="N120" i="8"/>
  <c r="N122" i="8"/>
  <c r="N123" i="8"/>
  <c r="N124" i="8"/>
  <c r="N125" i="8"/>
  <c r="N126" i="8"/>
  <c r="N127" i="8"/>
  <c r="N128" i="8"/>
  <c r="N129" i="8"/>
  <c r="N130" i="8"/>
  <c r="N131" i="8"/>
  <c r="N132" i="8"/>
  <c r="N134" i="8"/>
  <c r="N135" i="8"/>
  <c r="N136" i="8"/>
  <c r="N137" i="8"/>
  <c r="N138" i="8"/>
  <c r="N139" i="8"/>
  <c r="N140" i="8"/>
  <c r="N141" i="8"/>
  <c r="N142" i="8"/>
  <c r="N143" i="8"/>
  <c r="N144" i="8"/>
  <c r="N146" i="8"/>
  <c r="N147" i="8"/>
  <c r="N148" i="8"/>
  <c r="N149" i="8"/>
  <c r="N150" i="8"/>
  <c r="N151" i="8"/>
  <c r="N152" i="8"/>
  <c r="N153" i="8"/>
  <c r="N154" i="8"/>
  <c r="N155" i="8"/>
  <c r="N156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92" i="8"/>
  <c r="N304" i="8"/>
  <c r="O3" i="2"/>
  <c r="O10" i="8"/>
  <c r="G41" i="2"/>
  <c r="O180" i="8"/>
  <c r="O251" i="8"/>
  <c r="O314" i="8"/>
  <c r="G40" i="2"/>
  <c r="O57" i="8"/>
  <c r="O139" i="8"/>
  <c r="W265" i="8"/>
  <c r="AC265" i="8"/>
  <c r="W326" i="8"/>
  <c r="AC326" i="8"/>
  <c r="W325" i="8"/>
  <c r="AC325" i="8"/>
  <c r="W324" i="8"/>
  <c r="AC324" i="8"/>
  <c r="W323" i="8"/>
  <c r="AC323" i="8"/>
  <c r="W322" i="8"/>
  <c r="AC322" i="8"/>
  <c r="W321" i="8"/>
  <c r="AC321" i="8"/>
  <c r="W320" i="8"/>
  <c r="AC320" i="8"/>
  <c r="W319" i="8"/>
  <c r="AC319" i="8"/>
  <c r="W318" i="8"/>
  <c r="AC318" i="8"/>
  <c r="W317" i="8"/>
  <c r="AC317" i="8"/>
  <c r="W316" i="8"/>
  <c r="AC316" i="8"/>
  <c r="W314" i="8"/>
  <c r="AC314" i="8"/>
  <c r="W313" i="8"/>
  <c r="AC313" i="8"/>
  <c r="W312" i="8"/>
  <c r="AC312" i="8"/>
  <c r="W311" i="8"/>
  <c r="AC311" i="8"/>
  <c r="W310" i="8"/>
  <c r="AC310" i="8"/>
  <c r="W309" i="8"/>
  <c r="AC309" i="8"/>
  <c r="W307" i="8"/>
  <c r="AC307" i="8"/>
  <c r="W306" i="8"/>
  <c r="AC306" i="8"/>
  <c r="W305" i="8"/>
  <c r="AC305" i="8"/>
  <c r="W304" i="8"/>
  <c r="AC304" i="8"/>
  <c r="W302" i="8"/>
  <c r="AC302" i="8"/>
  <c r="W301" i="8"/>
  <c r="AC301" i="8"/>
  <c r="W300" i="8"/>
  <c r="AC300" i="8"/>
  <c r="W299" i="8"/>
  <c r="AC299" i="8"/>
  <c r="W298" i="8"/>
  <c r="AC298" i="8"/>
  <c r="W297" i="8"/>
  <c r="AC297" i="8"/>
  <c r="W295" i="8"/>
  <c r="AC295" i="8"/>
  <c r="W294" i="8"/>
  <c r="AC294" i="8"/>
  <c r="W293" i="8"/>
  <c r="AC293" i="8"/>
  <c r="W292" i="8"/>
  <c r="AC292" i="8"/>
  <c r="W290" i="8"/>
  <c r="AC290" i="8"/>
  <c r="W289" i="8"/>
  <c r="AC289" i="8"/>
  <c r="W288" i="8"/>
  <c r="AC288" i="8"/>
  <c r="W287" i="8"/>
  <c r="AC287" i="8"/>
  <c r="W286" i="8"/>
  <c r="AC286" i="8"/>
  <c r="W284" i="8"/>
  <c r="AC284" i="8"/>
  <c r="W283" i="8"/>
  <c r="AC283" i="8"/>
  <c r="W282" i="8"/>
  <c r="AC282" i="8"/>
  <c r="W281" i="8"/>
  <c r="AC281" i="8"/>
  <c r="W280" i="8"/>
  <c r="AC280" i="8"/>
  <c r="W264" i="8"/>
  <c r="AC264" i="8"/>
  <c r="W263" i="8"/>
  <c r="AC263" i="8"/>
  <c r="W262" i="8"/>
  <c r="AC262" i="8"/>
  <c r="W261" i="8"/>
  <c r="AC261" i="8"/>
  <c r="W260" i="8"/>
  <c r="AC260" i="8"/>
  <c r="W259" i="8"/>
  <c r="AC259" i="8"/>
  <c r="W258" i="8"/>
  <c r="AC258" i="8"/>
  <c r="W257" i="8"/>
  <c r="AC257" i="8"/>
  <c r="W256" i="8"/>
  <c r="AC256" i="8"/>
  <c r="W255" i="8"/>
  <c r="AC255" i="8"/>
  <c r="W254" i="8"/>
  <c r="AC254" i="8"/>
  <c r="W252" i="8"/>
  <c r="AC252" i="8"/>
  <c r="W251" i="8"/>
  <c r="AC251" i="8"/>
  <c r="W250" i="8"/>
  <c r="AC250" i="8"/>
  <c r="W249" i="8"/>
  <c r="AC249" i="8"/>
  <c r="W248" i="8"/>
  <c r="AC248" i="8"/>
  <c r="W247" i="8"/>
  <c r="AC247" i="8"/>
  <c r="W246" i="8"/>
  <c r="AC246" i="8"/>
  <c r="W245" i="8"/>
  <c r="AC245" i="8"/>
  <c r="W244" i="8"/>
  <c r="AC244" i="8"/>
  <c r="W243" i="8"/>
  <c r="AC243" i="8"/>
  <c r="W242" i="8"/>
  <c r="AC242" i="8"/>
  <c r="W240" i="8"/>
  <c r="AC240" i="8"/>
  <c r="W239" i="8"/>
  <c r="AC239" i="8"/>
  <c r="W238" i="8"/>
  <c r="AC238" i="8"/>
  <c r="W237" i="8"/>
  <c r="AC237" i="8"/>
  <c r="W236" i="8"/>
  <c r="AC236" i="8"/>
  <c r="W235" i="8"/>
  <c r="AC235" i="8"/>
  <c r="W234" i="8"/>
  <c r="AC234" i="8"/>
  <c r="W233" i="8"/>
  <c r="AC233" i="8"/>
  <c r="W232" i="8"/>
  <c r="AC232" i="8"/>
  <c r="W231" i="8"/>
  <c r="AC231" i="8"/>
  <c r="W230" i="8"/>
  <c r="AC230" i="8"/>
  <c r="W228" i="8"/>
  <c r="AC228" i="8"/>
  <c r="W227" i="8"/>
  <c r="AC227" i="8"/>
  <c r="W226" i="8"/>
  <c r="AC226" i="8"/>
  <c r="W225" i="8"/>
  <c r="AC225" i="8"/>
  <c r="W224" i="8"/>
  <c r="AC224" i="8"/>
  <c r="W222" i="8"/>
  <c r="AC222" i="8"/>
  <c r="W221" i="8"/>
  <c r="AC221" i="8"/>
  <c r="W220" i="8"/>
  <c r="AC220" i="8"/>
  <c r="W219" i="8"/>
  <c r="AC219" i="8"/>
  <c r="W218" i="8"/>
  <c r="AC218" i="8"/>
  <c r="W216" i="8"/>
  <c r="AC216" i="8"/>
  <c r="W215" i="8"/>
  <c r="AC215" i="8"/>
  <c r="W214" i="8"/>
  <c r="AC214" i="8"/>
  <c r="W213" i="8"/>
  <c r="AC213" i="8"/>
  <c r="W212" i="8"/>
  <c r="AC212" i="8"/>
  <c r="W211" i="8"/>
  <c r="AC211" i="8"/>
  <c r="W209" i="8"/>
  <c r="AC209" i="8"/>
  <c r="W208" i="8"/>
  <c r="AC208" i="8"/>
  <c r="W207" i="8"/>
  <c r="AC207" i="8"/>
  <c r="W206" i="8"/>
  <c r="AC206" i="8"/>
  <c r="W204" i="8"/>
  <c r="AC204" i="8"/>
  <c r="W203" i="8"/>
  <c r="AC203" i="8"/>
  <c r="W202" i="8"/>
  <c r="AC202" i="8"/>
  <c r="W201" i="8"/>
  <c r="AC201" i="8"/>
  <c r="W200" i="8"/>
  <c r="AC200" i="8"/>
  <c r="W199" i="8"/>
  <c r="AC199" i="8"/>
  <c r="W198" i="8"/>
  <c r="AC198" i="8"/>
  <c r="W197" i="8"/>
  <c r="AC197" i="8"/>
  <c r="W196" i="8"/>
  <c r="AC196" i="8"/>
  <c r="W195" i="8"/>
  <c r="AC195" i="8"/>
  <c r="W194" i="8"/>
  <c r="AC194" i="8"/>
  <c r="W192" i="8"/>
  <c r="AC192" i="8"/>
  <c r="W191" i="8"/>
  <c r="AC191" i="8"/>
  <c r="W190" i="8"/>
  <c r="AC190" i="8"/>
  <c r="W189" i="8"/>
  <c r="AC189" i="8"/>
  <c r="W188" i="8"/>
  <c r="AC188" i="8"/>
  <c r="W187" i="8"/>
  <c r="AC187" i="8"/>
  <c r="W186" i="8"/>
  <c r="AC186" i="8"/>
  <c r="W185" i="8"/>
  <c r="AC185" i="8"/>
  <c r="W184" i="8"/>
  <c r="AC184" i="8"/>
  <c r="W183" i="8"/>
  <c r="AC183" i="8"/>
  <c r="W182" i="8"/>
  <c r="AC182" i="8"/>
  <c r="W180" i="8"/>
  <c r="AC180" i="8"/>
  <c r="W179" i="8"/>
  <c r="AC179" i="8"/>
  <c r="W178" i="8"/>
  <c r="AC178" i="8"/>
  <c r="W177" i="8"/>
  <c r="AC177" i="8"/>
  <c r="W176" i="8"/>
  <c r="AC176" i="8"/>
  <c r="W175" i="8"/>
  <c r="AC175" i="8"/>
  <c r="W174" i="8"/>
  <c r="AC174" i="8"/>
  <c r="W173" i="8"/>
  <c r="AC173" i="8"/>
  <c r="W172" i="8"/>
  <c r="AC172" i="8"/>
  <c r="W171" i="8"/>
  <c r="AC171" i="8"/>
  <c r="W170" i="8"/>
  <c r="AC170" i="8"/>
  <c r="W168" i="8"/>
  <c r="AC168" i="8"/>
  <c r="W167" i="8"/>
  <c r="AC167" i="8"/>
  <c r="W166" i="8"/>
  <c r="AC166" i="8"/>
  <c r="W165" i="8"/>
  <c r="AC165" i="8"/>
  <c r="W164" i="8"/>
  <c r="AC164" i="8"/>
  <c r="W163" i="8"/>
  <c r="AC163" i="8"/>
  <c r="W162" i="8"/>
  <c r="AC162" i="8"/>
  <c r="W161" i="8"/>
  <c r="AC161" i="8"/>
  <c r="W160" i="8"/>
  <c r="AC160" i="8"/>
  <c r="W159" i="8"/>
  <c r="AC159" i="8"/>
  <c r="W158" i="8"/>
  <c r="AC158" i="8"/>
  <c r="W156" i="8"/>
  <c r="AC156" i="8"/>
  <c r="W155" i="8"/>
  <c r="AC155" i="8"/>
  <c r="W154" i="8"/>
  <c r="AC154" i="8"/>
  <c r="W153" i="8"/>
  <c r="AC153" i="8"/>
  <c r="W152" i="8"/>
  <c r="AC152" i="8"/>
  <c r="W151" i="8"/>
  <c r="AC151" i="8"/>
  <c r="W150" i="8"/>
  <c r="AC150" i="8"/>
  <c r="W149" i="8"/>
  <c r="AC149" i="8"/>
  <c r="W148" i="8"/>
  <c r="AC148" i="8"/>
  <c r="W147" i="8"/>
  <c r="AC147" i="8"/>
  <c r="W146" i="8"/>
  <c r="AC146" i="8"/>
  <c r="W144" i="8"/>
  <c r="AC144" i="8"/>
  <c r="W143" i="8"/>
  <c r="AC143" i="8"/>
  <c r="W142" i="8"/>
  <c r="AC142" i="8"/>
  <c r="W141" i="8"/>
  <c r="AC141" i="8"/>
  <c r="W140" i="8"/>
  <c r="AC140" i="8"/>
  <c r="W139" i="8"/>
  <c r="AC139" i="8"/>
  <c r="W138" i="8"/>
  <c r="AC138" i="8"/>
  <c r="W137" i="8"/>
  <c r="AC137" i="8"/>
  <c r="W136" i="8"/>
  <c r="AC136" i="8"/>
  <c r="W135" i="8"/>
  <c r="AC135" i="8"/>
  <c r="W134" i="8"/>
  <c r="AC134" i="8"/>
  <c r="W132" i="8"/>
  <c r="AC132" i="8"/>
  <c r="W131" i="8"/>
  <c r="AC131" i="8"/>
  <c r="W130" i="8"/>
  <c r="AC130" i="8"/>
  <c r="W129" i="8"/>
  <c r="AC129" i="8"/>
  <c r="W128" i="8"/>
  <c r="AC128" i="8"/>
  <c r="W127" i="8"/>
  <c r="AC127" i="8"/>
  <c r="W126" i="8"/>
  <c r="AC126" i="8"/>
  <c r="W125" i="8"/>
  <c r="AC125" i="8"/>
  <c r="W124" i="8"/>
  <c r="AC124" i="8"/>
  <c r="W123" i="8"/>
  <c r="AC123" i="8"/>
  <c r="W122" i="8"/>
  <c r="AC122" i="8"/>
  <c r="W120" i="8"/>
  <c r="AC120" i="8"/>
  <c r="W119" i="8"/>
  <c r="AC119" i="8"/>
  <c r="W118" i="8"/>
  <c r="AC118" i="8"/>
  <c r="W117" i="8"/>
  <c r="AC117" i="8"/>
  <c r="W116" i="8"/>
  <c r="AC116" i="8"/>
  <c r="W115" i="8"/>
  <c r="AC115" i="8"/>
  <c r="W114" i="8"/>
  <c r="AC114" i="8"/>
  <c r="W113" i="8"/>
  <c r="AC113" i="8"/>
  <c r="W112" i="8"/>
  <c r="AC112" i="8"/>
  <c r="W111" i="8"/>
  <c r="AC111" i="8"/>
  <c r="W110" i="8"/>
  <c r="AC110" i="8"/>
  <c r="W108" i="8"/>
  <c r="AC108" i="8"/>
  <c r="W107" i="8"/>
  <c r="AC107" i="8"/>
  <c r="W106" i="8"/>
  <c r="AC106" i="8"/>
  <c r="W105" i="8"/>
  <c r="AC105" i="8"/>
  <c r="W104" i="8"/>
  <c r="AC104" i="8"/>
  <c r="W103" i="8"/>
  <c r="AC103" i="8"/>
  <c r="W102" i="8"/>
  <c r="AC102" i="8"/>
  <c r="W101" i="8"/>
  <c r="AC101" i="8"/>
  <c r="W100" i="8"/>
  <c r="AC100" i="8"/>
  <c r="W99" i="8"/>
  <c r="AC99" i="8"/>
  <c r="W98" i="8"/>
  <c r="AC98" i="8"/>
  <c r="W96" i="8"/>
  <c r="AC96" i="8"/>
  <c r="W95" i="8"/>
  <c r="AC95" i="8"/>
  <c r="W94" i="8"/>
  <c r="AC94" i="8"/>
  <c r="W93" i="8"/>
  <c r="AC93" i="8"/>
  <c r="W92" i="8"/>
  <c r="AC92" i="8"/>
  <c r="W91" i="8"/>
  <c r="AC91" i="8"/>
  <c r="W90" i="8"/>
  <c r="AC90" i="8"/>
  <c r="W89" i="8"/>
  <c r="AC89" i="8"/>
  <c r="W88" i="8"/>
  <c r="AC88" i="8"/>
  <c r="W87" i="8"/>
  <c r="AC87" i="8"/>
  <c r="W86" i="8"/>
  <c r="AC86" i="8"/>
  <c r="W84" i="8"/>
  <c r="AC84" i="8"/>
  <c r="W83" i="8"/>
  <c r="AC83" i="8"/>
  <c r="W82" i="8"/>
  <c r="AC82" i="8"/>
  <c r="W81" i="8"/>
  <c r="AC81" i="8"/>
  <c r="W80" i="8"/>
  <c r="AC80" i="8"/>
  <c r="W79" i="8"/>
  <c r="AC79" i="8"/>
  <c r="W78" i="8"/>
  <c r="AC78" i="8"/>
  <c r="W77" i="8"/>
  <c r="AC77" i="8"/>
  <c r="W76" i="8"/>
  <c r="AC76" i="8"/>
  <c r="W75" i="8"/>
  <c r="AC75" i="8"/>
  <c r="W74" i="8"/>
  <c r="AC74" i="8"/>
  <c r="W72" i="8"/>
  <c r="AC72" i="8"/>
  <c r="W71" i="8"/>
  <c r="AC71" i="8"/>
  <c r="W70" i="8"/>
  <c r="AC70" i="8"/>
  <c r="W69" i="8"/>
  <c r="AC69" i="8"/>
  <c r="W68" i="8"/>
  <c r="AC68" i="8"/>
  <c r="W67" i="8"/>
  <c r="AC67" i="8"/>
  <c r="W66" i="8"/>
  <c r="AC66" i="8"/>
  <c r="W65" i="8"/>
  <c r="AC65" i="8"/>
  <c r="W64" i="8"/>
  <c r="AC64" i="8"/>
  <c r="W63" i="8"/>
  <c r="AC63" i="8"/>
  <c r="W62" i="8"/>
  <c r="AC62" i="8"/>
  <c r="J40" i="2"/>
  <c r="J41" i="2"/>
  <c r="J43" i="2"/>
  <c r="N297" i="8"/>
  <c r="N310" i="8"/>
  <c r="N258" i="8"/>
  <c r="N298" i="8"/>
  <c r="N254" i="8"/>
  <c r="N255" i="8"/>
  <c r="N281" i="8"/>
  <c r="N293" i="8"/>
  <c r="N305" i="8"/>
  <c r="N257" i="8"/>
  <c r="N282" i="8"/>
  <c r="N306" i="8"/>
  <c r="N256" i="8"/>
  <c r="N280" i="8"/>
  <c r="N259" i="8"/>
  <c r="N284" i="8"/>
  <c r="N294" i="8"/>
  <c r="N307" i="8"/>
  <c r="N260" i="8"/>
  <c r="N262" i="8"/>
  <c r="N283" i="8"/>
  <c r="N287" i="8"/>
  <c r="N288" i="8"/>
  <c r="N264" i="8"/>
  <c r="N265" i="8"/>
  <c r="N290" i="8"/>
  <c r="N301" i="8"/>
  <c r="N313" i="8"/>
  <c r="N299" i="8"/>
  <c r="N311" i="8"/>
  <c r="N289" i="8"/>
  <c r="N312" i="8"/>
  <c r="N261" i="8"/>
  <c r="N295" i="8"/>
  <c r="N309" i="8"/>
  <c r="N263" i="8"/>
  <c r="N286" i="8"/>
  <c r="N302" i="8"/>
  <c r="N300" i="8"/>
  <c r="N251" i="8"/>
  <c r="N314" i="8"/>
  <c r="F40" i="2"/>
  <c r="F41" i="2"/>
  <c r="F43" i="2"/>
  <c r="O224" i="8"/>
  <c r="O297" i="8"/>
  <c r="O310" i="8"/>
  <c r="O17" i="8"/>
  <c r="O30" i="8"/>
  <c r="O53" i="8"/>
  <c r="O65" i="8"/>
  <c r="O2" i="8"/>
  <c r="O3" i="8"/>
  <c r="O4" i="8"/>
  <c r="O5" i="8"/>
  <c r="O6" i="8"/>
  <c r="O7" i="8"/>
  <c r="O8" i="8"/>
  <c r="O9" i="8"/>
  <c r="O11" i="8"/>
  <c r="O12" i="8"/>
  <c r="O13" i="8"/>
  <c r="O14" i="8"/>
  <c r="O15" i="8"/>
  <c r="O16" i="8"/>
  <c r="O18" i="8"/>
  <c r="O19" i="8"/>
  <c r="O20" i="8"/>
  <c r="O21" i="8"/>
  <c r="O22" i="8"/>
  <c r="O23" i="8"/>
  <c r="O24" i="8"/>
  <c r="O25" i="8"/>
  <c r="O26" i="8"/>
  <c r="O27" i="8"/>
  <c r="O28" i="8"/>
  <c r="O29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4" i="8"/>
  <c r="O55" i="8"/>
  <c r="O56" i="8"/>
  <c r="O58" i="8"/>
  <c r="O59" i="8"/>
  <c r="O60" i="8"/>
  <c r="O61" i="8"/>
  <c r="O62" i="8"/>
  <c r="O63" i="8"/>
  <c r="O64" i="8"/>
  <c r="O66" i="8"/>
  <c r="O67" i="8"/>
  <c r="O68" i="8"/>
  <c r="O69" i="8"/>
  <c r="O70" i="8"/>
  <c r="O71" i="8"/>
  <c r="O72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8" i="8"/>
  <c r="O99" i="8"/>
  <c r="O100" i="8"/>
  <c r="O101" i="8"/>
  <c r="O102" i="8"/>
  <c r="O103" i="8"/>
  <c r="O104" i="8"/>
  <c r="O105" i="8"/>
  <c r="O106" i="8"/>
  <c r="O107" i="8"/>
  <c r="O108" i="8"/>
  <c r="O110" i="8"/>
  <c r="O111" i="8"/>
  <c r="O112" i="8"/>
  <c r="O113" i="8"/>
  <c r="O114" i="8"/>
  <c r="O115" i="8"/>
  <c r="O116" i="8"/>
  <c r="O117" i="8"/>
  <c r="O118" i="8"/>
  <c r="O119" i="8"/>
  <c r="O120" i="8"/>
  <c r="O122" i="8"/>
  <c r="O123" i="8"/>
  <c r="O124" i="8"/>
  <c r="O125" i="8"/>
  <c r="O126" i="8"/>
  <c r="O127" i="8"/>
  <c r="O128" i="8"/>
  <c r="O129" i="8"/>
  <c r="O130" i="8"/>
  <c r="O131" i="8"/>
  <c r="O132" i="8"/>
  <c r="O134" i="8"/>
  <c r="O135" i="8"/>
  <c r="O136" i="8"/>
  <c r="O137" i="8"/>
  <c r="O138" i="8"/>
  <c r="O140" i="8"/>
  <c r="O141" i="8"/>
  <c r="O142" i="8"/>
  <c r="O143" i="8"/>
  <c r="O144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92" i="8"/>
  <c r="O304" i="8"/>
  <c r="O258" i="8"/>
  <c r="O298" i="8"/>
  <c r="O254" i="8"/>
  <c r="O255" i="8"/>
  <c r="O281" i="8"/>
  <c r="O293" i="8"/>
  <c r="O305" i="8"/>
  <c r="O257" i="8"/>
  <c r="O282" i="8"/>
  <c r="O306" i="8"/>
  <c r="O256" i="8"/>
  <c r="O280" i="8"/>
  <c r="O259" i="8"/>
  <c r="O284" i="8"/>
  <c r="O294" i="8"/>
  <c r="O307" i="8"/>
  <c r="O260" i="8"/>
  <c r="O262" i="8"/>
  <c r="O283" i="8"/>
  <c r="O287" i="8"/>
  <c r="O288" i="8"/>
  <c r="O264" i="8"/>
  <c r="O265" i="8"/>
  <c r="O290" i="8"/>
  <c r="O301" i="8"/>
  <c r="O313" i="8"/>
  <c r="O299" i="8"/>
  <c r="O311" i="8"/>
  <c r="O289" i="8"/>
  <c r="O312" i="8"/>
  <c r="O261" i="8"/>
  <c r="O295" i="8"/>
  <c r="O309" i="8"/>
  <c r="O263" i="8"/>
  <c r="O286" i="8"/>
  <c r="O302" i="8"/>
  <c r="O300" i="8"/>
  <c r="G43" i="2"/>
  <c r="H40" i="2"/>
  <c r="H41" i="2"/>
  <c r="H43" i="2"/>
  <c r="I40" i="2"/>
  <c r="I41" i="2"/>
  <c r="I43" i="2"/>
  <c r="W4" i="8"/>
  <c r="AC4" i="8"/>
  <c r="W16" i="8"/>
  <c r="AC16" i="8"/>
  <c r="W29" i="8"/>
  <c r="AC29" i="8"/>
  <c r="W40" i="8"/>
  <c r="AC40" i="8"/>
  <c r="W2" i="8"/>
  <c r="AC2" i="8"/>
  <c r="W3" i="8"/>
  <c r="AC3" i="8"/>
  <c r="W5" i="8"/>
  <c r="AC5" i="8"/>
  <c r="W6" i="8"/>
  <c r="AC6" i="8"/>
  <c r="W7" i="8"/>
  <c r="AC7" i="8"/>
  <c r="W8" i="8"/>
  <c r="AC8" i="8"/>
  <c r="W9" i="8"/>
  <c r="AC9" i="8"/>
  <c r="W10" i="8"/>
  <c r="AC10" i="8"/>
  <c r="W11" i="8"/>
  <c r="AC11" i="8"/>
  <c r="W12" i="8"/>
  <c r="AC12" i="8"/>
  <c r="W14" i="8"/>
  <c r="AC14" i="8"/>
  <c r="W15" i="8"/>
  <c r="AC15" i="8"/>
  <c r="W17" i="8"/>
  <c r="AC17" i="8"/>
  <c r="W18" i="8"/>
  <c r="AC18" i="8"/>
  <c r="W19" i="8"/>
  <c r="AC19" i="8"/>
  <c r="W20" i="8"/>
  <c r="AC20" i="8"/>
  <c r="W21" i="8"/>
  <c r="AC21" i="8"/>
  <c r="W22" i="8"/>
  <c r="AC22" i="8"/>
  <c r="W23" i="8"/>
  <c r="AC23" i="8"/>
  <c r="W24" i="8"/>
  <c r="AC24" i="8"/>
  <c r="W26" i="8"/>
  <c r="AC26" i="8"/>
  <c r="W27" i="8"/>
  <c r="AC27" i="8"/>
  <c r="W28" i="8"/>
  <c r="AC28" i="8"/>
  <c r="W30" i="8"/>
  <c r="AC30" i="8"/>
  <c r="W31" i="8"/>
  <c r="AC31" i="8"/>
  <c r="W32" i="8"/>
  <c r="AC32" i="8"/>
  <c r="W33" i="8"/>
  <c r="AC33" i="8"/>
  <c r="W34" i="8"/>
  <c r="AC34" i="8"/>
  <c r="W35" i="8"/>
  <c r="AC35" i="8"/>
  <c r="W36" i="8"/>
  <c r="AC36" i="8"/>
  <c r="W38" i="8"/>
  <c r="AC38" i="8"/>
  <c r="W39" i="8"/>
  <c r="AC39" i="8"/>
  <c r="W41" i="8"/>
  <c r="AC41" i="8"/>
  <c r="W42" i="8"/>
  <c r="AC42" i="8"/>
  <c r="W43" i="8"/>
  <c r="AC43" i="8"/>
  <c r="W44" i="8"/>
  <c r="AC44" i="8"/>
  <c r="W45" i="8"/>
  <c r="AC45" i="8"/>
  <c r="W46" i="8"/>
  <c r="AC46" i="8"/>
  <c r="W47" i="8"/>
  <c r="AC47" i="8"/>
  <c r="W48" i="8"/>
  <c r="AC48" i="8"/>
  <c r="W50" i="8"/>
  <c r="AC50" i="8"/>
  <c r="W51" i="8"/>
  <c r="AC51" i="8"/>
  <c r="W52" i="8"/>
  <c r="AC52" i="8"/>
  <c r="W53" i="8"/>
  <c r="AC53" i="8"/>
  <c r="W54" i="8"/>
  <c r="AC54" i="8"/>
  <c r="W55" i="8"/>
  <c r="AC55" i="8"/>
  <c r="W56" i="8"/>
  <c r="AC56" i="8"/>
  <c r="W57" i="8"/>
  <c r="AC57" i="8"/>
  <c r="W58" i="8"/>
  <c r="AC58" i="8"/>
  <c r="W59" i="8"/>
  <c r="AC59" i="8"/>
  <c r="W60" i="8"/>
  <c r="AC60" i="8"/>
  <c r="N34" i="3"/>
  <c r="N35" i="3"/>
  <c r="N36" i="3"/>
  <c r="N37" i="3"/>
  <c r="N38" i="3"/>
  <c r="N39" i="3"/>
  <c r="N40" i="3"/>
  <c r="N41" i="3"/>
  <c r="N42" i="3"/>
  <c r="N43" i="3"/>
  <c r="I34" i="3"/>
  <c r="J34" i="3"/>
  <c r="K34" i="3"/>
  <c r="L34" i="3"/>
  <c r="M34" i="3"/>
  <c r="O34" i="3"/>
  <c r="I35" i="3"/>
  <c r="J35" i="3"/>
  <c r="K35" i="3"/>
  <c r="L35" i="3"/>
  <c r="M35" i="3"/>
  <c r="O35" i="3"/>
  <c r="I36" i="3"/>
  <c r="J36" i="3"/>
  <c r="K36" i="3"/>
  <c r="L36" i="3"/>
  <c r="M36" i="3"/>
  <c r="O36" i="3"/>
  <c r="I37" i="3"/>
  <c r="J37" i="3"/>
  <c r="K37" i="3"/>
  <c r="L37" i="3"/>
  <c r="M37" i="3"/>
  <c r="O37" i="3"/>
  <c r="I38" i="3"/>
  <c r="J38" i="3"/>
  <c r="K38" i="3"/>
  <c r="L38" i="3"/>
  <c r="M38" i="3"/>
  <c r="O38" i="3"/>
  <c r="I39" i="3"/>
  <c r="J39" i="3"/>
  <c r="K39" i="3"/>
  <c r="L39" i="3"/>
  <c r="M39" i="3"/>
  <c r="O39" i="3"/>
  <c r="I40" i="3"/>
  <c r="J40" i="3"/>
  <c r="K40" i="3"/>
  <c r="L40" i="3"/>
  <c r="M40" i="3"/>
  <c r="O40" i="3"/>
  <c r="I41" i="3"/>
  <c r="J41" i="3"/>
  <c r="K41" i="3"/>
  <c r="L41" i="3"/>
  <c r="M41" i="3"/>
  <c r="O41" i="3"/>
  <c r="I42" i="3"/>
  <c r="J42" i="3"/>
  <c r="K42" i="3"/>
  <c r="L42" i="3"/>
  <c r="M42" i="3"/>
  <c r="O42" i="3"/>
  <c r="O43" i="3"/>
  <c r="K43" i="3"/>
  <c r="L43" i="3"/>
  <c r="M43" i="3"/>
  <c r="E34" i="3"/>
  <c r="E35" i="3"/>
  <c r="E36" i="3"/>
  <c r="E37" i="3"/>
  <c r="E38" i="3"/>
  <c r="E39" i="3"/>
  <c r="E40" i="3"/>
  <c r="E41" i="3"/>
  <c r="E42" i="3"/>
  <c r="E43" i="3"/>
  <c r="F34" i="3"/>
  <c r="F35" i="3"/>
  <c r="F36" i="3"/>
  <c r="F37" i="3"/>
  <c r="F38" i="3"/>
  <c r="F39" i="3"/>
  <c r="F40" i="3"/>
  <c r="F41" i="3"/>
  <c r="F42" i="3"/>
  <c r="F43" i="3"/>
  <c r="G34" i="3"/>
  <c r="G35" i="3"/>
  <c r="G36" i="3"/>
  <c r="G37" i="3"/>
  <c r="G38" i="3"/>
  <c r="G39" i="3"/>
  <c r="G40" i="3"/>
  <c r="G41" i="3"/>
  <c r="G42" i="3"/>
  <c r="G43" i="3"/>
  <c r="I43" i="3"/>
  <c r="G5" i="9"/>
  <c r="E23" i="9"/>
  <c r="I13" i="9"/>
  <c r="K11" i="9"/>
  <c r="O14" i="2"/>
  <c r="O32" i="2"/>
  <c r="M41" i="2"/>
  <c r="M40" i="2"/>
  <c r="M43" i="2"/>
  <c r="N41" i="2"/>
  <c r="N40" i="2"/>
  <c r="N43" i="2"/>
  <c r="P6" i="8"/>
  <c r="P31" i="8"/>
  <c r="P42" i="8"/>
  <c r="P67" i="8"/>
  <c r="P2" i="8"/>
  <c r="P3" i="8"/>
  <c r="P4" i="8"/>
  <c r="P5" i="8"/>
  <c r="P7" i="8"/>
  <c r="P8" i="8"/>
  <c r="P9" i="8"/>
  <c r="P10" i="8"/>
  <c r="P11" i="8"/>
  <c r="P12" i="8"/>
  <c r="P14" i="8"/>
  <c r="P15" i="8"/>
  <c r="P16" i="8"/>
  <c r="P17" i="8"/>
  <c r="P18" i="8"/>
  <c r="P19" i="8"/>
  <c r="P20" i="8"/>
  <c r="P21" i="8"/>
  <c r="P22" i="8"/>
  <c r="P23" i="8"/>
  <c r="P24" i="8"/>
  <c r="P26" i="8"/>
  <c r="P27" i="8"/>
  <c r="P28" i="8"/>
  <c r="P29" i="8"/>
  <c r="P30" i="8"/>
  <c r="P32" i="8"/>
  <c r="P33" i="8"/>
  <c r="P34" i="8"/>
  <c r="P35" i="8"/>
  <c r="P36" i="8"/>
  <c r="P38" i="8"/>
  <c r="P39" i="8"/>
  <c r="P40" i="8"/>
  <c r="P41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4" i="8"/>
  <c r="P135" i="8"/>
  <c r="P136" i="8"/>
  <c r="P137" i="8"/>
  <c r="P138" i="8"/>
  <c r="P139" i="8"/>
  <c r="P140" i="8"/>
  <c r="P141" i="8"/>
  <c r="P142" i="8"/>
  <c r="P143" i="8"/>
  <c r="P144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300" i="8"/>
  <c r="P259" i="8"/>
  <c r="P284" i="8"/>
  <c r="P294" i="8"/>
  <c r="P307" i="8"/>
  <c r="P258" i="8"/>
  <c r="P260" i="8"/>
  <c r="P287" i="8"/>
  <c r="P299" i="8"/>
  <c r="P311" i="8"/>
  <c r="P256" i="8"/>
  <c r="P280" i="8"/>
  <c r="P297" i="8"/>
  <c r="P310" i="8"/>
  <c r="P292" i="8"/>
  <c r="P304" i="8"/>
  <c r="P298" i="8"/>
  <c r="P265" i="8"/>
  <c r="P290" i="8"/>
  <c r="P301" i="8"/>
  <c r="P313" i="8"/>
  <c r="P254" i="8"/>
  <c r="P263" i="8"/>
  <c r="P286" i="8"/>
  <c r="P302" i="8"/>
  <c r="P262" i="8"/>
  <c r="P283" i="8"/>
  <c r="L41" i="2"/>
  <c r="P289" i="8"/>
  <c r="P312" i="8"/>
  <c r="P314" i="8"/>
  <c r="L40" i="2"/>
  <c r="P261" i="8"/>
  <c r="P295" i="8"/>
  <c r="P309" i="8"/>
  <c r="P257" i="8"/>
  <c r="P282" i="8"/>
  <c r="P306" i="8"/>
  <c r="P255" i="8"/>
  <c r="P281" i="8"/>
  <c r="P293" i="8"/>
  <c r="P305" i="8"/>
  <c r="P288" i="8"/>
  <c r="P264" i="8"/>
  <c r="L43" i="2"/>
  <c r="Q6" i="8"/>
  <c r="Q31" i="8"/>
  <c r="Q42" i="8"/>
  <c r="Q67" i="8"/>
  <c r="Q2" i="8"/>
  <c r="Q3" i="8"/>
  <c r="Q4" i="8"/>
  <c r="Q5" i="8"/>
  <c r="Q7" i="8"/>
  <c r="Q8" i="8"/>
  <c r="Q9" i="8"/>
  <c r="Q10" i="8"/>
  <c r="Q11" i="8"/>
  <c r="Q12" i="8"/>
  <c r="Q14" i="8"/>
  <c r="Q15" i="8"/>
  <c r="Q16" i="8"/>
  <c r="Q17" i="8"/>
  <c r="Q18" i="8"/>
  <c r="Q19" i="8"/>
  <c r="Q20" i="8"/>
  <c r="Q21" i="8"/>
  <c r="Q22" i="8"/>
  <c r="Q23" i="8"/>
  <c r="Q24" i="8"/>
  <c r="Q26" i="8"/>
  <c r="Q27" i="8"/>
  <c r="Q28" i="8"/>
  <c r="Q29" i="8"/>
  <c r="Q30" i="8"/>
  <c r="Q32" i="8"/>
  <c r="Q33" i="8"/>
  <c r="Q34" i="8"/>
  <c r="Q35" i="8"/>
  <c r="Q36" i="8"/>
  <c r="Q38" i="8"/>
  <c r="Q39" i="8"/>
  <c r="Q40" i="8"/>
  <c r="Q41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4" i="8"/>
  <c r="Q135" i="8"/>
  <c r="Q136" i="8"/>
  <c r="Q137" i="8"/>
  <c r="Q138" i="8"/>
  <c r="Q139" i="8"/>
  <c r="Q140" i="8"/>
  <c r="Q141" i="8"/>
  <c r="Q142" i="8"/>
  <c r="Q143" i="8"/>
  <c r="Q144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300" i="8"/>
  <c r="Q259" i="8"/>
  <c r="Q284" i="8"/>
  <c r="Q294" i="8"/>
  <c r="Q307" i="8"/>
  <c r="Q258" i="8"/>
  <c r="Q260" i="8"/>
  <c r="Q287" i="8"/>
  <c r="Q299" i="8"/>
  <c r="Q311" i="8"/>
  <c r="Q256" i="8"/>
  <c r="Q280" i="8"/>
  <c r="Q297" i="8"/>
  <c r="Q310" i="8"/>
  <c r="Q292" i="8"/>
  <c r="Q304" i="8"/>
  <c r="Q298" i="8"/>
  <c r="Q265" i="8"/>
  <c r="Q290" i="8"/>
  <c r="Q301" i="8"/>
  <c r="Q313" i="8"/>
  <c r="Q254" i="8"/>
  <c r="Q263" i="8"/>
  <c r="Q286" i="8"/>
  <c r="Q302" i="8"/>
  <c r="Q262" i="8"/>
  <c r="Q283" i="8"/>
  <c r="K41" i="2"/>
  <c r="Q289" i="8"/>
  <c r="Q312" i="8"/>
  <c r="Q314" i="8"/>
  <c r="K40" i="2"/>
  <c r="Q261" i="8"/>
  <c r="Q295" i="8"/>
  <c r="Q309" i="8"/>
  <c r="Q257" i="8"/>
  <c r="Q282" i="8"/>
  <c r="Q306" i="8"/>
  <c r="Q255" i="8"/>
  <c r="Q281" i="8"/>
  <c r="Q293" i="8"/>
  <c r="Q305" i="8"/>
  <c r="Q288" i="8"/>
  <c r="Q264" i="8"/>
  <c r="K43" i="2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2" i="7"/>
  <c r="AB3" i="7"/>
  <c r="AB4" i="7"/>
  <c r="AB5" i="7"/>
  <c r="AB6" i="7"/>
  <c r="AB7" i="7"/>
  <c r="AB8" i="7"/>
  <c r="AB9" i="7"/>
  <c r="AB10" i="7"/>
  <c r="AB11" i="7"/>
  <c r="AB12" i="7"/>
  <c r="AB13" i="7"/>
  <c r="P40" i="2"/>
  <c r="L34" i="1"/>
  <c r="L33" i="1"/>
  <c r="L32" i="1"/>
  <c r="L35" i="1"/>
  <c r="L36" i="1"/>
  <c r="L31" i="1"/>
  <c r="AC56" i="7"/>
  <c r="W315" i="8"/>
  <c r="V315" i="8"/>
  <c r="U315" i="8"/>
  <c r="T315" i="8"/>
  <c r="S315" i="8"/>
  <c r="R315" i="8"/>
  <c r="AI314" i="8"/>
  <c r="AI313" i="8"/>
  <c r="AI312" i="8"/>
  <c r="AI311" i="8"/>
  <c r="AI310" i="8"/>
  <c r="AI309" i="8"/>
  <c r="AI308" i="8"/>
  <c r="AI307" i="8"/>
  <c r="AI306" i="8"/>
  <c r="AI305" i="8"/>
  <c r="AI304" i="8"/>
  <c r="AI302" i="8"/>
  <c r="AI301" i="8"/>
  <c r="AI300" i="8"/>
  <c r="AI299" i="8"/>
  <c r="AI298" i="8"/>
  <c r="AI297" i="8"/>
  <c r="AI296" i="8"/>
  <c r="AI295" i="8"/>
  <c r="AI294" i="8"/>
  <c r="AI293" i="8"/>
  <c r="AI292" i="8"/>
  <c r="AI290" i="8"/>
  <c r="AI289" i="8"/>
  <c r="AI288" i="8"/>
  <c r="AI287" i="8"/>
  <c r="AI286" i="8"/>
  <c r="AI285" i="8"/>
  <c r="AI284" i="8"/>
  <c r="AI283" i="8"/>
  <c r="AI282" i="8"/>
  <c r="AI281" i="8"/>
  <c r="AI280" i="8"/>
  <c r="AI264" i="8"/>
  <c r="AI263" i="8"/>
  <c r="AI262" i="8"/>
  <c r="AI261" i="8"/>
  <c r="AI260" i="8"/>
  <c r="AI259" i="8"/>
  <c r="AI258" i="8"/>
  <c r="AI257" i="8"/>
  <c r="AI256" i="8"/>
  <c r="AI255" i="8"/>
  <c r="AI254" i="8"/>
  <c r="AI252" i="8"/>
  <c r="AI251" i="8"/>
  <c r="AI250" i="8"/>
  <c r="AI249" i="8"/>
  <c r="AI248" i="8"/>
  <c r="AI247" i="8"/>
  <c r="AI246" i="8"/>
  <c r="AI245" i="8"/>
  <c r="AI244" i="8"/>
  <c r="AI243" i="8"/>
  <c r="AI242" i="8"/>
  <c r="W303" i="8"/>
  <c r="V303" i="8"/>
  <c r="U303" i="8"/>
  <c r="T303" i="8"/>
  <c r="S303" i="8"/>
  <c r="R303" i="8"/>
  <c r="W291" i="8"/>
  <c r="V291" i="8"/>
  <c r="U291" i="8"/>
  <c r="T291" i="8"/>
  <c r="S291" i="8"/>
  <c r="R291" i="8"/>
  <c r="AC45" i="7"/>
  <c r="C41" i="3"/>
  <c r="P41" i="3"/>
  <c r="Q41" i="3"/>
  <c r="R41" i="3"/>
  <c r="AC22" i="7"/>
  <c r="O35" i="2"/>
  <c r="P35" i="2"/>
  <c r="P266" i="8"/>
  <c r="Q266" i="8"/>
  <c r="W266" i="8"/>
  <c r="V266" i="8"/>
  <c r="U266" i="8"/>
  <c r="T266" i="8"/>
  <c r="S266" i="8"/>
  <c r="R266" i="8"/>
  <c r="B264" i="8"/>
  <c r="A264" i="8"/>
  <c r="B277" i="8"/>
  <c r="A277" i="8"/>
  <c r="AC3" i="7"/>
  <c r="O34" i="2"/>
  <c r="P34" i="2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W253" i="8"/>
  <c r="V253" i="8"/>
  <c r="U253" i="8"/>
  <c r="T253" i="8"/>
  <c r="S253" i="8"/>
  <c r="R253" i="8"/>
  <c r="W229" i="8"/>
  <c r="V229" i="8"/>
  <c r="U229" i="8"/>
  <c r="T229" i="8"/>
  <c r="S229" i="8"/>
  <c r="R229" i="8"/>
  <c r="AC34" i="7"/>
  <c r="B3" i="9"/>
  <c r="AI228" i="8"/>
  <c r="AI227" i="8"/>
  <c r="AI226" i="8"/>
  <c r="AI225" i="8"/>
  <c r="AI224" i="8"/>
  <c r="AI223" i="8"/>
  <c r="AI222" i="8"/>
  <c r="AI221" i="8"/>
  <c r="AI220" i="8"/>
  <c r="AI219" i="8"/>
  <c r="AI218" i="8"/>
  <c r="AI216" i="8"/>
  <c r="AI215" i="8"/>
  <c r="AI214" i="8"/>
  <c r="AI213" i="8"/>
  <c r="AI212" i="8"/>
  <c r="AI211" i="8"/>
  <c r="AI210" i="8"/>
  <c r="AI209" i="8"/>
  <c r="AI208" i="8"/>
  <c r="AI207" i="8"/>
  <c r="AI206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" i="8"/>
  <c r="A3" i="8"/>
  <c r="A4" i="8"/>
  <c r="A5" i="8"/>
  <c r="AI3" i="8"/>
  <c r="AI4" i="8"/>
  <c r="AI5" i="8"/>
  <c r="A6" i="8"/>
  <c r="AI6" i="8"/>
  <c r="A7" i="8"/>
  <c r="AI7" i="8"/>
  <c r="A8" i="8"/>
  <c r="AI8" i="8"/>
  <c r="A9" i="8"/>
  <c r="AI9" i="8"/>
  <c r="A10" i="8"/>
  <c r="AI10" i="8"/>
  <c r="A11" i="8"/>
  <c r="AI11" i="8"/>
  <c r="A12" i="8"/>
  <c r="AI12" i="8"/>
  <c r="A13" i="8"/>
  <c r="W13" i="8"/>
  <c r="A14" i="8"/>
  <c r="A15" i="8"/>
  <c r="AI15" i="8"/>
  <c r="A16" i="8"/>
  <c r="AI16" i="8"/>
  <c r="A17" i="8"/>
  <c r="AI17" i="8"/>
  <c r="A18" i="8"/>
  <c r="AI18" i="8"/>
  <c r="A19" i="8"/>
  <c r="AI19" i="8"/>
  <c r="A20" i="8"/>
  <c r="AI20" i="8"/>
  <c r="A21" i="8"/>
  <c r="AI21" i="8"/>
  <c r="A22" i="8"/>
  <c r="AI22" i="8"/>
  <c r="A23" i="8"/>
  <c r="AI23" i="8"/>
  <c r="A24" i="8"/>
  <c r="AI24" i="8"/>
  <c r="A25" i="8"/>
  <c r="W25" i="8"/>
  <c r="A26" i="8"/>
  <c r="A27" i="8"/>
  <c r="AI27" i="8"/>
  <c r="A28" i="8"/>
  <c r="AI28" i="8"/>
  <c r="A29" i="8"/>
  <c r="AI29" i="8"/>
  <c r="A30" i="8"/>
  <c r="AI30" i="8"/>
  <c r="A31" i="8"/>
  <c r="AI31" i="8"/>
  <c r="A32" i="8"/>
  <c r="AI32" i="8"/>
  <c r="A33" i="8"/>
  <c r="AI33" i="8"/>
  <c r="A34" i="8"/>
  <c r="AI34" i="8"/>
  <c r="A35" i="8"/>
  <c r="AI35" i="8"/>
  <c r="A36" i="8"/>
  <c r="AI36" i="8"/>
  <c r="A37" i="8"/>
  <c r="W37" i="8"/>
  <c r="A38" i="8"/>
  <c r="A39" i="8"/>
  <c r="AI39" i="8"/>
  <c r="A40" i="8"/>
  <c r="AI40" i="8"/>
  <c r="A41" i="8"/>
  <c r="AI41" i="8"/>
  <c r="A42" i="8"/>
  <c r="AI42" i="8"/>
  <c r="A43" i="8"/>
  <c r="AI43" i="8"/>
  <c r="A44" i="8"/>
  <c r="AI44" i="8"/>
  <c r="A45" i="8"/>
  <c r="AI45" i="8"/>
  <c r="A46" i="8"/>
  <c r="AI46" i="8"/>
  <c r="A47" i="8"/>
  <c r="AI47" i="8"/>
  <c r="A48" i="8"/>
  <c r="AI48" i="8"/>
  <c r="A49" i="8"/>
  <c r="W49" i="8"/>
  <c r="A50" i="8"/>
  <c r="A51" i="8"/>
  <c r="AI51" i="8"/>
  <c r="A52" i="8"/>
  <c r="AI52" i="8"/>
  <c r="A53" i="8"/>
  <c r="AI53" i="8"/>
  <c r="A54" i="8"/>
  <c r="AI54" i="8"/>
  <c r="A55" i="8"/>
  <c r="AI55" i="8"/>
  <c r="A56" i="8"/>
  <c r="AI56" i="8"/>
  <c r="A57" i="8"/>
  <c r="AI57" i="8"/>
  <c r="A58" i="8"/>
  <c r="AI58" i="8"/>
  <c r="A59" i="8"/>
  <c r="AI59" i="8"/>
  <c r="A60" i="8"/>
  <c r="AI60" i="8"/>
  <c r="A61" i="8"/>
  <c r="W61" i="8"/>
  <c r="A62" i="8"/>
  <c r="A63" i="8"/>
  <c r="AI63" i="8"/>
  <c r="A64" i="8"/>
  <c r="AI64" i="8"/>
  <c r="A65" i="8"/>
  <c r="AI65" i="8"/>
  <c r="A66" i="8"/>
  <c r="AI66" i="8"/>
  <c r="A67" i="8"/>
  <c r="AI67" i="8"/>
  <c r="A68" i="8"/>
  <c r="AI68" i="8"/>
  <c r="A69" i="8"/>
  <c r="AI69" i="8"/>
  <c r="A70" i="8"/>
  <c r="AI70" i="8"/>
  <c r="A71" i="8"/>
  <c r="AI71" i="8"/>
  <c r="A72" i="8"/>
  <c r="AI72" i="8"/>
  <c r="A73" i="8"/>
  <c r="W73" i="8"/>
  <c r="A74" i="8"/>
  <c r="A75" i="8"/>
  <c r="AI75" i="8"/>
  <c r="A76" i="8"/>
  <c r="AI76" i="8"/>
  <c r="A77" i="8"/>
  <c r="AI77" i="8"/>
  <c r="A78" i="8"/>
  <c r="AI78" i="8"/>
  <c r="A79" i="8"/>
  <c r="AI79" i="8"/>
  <c r="A80" i="8"/>
  <c r="AI80" i="8"/>
  <c r="A81" i="8"/>
  <c r="AI81" i="8"/>
  <c r="A82" i="8"/>
  <c r="AI82" i="8"/>
  <c r="A83" i="8"/>
  <c r="AI83" i="8"/>
  <c r="A84" i="8"/>
  <c r="AI84" i="8"/>
  <c r="A85" i="8"/>
  <c r="W85" i="8"/>
  <c r="A86" i="8"/>
  <c r="A87" i="8"/>
  <c r="AI87" i="8"/>
  <c r="A88" i="8"/>
  <c r="AI88" i="8"/>
  <c r="A89" i="8"/>
  <c r="AI89" i="8"/>
  <c r="A90" i="8"/>
  <c r="AI90" i="8"/>
  <c r="A91" i="8"/>
  <c r="AI91" i="8"/>
  <c r="A92" i="8"/>
  <c r="AI92" i="8"/>
  <c r="A93" i="8"/>
  <c r="AI93" i="8"/>
  <c r="A94" i="8"/>
  <c r="AI94" i="8"/>
  <c r="A95" i="8"/>
  <c r="AI95" i="8"/>
  <c r="A96" i="8"/>
  <c r="AI96" i="8"/>
  <c r="A97" i="8"/>
  <c r="W97" i="8"/>
  <c r="A98" i="8"/>
  <c r="A99" i="8"/>
  <c r="AI99" i="8"/>
  <c r="A100" i="8"/>
  <c r="AI100" i="8"/>
  <c r="A101" i="8"/>
  <c r="AI101" i="8"/>
  <c r="A102" i="8"/>
  <c r="AI102" i="8"/>
  <c r="A103" i="8"/>
  <c r="AI103" i="8"/>
  <c r="A104" i="8"/>
  <c r="AI104" i="8"/>
  <c r="A105" i="8"/>
  <c r="AI105" i="8"/>
  <c r="A106" i="8"/>
  <c r="AI106" i="8"/>
  <c r="A107" i="8"/>
  <c r="AI107" i="8"/>
  <c r="A108" i="8"/>
  <c r="AI108" i="8"/>
  <c r="A109" i="8"/>
  <c r="W109" i="8"/>
  <c r="A110" i="8"/>
  <c r="A111" i="8"/>
  <c r="AI111" i="8"/>
  <c r="A112" i="8"/>
  <c r="AI112" i="8"/>
  <c r="A113" i="8"/>
  <c r="AI113" i="8"/>
  <c r="A114" i="8"/>
  <c r="AI114" i="8"/>
  <c r="A115" i="8"/>
  <c r="AI115" i="8"/>
  <c r="A116" i="8"/>
  <c r="AI116" i="8"/>
  <c r="A117" i="8"/>
  <c r="AI117" i="8"/>
  <c r="A118" i="8"/>
  <c r="AI118" i="8"/>
  <c r="A119" i="8"/>
  <c r="AI119" i="8"/>
  <c r="A120" i="8"/>
  <c r="AI120" i="8"/>
  <c r="A121" i="8"/>
  <c r="W121" i="8"/>
  <c r="A122" i="8"/>
  <c r="A123" i="8"/>
  <c r="AI123" i="8"/>
  <c r="A124" i="8"/>
  <c r="AI124" i="8"/>
  <c r="A125" i="8"/>
  <c r="AI125" i="8"/>
  <c r="A126" i="8"/>
  <c r="AI126" i="8"/>
  <c r="A127" i="8"/>
  <c r="AI127" i="8"/>
  <c r="A128" i="8"/>
  <c r="AI128" i="8"/>
  <c r="A129" i="8"/>
  <c r="AI129" i="8"/>
  <c r="A130" i="8"/>
  <c r="AI130" i="8"/>
  <c r="A131" i="8"/>
  <c r="AI131" i="8"/>
  <c r="A132" i="8"/>
  <c r="AI132" i="8"/>
  <c r="A133" i="8"/>
  <c r="W133" i="8"/>
  <c r="A134" i="8"/>
  <c r="A135" i="8"/>
  <c r="AI135" i="8"/>
  <c r="A136" i="8"/>
  <c r="AI136" i="8"/>
  <c r="A137" i="8"/>
  <c r="AI137" i="8"/>
  <c r="A138" i="8"/>
  <c r="AI138" i="8"/>
  <c r="A139" i="8"/>
  <c r="AI139" i="8"/>
  <c r="A140" i="8"/>
  <c r="AI140" i="8"/>
  <c r="A141" i="8"/>
  <c r="AI141" i="8"/>
  <c r="A142" i="8"/>
  <c r="AI142" i="8"/>
  <c r="A143" i="8"/>
  <c r="AI143" i="8"/>
  <c r="A144" i="8"/>
  <c r="AI144" i="8"/>
  <c r="A145" i="8"/>
  <c r="W145" i="8"/>
  <c r="A146" i="8"/>
  <c r="A147" i="8"/>
  <c r="AI147" i="8"/>
  <c r="A148" i="8"/>
  <c r="AI148" i="8"/>
  <c r="A149" i="8"/>
  <c r="AI149" i="8"/>
  <c r="A150" i="8"/>
  <c r="AI150" i="8"/>
  <c r="A151" i="8"/>
  <c r="AI151" i="8"/>
  <c r="A152" i="8"/>
  <c r="AI152" i="8"/>
  <c r="A153" i="8"/>
  <c r="AI153" i="8"/>
  <c r="A154" i="8"/>
  <c r="AI154" i="8"/>
  <c r="A155" i="8"/>
  <c r="AI155" i="8"/>
  <c r="A156" i="8"/>
  <c r="AI156" i="8"/>
  <c r="A157" i="8"/>
  <c r="W157" i="8"/>
  <c r="A158" i="8"/>
  <c r="A159" i="8"/>
  <c r="AI159" i="8"/>
  <c r="A160" i="8"/>
  <c r="AI160" i="8"/>
  <c r="A161" i="8"/>
  <c r="AI161" i="8"/>
  <c r="A162" i="8"/>
  <c r="AI162" i="8"/>
  <c r="A163" i="8"/>
  <c r="AI163" i="8"/>
  <c r="A164" i="8"/>
  <c r="AI164" i="8"/>
  <c r="A165" i="8"/>
  <c r="AI165" i="8"/>
  <c r="A166" i="8"/>
  <c r="AI166" i="8"/>
  <c r="A167" i="8"/>
  <c r="AI167" i="8"/>
  <c r="A168" i="8"/>
  <c r="A169" i="8"/>
  <c r="W169" i="8"/>
  <c r="A170" i="8"/>
  <c r="A171" i="8"/>
  <c r="AI171" i="8"/>
  <c r="A172" i="8"/>
  <c r="AI172" i="8"/>
  <c r="A173" i="8"/>
  <c r="AI173" i="8"/>
  <c r="A174" i="8"/>
  <c r="AI174" i="8"/>
  <c r="A175" i="8"/>
  <c r="AI175" i="8"/>
  <c r="A176" i="8"/>
  <c r="AI176" i="8"/>
  <c r="A177" i="8"/>
  <c r="AI177" i="8"/>
  <c r="A178" i="8"/>
  <c r="AI178" i="8"/>
  <c r="A179" i="8"/>
  <c r="AI179" i="8"/>
  <c r="A180" i="8"/>
  <c r="A181" i="8"/>
  <c r="W181" i="8"/>
  <c r="A182" i="8"/>
  <c r="A183" i="8"/>
  <c r="AI183" i="8"/>
  <c r="A184" i="8"/>
  <c r="AI184" i="8"/>
  <c r="A185" i="8"/>
  <c r="AI185" i="8"/>
  <c r="A186" i="8"/>
  <c r="AI186" i="8"/>
  <c r="A187" i="8"/>
  <c r="AI187" i="8"/>
  <c r="A188" i="8"/>
  <c r="AI188" i="8"/>
  <c r="A189" i="8"/>
  <c r="AI189" i="8"/>
  <c r="A190" i="8"/>
  <c r="AI190" i="8"/>
  <c r="A191" i="8"/>
  <c r="AI191" i="8"/>
  <c r="A192" i="8"/>
  <c r="A193" i="8"/>
  <c r="W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W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W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W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8" i="8"/>
  <c r="A279" i="8"/>
  <c r="Q35" i="9"/>
  <c r="V217" i="8"/>
  <c r="U217" i="8"/>
  <c r="T217" i="8"/>
  <c r="S217" i="8"/>
  <c r="R217" i="8"/>
  <c r="E29" i="1"/>
  <c r="A29" i="1"/>
  <c r="AC46" i="7"/>
  <c r="AC54" i="7"/>
  <c r="AC55" i="7"/>
  <c r="AC52" i="7"/>
  <c r="AC51" i="7"/>
  <c r="AC50" i="7"/>
  <c r="AC49" i="7"/>
  <c r="AC48" i="7"/>
  <c r="AC47" i="7"/>
  <c r="AC44" i="7"/>
  <c r="AC43" i="7"/>
  <c r="AC42" i="7"/>
  <c r="AC41" i="7"/>
  <c r="AC40" i="7"/>
  <c r="AC39" i="7"/>
  <c r="AC37" i="7"/>
  <c r="AC36" i="7"/>
  <c r="AC35" i="7"/>
  <c r="AC33" i="7"/>
  <c r="AC32" i="7"/>
  <c r="AC31" i="7"/>
  <c r="AC30" i="7"/>
  <c r="AC29" i="7"/>
  <c r="AC28" i="7"/>
  <c r="AC27" i="7"/>
  <c r="AC26" i="7"/>
  <c r="AC25" i="7"/>
  <c r="AC24" i="7"/>
  <c r="AC23" i="7"/>
  <c r="AC21" i="7"/>
  <c r="AC20" i="7"/>
  <c r="AC19" i="7"/>
  <c r="AC18" i="7"/>
  <c r="AC17" i="7"/>
  <c r="AC16" i="7"/>
  <c r="AC15" i="7"/>
  <c r="AC14" i="7"/>
  <c r="AC13" i="7"/>
  <c r="AC11" i="7"/>
  <c r="AC10" i="7"/>
  <c r="AC9" i="7"/>
  <c r="AC8" i="7"/>
  <c r="AC7" i="7"/>
  <c r="AC6" i="7"/>
  <c r="AC5" i="7"/>
  <c r="AC4" i="7"/>
  <c r="AC2" i="7"/>
  <c r="W327" i="8"/>
  <c r="Q326" i="8"/>
  <c r="P326" i="8"/>
  <c r="O326" i="8"/>
  <c r="N326" i="8"/>
  <c r="Q325" i="8"/>
  <c r="P325" i="8"/>
  <c r="O325" i="8"/>
  <c r="N325" i="8"/>
  <c r="Q324" i="8"/>
  <c r="P324" i="8"/>
  <c r="O324" i="8"/>
  <c r="N324" i="8"/>
  <c r="Q323" i="8"/>
  <c r="P323" i="8"/>
  <c r="O323" i="8"/>
  <c r="N323" i="8"/>
  <c r="Q322" i="8"/>
  <c r="P322" i="8"/>
  <c r="O322" i="8"/>
  <c r="N322" i="8"/>
  <c r="Q321" i="8"/>
  <c r="P321" i="8"/>
  <c r="O321" i="8"/>
  <c r="N321" i="8"/>
  <c r="Q320" i="8"/>
  <c r="P320" i="8"/>
  <c r="O320" i="8"/>
  <c r="N320" i="8"/>
  <c r="Q319" i="8"/>
  <c r="P319" i="8"/>
  <c r="O319" i="8"/>
  <c r="N319" i="8"/>
  <c r="Q318" i="8"/>
  <c r="P318" i="8"/>
  <c r="O318" i="8"/>
  <c r="N318" i="8"/>
  <c r="Q317" i="8"/>
  <c r="P317" i="8"/>
  <c r="O317" i="8"/>
  <c r="N317" i="8"/>
  <c r="Q316" i="8"/>
  <c r="P316" i="8"/>
  <c r="O316" i="8"/>
  <c r="N316" i="8"/>
  <c r="D41" i="2"/>
  <c r="O41" i="2"/>
  <c r="C40" i="3"/>
  <c r="C34" i="3"/>
  <c r="C37" i="3"/>
  <c r="C42" i="3"/>
  <c r="C38" i="3"/>
  <c r="C35" i="3"/>
  <c r="C36" i="3"/>
  <c r="C39" i="3"/>
  <c r="AC38" i="7"/>
  <c r="D40" i="2"/>
  <c r="C41" i="2"/>
  <c r="C40" i="2"/>
  <c r="O40" i="2"/>
  <c r="J17" i="1"/>
  <c r="O58" i="7"/>
  <c r="P1" i="7"/>
  <c r="O1" i="7"/>
  <c r="V181" i="8"/>
  <c r="U181" i="8"/>
  <c r="T181" i="8"/>
  <c r="S181" i="8"/>
  <c r="R181" i="8"/>
  <c r="AI180" i="8"/>
  <c r="AI170" i="8"/>
  <c r="E17" i="1"/>
  <c r="A17" i="1"/>
  <c r="J18" i="1"/>
  <c r="J3" i="1"/>
  <c r="J26" i="1"/>
  <c r="J27" i="1"/>
  <c r="J28" i="1"/>
  <c r="J25" i="1"/>
  <c r="P14" i="2"/>
  <c r="Q31" i="9"/>
  <c r="AI192" i="8"/>
  <c r="AI182" i="8"/>
  <c r="V193" i="8"/>
  <c r="U193" i="8"/>
  <c r="T193" i="8"/>
  <c r="S193" i="8"/>
  <c r="R193" i="8"/>
  <c r="Q29" i="9"/>
  <c r="AI168" i="8"/>
  <c r="V169" i="8"/>
  <c r="U169" i="8"/>
  <c r="T169" i="8"/>
  <c r="S169" i="8"/>
  <c r="R169" i="8"/>
  <c r="AI158" i="8"/>
  <c r="AI146" i="8"/>
  <c r="V157" i="8"/>
  <c r="U157" i="8"/>
  <c r="T157" i="8"/>
  <c r="S157" i="8"/>
  <c r="R157" i="8"/>
  <c r="Q27" i="9"/>
  <c r="AI2" i="8"/>
  <c r="AI14" i="8"/>
  <c r="AI26" i="8"/>
  <c r="AI38" i="8"/>
  <c r="AI50" i="8"/>
  <c r="AI62" i="8"/>
  <c r="AI74" i="8"/>
  <c r="AI86" i="8"/>
  <c r="AH328" i="8"/>
  <c r="P42" i="3"/>
  <c r="Q42" i="3"/>
  <c r="R42" i="3"/>
  <c r="O31" i="2"/>
  <c r="P31" i="2"/>
  <c r="AE328" i="8"/>
  <c r="Z328" i="8"/>
  <c r="J43" i="3"/>
  <c r="D32" i="1"/>
  <c r="D31" i="1"/>
  <c r="R13" i="8"/>
  <c r="S13" i="8"/>
  <c r="T13" i="8"/>
  <c r="U13" i="8"/>
  <c r="V13" i="8"/>
  <c r="R25" i="8"/>
  <c r="S25" i="8"/>
  <c r="T25" i="8"/>
  <c r="U25" i="8"/>
  <c r="V25" i="8"/>
  <c r="R37" i="8"/>
  <c r="S37" i="8"/>
  <c r="T37" i="8"/>
  <c r="U37" i="8"/>
  <c r="V37" i="8"/>
  <c r="R49" i="8"/>
  <c r="S49" i="8"/>
  <c r="T49" i="8"/>
  <c r="U49" i="8"/>
  <c r="V49" i="8"/>
  <c r="R61" i="8"/>
  <c r="S61" i="8"/>
  <c r="T61" i="8"/>
  <c r="U61" i="8"/>
  <c r="V61" i="8"/>
  <c r="R73" i="8"/>
  <c r="S73" i="8"/>
  <c r="T73" i="8"/>
  <c r="U73" i="8"/>
  <c r="V73" i="8"/>
  <c r="R85" i="8"/>
  <c r="S85" i="8"/>
  <c r="T85" i="8"/>
  <c r="U85" i="8"/>
  <c r="V85" i="8"/>
  <c r="R97" i="8"/>
  <c r="S97" i="8"/>
  <c r="T97" i="8"/>
  <c r="U97" i="8"/>
  <c r="V97" i="8"/>
  <c r="AI98" i="8"/>
  <c r="R109" i="8"/>
  <c r="S109" i="8"/>
  <c r="T109" i="8"/>
  <c r="U109" i="8"/>
  <c r="V109" i="8"/>
  <c r="AI110" i="8"/>
  <c r="R121" i="8"/>
  <c r="S121" i="8"/>
  <c r="T121" i="8"/>
  <c r="U121" i="8"/>
  <c r="V121" i="8"/>
  <c r="AI122" i="8"/>
  <c r="R133" i="8"/>
  <c r="S133" i="8"/>
  <c r="T133" i="8"/>
  <c r="U133" i="8"/>
  <c r="V133" i="8"/>
  <c r="AI134" i="8"/>
  <c r="R145" i="8"/>
  <c r="S145" i="8"/>
  <c r="T145" i="8"/>
  <c r="U145" i="8"/>
  <c r="V145" i="8"/>
  <c r="N252" i="8"/>
  <c r="O252" i="8"/>
  <c r="N267" i="8"/>
  <c r="O267" i="8"/>
  <c r="P267" i="8"/>
  <c r="Q267" i="8"/>
  <c r="W267" i="8"/>
  <c r="N268" i="8"/>
  <c r="O268" i="8"/>
  <c r="P268" i="8"/>
  <c r="Q268" i="8"/>
  <c r="W268" i="8"/>
  <c r="N269" i="8"/>
  <c r="O269" i="8"/>
  <c r="P269" i="8"/>
  <c r="Q269" i="8"/>
  <c r="W269" i="8"/>
  <c r="N270" i="8"/>
  <c r="O270" i="8"/>
  <c r="P270" i="8"/>
  <c r="Q270" i="8"/>
  <c r="W270" i="8"/>
  <c r="N271" i="8"/>
  <c r="O271" i="8"/>
  <c r="P271" i="8"/>
  <c r="Q271" i="8"/>
  <c r="W271" i="8"/>
  <c r="N272" i="8"/>
  <c r="O272" i="8"/>
  <c r="P272" i="8"/>
  <c r="Q272" i="8"/>
  <c r="W272" i="8"/>
  <c r="N273" i="8"/>
  <c r="O273" i="8"/>
  <c r="P273" i="8"/>
  <c r="Q273" i="8"/>
  <c r="W273" i="8"/>
  <c r="AC273" i="8"/>
  <c r="N274" i="8"/>
  <c r="O274" i="8"/>
  <c r="P274" i="8"/>
  <c r="Q274" i="8"/>
  <c r="W274" i="8"/>
  <c r="N275" i="8"/>
  <c r="O275" i="8"/>
  <c r="P275" i="8"/>
  <c r="Q275" i="8"/>
  <c r="W275" i="8"/>
  <c r="N276" i="8"/>
  <c r="O276" i="8"/>
  <c r="P276" i="8"/>
  <c r="Q276" i="8"/>
  <c r="W276" i="8"/>
  <c r="N278" i="8"/>
  <c r="O278" i="8"/>
  <c r="P278" i="8"/>
  <c r="Q278" i="8"/>
  <c r="W278" i="8"/>
  <c r="W279" i="8"/>
  <c r="Q25" i="9"/>
  <c r="Q23" i="9"/>
  <c r="Q21" i="9"/>
  <c r="Q19" i="9"/>
  <c r="Q17" i="9"/>
  <c r="Q15" i="9"/>
  <c r="Q13" i="9"/>
  <c r="Q3" i="9"/>
  <c r="Q11" i="9"/>
  <c r="P3" i="2"/>
  <c r="C58" i="7"/>
  <c r="D58" i="7"/>
  <c r="E58" i="7"/>
  <c r="F58" i="7"/>
  <c r="G58" i="7"/>
  <c r="H58" i="7"/>
  <c r="I58" i="7"/>
  <c r="J58" i="7"/>
  <c r="K58" i="7"/>
  <c r="L58" i="7"/>
  <c r="M58" i="7"/>
  <c r="N58" i="7"/>
  <c r="P58" i="7"/>
  <c r="Q58" i="7"/>
  <c r="R58" i="7"/>
  <c r="S58" i="7"/>
  <c r="T58" i="7"/>
  <c r="U58" i="7"/>
  <c r="V58" i="7"/>
  <c r="W58" i="7"/>
  <c r="X58" i="7"/>
  <c r="Y58" i="7"/>
  <c r="Z58" i="7"/>
  <c r="AA58" i="7"/>
  <c r="B58" i="7"/>
  <c r="J7" i="1"/>
  <c r="J8" i="1"/>
  <c r="J9" i="1"/>
  <c r="J10" i="1"/>
  <c r="J11" i="1"/>
  <c r="J12" i="1"/>
  <c r="J13" i="1"/>
  <c r="J14" i="1"/>
  <c r="J15" i="1"/>
  <c r="J16" i="1"/>
  <c r="J19" i="1"/>
  <c r="J20" i="1"/>
  <c r="J21" i="1"/>
  <c r="J22" i="1"/>
  <c r="J23" i="1"/>
  <c r="J4" i="1"/>
  <c r="J5" i="1"/>
  <c r="J6" i="1"/>
  <c r="Q9" i="9"/>
  <c r="Q7" i="9"/>
  <c r="Q5" i="9"/>
  <c r="S51" i="9"/>
  <c r="R51" i="9"/>
  <c r="S49" i="9"/>
  <c r="R49" i="9"/>
  <c r="S47" i="9"/>
  <c r="R47" i="9"/>
  <c r="S45" i="9"/>
  <c r="R45" i="9"/>
  <c r="S43" i="9"/>
  <c r="R43" i="9"/>
  <c r="S41" i="9"/>
  <c r="R41" i="9"/>
  <c r="S39" i="9"/>
  <c r="R39" i="9"/>
  <c r="S37" i="9"/>
  <c r="R37" i="9"/>
  <c r="S35" i="9"/>
  <c r="R35" i="9"/>
  <c r="S33" i="9"/>
  <c r="R33" i="9"/>
  <c r="S31" i="9"/>
  <c r="R31" i="9"/>
  <c r="S29" i="9"/>
  <c r="R29" i="9"/>
  <c r="S27" i="9"/>
  <c r="R27" i="9"/>
  <c r="S25" i="9"/>
  <c r="R25" i="9"/>
  <c r="S23" i="9"/>
  <c r="R23" i="9"/>
  <c r="S21" i="9"/>
  <c r="R21" i="9"/>
  <c r="S19" i="9"/>
  <c r="R19" i="9"/>
  <c r="S17" i="9"/>
  <c r="R17" i="9"/>
  <c r="S15" i="9"/>
  <c r="R15" i="9"/>
  <c r="S13" i="9"/>
  <c r="R13" i="9"/>
  <c r="S11" i="9"/>
  <c r="R11" i="9"/>
  <c r="S9" i="9"/>
  <c r="R9" i="9"/>
  <c r="S7" i="9"/>
  <c r="R7" i="9"/>
  <c r="S5" i="9"/>
  <c r="R5" i="9"/>
  <c r="S3" i="9"/>
  <c r="R3" i="9"/>
  <c r="Q51" i="9"/>
  <c r="Q37" i="9"/>
  <c r="Q39" i="9"/>
  <c r="Q41" i="9"/>
  <c r="Q43" i="9"/>
  <c r="Q45" i="9"/>
  <c r="Q47" i="9"/>
  <c r="Q49" i="9"/>
  <c r="Q33" i="9"/>
  <c r="P41" i="2"/>
  <c r="AC12" i="7"/>
  <c r="AC53" i="7"/>
  <c r="X1" i="7"/>
  <c r="AA1" i="7"/>
  <c r="Z1" i="7"/>
  <c r="Y1" i="7"/>
  <c r="A25" i="1"/>
  <c r="A26" i="1"/>
  <c r="A27" i="1"/>
  <c r="A28" i="1"/>
  <c r="E4" i="1"/>
  <c r="E6" i="1"/>
  <c r="E8" i="1"/>
  <c r="E9" i="1"/>
  <c r="E12" i="1"/>
  <c r="E13" i="1"/>
  <c r="E15" i="1"/>
  <c r="E16" i="1"/>
  <c r="E20" i="1"/>
  <c r="E22" i="1"/>
  <c r="E23" i="1"/>
  <c r="E24" i="1"/>
  <c r="E25" i="1"/>
  <c r="E26" i="1"/>
  <c r="E28" i="1"/>
  <c r="O10" i="2"/>
  <c r="P10" i="2"/>
  <c r="AJ136" i="8"/>
  <c r="O30" i="1"/>
  <c r="D3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8" i="1"/>
  <c r="A19" i="1"/>
  <c r="A20" i="1"/>
  <c r="A21" i="1"/>
  <c r="A22" i="1"/>
  <c r="A23" i="1"/>
  <c r="A24" i="1"/>
  <c r="P39" i="3"/>
  <c r="Q39" i="3"/>
  <c r="R39" i="3"/>
  <c r="O28" i="2"/>
  <c r="P28" i="2"/>
  <c r="O33" i="2"/>
  <c r="P33" i="2"/>
  <c r="O7" i="2"/>
  <c r="P7" i="2"/>
  <c r="P38" i="3"/>
  <c r="Q38" i="3"/>
  <c r="R38" i="3"/>
  <c r="P36" i="3"/>
  <c r="Q36" i="3"/>
  <c r="R36" i="3"/>
  <c r="P34" i="3"/>
  <c r="Q34" i="3"/>
  <c r="R34" i="3"/>
  <c r="O16" i="2"/>
  <c r="P16" i="2"/>
  <c r="O6" i="2"/>
  <c r="P6" i="2"/>
  <c r="O11" i="2"/>
  <c r="P11" i="2"/>
  <c r="O17" i="2"/>
  <c r="P17" i="2"/>
  <c r="O15" i="2"/>
  <c r="P15" i="2"/>
  <c r="O8" i="2"/>
  <c r="P8" i="2"/>
  <c r="O13" i="2"/>
  <c r="P13" i="2"/>
  <c r="O9" i="2"/>
  <c r="P9" i="2"/>
  <c r="O5" i="2"/>
  <c r="P5" i="2"/>
  <c r="O24" i="2"/>
  <c r="P24" i="2"/>
  <c r="P32" i="2"/>
  <c r="O38" i="2"/>
  <c r="P38" i="2"/>
  <c r="O39" i="2"/>
  <c r="P39" i="2"/>
  <c r="O29" i="2"/>
  <c r="P29" i="2"/>
  <c r="O12" i="2"/>
  <c r="P12" i="2"/>
  <c r="O4" i="2"/>
  <c r="P4" i="2"/>
  <c r="O25" i="2"/>
  <c r="P25" i="2"/>
  <c r="O27" i="2"/>
  <c r="P27" i="2"/>
  <c r="O23" i="2"/>
  <c r="P23" i="2"/>
  <c r="E1" i="7"/>
  <c r="S30" i="1"/>
  <c r="R30" i="1"/>
  <c r="Q30" i="1"/>
  <c r="N30" i="1"/>
  <c r="M30" i="1"/>
  <c r="R1" i="7"/>
  <c r="D1" i="6"/>
  <c r="D1" i="3"/>
  <c r="D1" i="2"/>
  <c r="D1" i="7"/>
  <c r="C1" i="7"/>
  <c r="B1" i="7"/>
  <c r="F1" i="7"/>
  <c r="G1" i="7"/>
  <c r="H1" i="7"/>
  <c r="I1" i="7"/>
  <c r="J1" i="7"/>
  <c r="K1" i="7"/>
  <c r="L1" i="7"/>
  <c r="M1" i="7"/>
  <c r="N1" i="7"/>
  <c r="Q1" i="7"/>
  <c r="S1" i="7"/>
  <c r="T1" i="7"/>
  <c r="U1" i="7"/>
  <c r="V1" i="7"/>
  <c r="W1" i="7"/>
  <c r="E3" i="1"/>
  <c r="P37" i="3"/>
  <c r="Q37" i="3"/>
  <c r="R37" i="3"/>
  <c r="Q40" i="3"/>
  <c r="Q35" i="3"/>
  <c r="R40" i="3"/>
  <c r="R35" i="3"/>
  <c r="P35" i="3"/>
  <c r="P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Gilbert</author>
  </authors>
  <commentList>
    <comment ref="C8" authorId="0" shapeId="0" xr:uid="{00000000-0006-0000-0000-000001000000}">
      <text>
        <r>
          <rPr>
            <b/>
            <sz val="9"/>
            <color indexed="81"/>
            <rFont val="Arial"/>
          </rPr>
          <t>Stuart Gilbert:</t>
        </r>
        <r>
          <rPr>
            <sz val="9"/>
            <color indexed="81"/>
            <rFont val="Arial"/>
          </rPr>
          <t xml:space="preserve">
Sanpfords cancelled - no players</t>
        </r>
      </text>
    </comment>
  </commentList>
</comments>
</file>

<file path=xl/sharedStrings.xml><?xml version="1.0" encoding="utf-8"?>
<sst xmlns="http://schemas.openxmlformats.org/spreadsheetml/2006/main" count="2172" uniqueCount="345">
  <si>
    <t>Match Date</t>
  </si>
  <si>
    <t>Opposition</t>
  </si>
  <si>
    <t>Venue</t>
  </si>
  <si>
    <t>Home</t>
  </si>
  <si>
    <t>Away</t>
  </si>
  <si>
    <t>Match Type</t>
  </si>
  <si>
    <t>Start time</t>
  </si>
  <si>
    <t>Finish time</t>
  </si>
  <si>
    <t>Result</t>
  </si>
  <si>
    <t>Total Won</t>
  </si>
  <si>
    <t>Total Lost</t>
  </si>
  <si>
    <t>Total Drawn</t>
  </si>
  <si>
    <t>Total Tied</t>
  </si>
  <si>
    <t>Total Cancelled</t>
  </si>
  <si>
    <t>Wickets</t>
  </si>
  <si>
    <t xml:space="preserve"> Eastons Runs</t>
  </si>
  <si>
    <t xml:space="preserve"> Eastons Wickets</t>
  </si>
  <si>
    <t>decl</t>
  </si>
  <si>
    <t>Oppo Runs</t>
  </si>
  <si>
    <t xml:space="preserve">Oppo Wickets </t>
  </si>
  <si>
    <t>Oppo Overs</t>
  </si>
  <si>
    <t>Eastons Overs</t>
  </si>
  <si>
    <t>Best Batting</t>
  </si>
  <si>
    <t>Match Notes</t>
  </si>
  <si>
    <t>Name</t>
  </si>
  <si>
    <t>Nick</t>
  </si>
  <si>
    <t>Ben</t>
  </si>
  <si>
    <t>Sandy</t>
  </si>
  <si>
    <t>Peter</t>
  </si>
  <si>
    <t>Tony</t>
  </si>
  <si>
    <t>Chris</t>
  </si>
  <si>
    <t>Colin</t>
  </si>
  <si>
    <t>Andy</t>
  </si>
  <si>
    <t>Dave</t>
  </si>
  <si>
    <t>Stuart</t>
  </si>
  <si>
    <t>Paul</t>
  </si>
  <si>
    <t>Tim</t>
  </si>
  <si>
    <t>Jan</t>
  </si>
  <si>
    <t>Gary</t>
  </si>
  <si>
    <t>Dawson N</t>
  </si>
  <si>
    <t>Gallant B</t>
  </si>
  <si>
    <t>Barr S</t>
  </si>
  <si>
    <t>Sutcliffe</t>
  </si>
  <si>
    <t>Carsberg</t>
  </si>
  <si>
    <t>Mimmack</t>
  </si>
  <si>
    <t>Wood</t>
  </si>
  <si>
    <t>Bowler</t>
  </si>
  <si>
    <t>Barnard</t>
  </si>
  <si>
    <t>Ahearne</t>
  </si>
  <si>
    <t>Gilbert S</t>
  </si>
  <si>
    <t>Taylor P</t>
  </si>
  <si>
    <t>Russell</t>
  </si>
  <si>
    <t>Gilbert J</t>
  </si>
  <si>
    <t>Matches Played</t>
  </si>
  <si>
    <t>Innings</t>
  </si>
  <si>
    <t>Total Runs</t>
  </si>
  <si>
    <t>Not Outs</t>
  </si>
  <si>
    <t>Ducks</t>
  </si>
  <si>
    <t>Balls Faced</t>
  </si>
  <si>
    <t>Minutes In</t>
  </si>
  <si>
    <t>Highest Score</t>
  </si>
  <si>
    <t>100s</t>
  </si>
  <si>
    <t>50s</t>
  </si>
  <si>
    <t>Batting Average</t>
  </si>
  <si>
    <t>Strike Rate</t>
  </si>
  <si>
    <t>Overs Bowled</t>
  </si>
  <si>
    <t>Maidens</t>
  </si>
  <si>
    <t>Wides</t>
  </si>
  <si>
    <t>No Balls</t>
  </si>
  <si>
    <t>Bowling Runs</t>
  </si>
  <si>
    <t>Bowled</t>
  </si>
  <si>
    <t>Caught</t>
  </si>
  <si>
    <t>LBW</t>
  </si>
  <si>
    <t>Hit Wkt</t>
  </si>
  <si>
    <t>Stumped</t>
  </si>
  <si>
    <t>Total Wickets</t>
  </si>
  <si>
    <t>5 Wickets</t>
  </si>
  <si>
    <t>Economy Rate</t>
  </si>
  <si>
    <t>Bowling Average</t>
  </si>
  <si>
    <t>Wicket Keeping :</t>
  </si>
  <si>
    <t>Catches</t>
  </si>
  <si>
    <t>W Keeper Catches</t>
  </si>
  <si>
    <t>Run Outs</t>
  </si>
  <si>
    <t>W Keeper Stumping</t>
  </si>
  <si>
    <t>Total Fielding</t>
  </si>
  <si>
    <t>Total W Keeper</t>
  </si>
  <si>
    <t>Also Played :</t>
  </si>
  <si>
    <t>4s</t>
  </si>
  <si>
    <t>6s</t>
  </si>
  <si>
    <t>Overs</t>
  </si>
  <si>
    <t>5 Wkts</t>
  </si>
  <si>
    <t>Catch</t>
  </si>
  <si>
    <t>Run Out</t>
  </si>
  <si>
    <t>Wk Catch</t>
  </si>
  <si>
    <t>Stump</t>
  </si>
  <si>
    <t>Fantasy Points</t>
  </si>
  <si>
    <t>Average</t>
  </si>
  <si>
    <t xml:space="preserve">6s </t>
  </si>
  <si>
    <t>Total Abandoned</t>
  </si>
  <si>
    <t>George</t>
  </si>
  <si>
    <t>Gallant G</t>
  </si>
  <si>
    <t>Patrick</t>
  </si>
  <si>
    <t>Stevens P</t>
  </si>
  <si>
    <t>Scholes P</t>
  </si>
  <si>
    <t xml:space="preserve">Angus </t>
  </si>
  <si>
    <t>(balls/wkt)</t>
  </si>
  <si>
    <t>Byes</t>
  </si>
  <si>
    <t>Sort criteria:</t>
  </si>
  <si>
    <t>Scholes S</t>
  </si>
  <si>
    <t>Sort criteria: Average</t>
  </si>
  <si>
    <t>Anders M</t>
  </si>
  <si>
    <t>Hawkins C</t>
  </si>
  <si>
    <t>Chester</t>
  </si>
  <si>
    <t>Hutchings M</t>
  </si>
  <si>
    <t>Marchant H</t>
  </si>
  <si>
    <t>Marchant J</t>
  </si>
  <si>
    <t>Scholes O</t>
  </si>
  <si>
    <t>Hutchings G</t>
  </si>
  <si>
    <t>Collins M</t>
  </si>
  <si>
    <t>Mike</t>
  </si>
  <si>
    <t xml:space="preserve"> Match Summaries -  Season </t>
  </si>
  <si>
    <t xml:space="preserve"> Batting Averages -  Season </t>
  </si>
  <si>
    <t xml:space="preserve"> Bowling Averages -  Season</t>
  </si>
  <si>
    <t xml:space="preserve"> Fielding -  Season</t>
  </si>
  <si>
    <t xml:space="preserve"> Duck Cup -  Season</t>
  </si>
  <si>
    <t xml:space="preserve"> Fantasy Cricket -  Season</t>
  </si>
  <si>
    <t>Cranston</t>
  </si>
  <si>
    <t>Best Bowling</t>
  </si>
  <si>
    <t>Booth R</t>
  </si>
  <si>
    <t>Robbie</t>
  </si>
  <si>
    <t>Pannell</t>
  </si>
  <si>
    <t>b_order</t>
  </si>
  <si>
    <t>capt</t>
  </si>
  <si>
    <t>wkt_kpr</t>
  </si>
  <si>
    <t>bye</t>
  </si>
  <si>
    <t>ctch</t>
  </si>
  <si>
    <t>r_out</t>
  </si>
  <si>
    <t>wk_st</t>
  </si>
  <si>
    <t>wk_ct</t>
  </si>
  <si>
    <t>fld_tot</t>
  </si>
  <si>
    <t>bat_run</t>
  </si>
  <si>
    <t>how_out</t>
  </si>
  <si>
    <t>overs</t>
  </si>
  <si>
    <t>no_ball</t>
  </si>
  <si>
    <t>bowl_run</t>
  </si>
  <si>
    <t>wkt_bwl</t>
  </si>
  <si>
    <t>wkt_lbw</t>
  </si>
  <si>
    <t>wkt_st</t>
  </si>
  <si>
    <t>wkt_hw</t>
  </si>
  <si>
    <t>balls</t>
  </si>
  <si>
    <t>mins</t>
  </si>
  <si>
    <t>wkts_tot</t>
  </si>
  <si>
    <t>wide</t>
  </si>
  <si>
    <t>mdn</t>
  </si>
  <si>
    <t>wkt_ct</t>
  </si>
  <si>
    <t>pts</t>
  </si>
  <si>
    <t>Scott D</t>
  </si>
  <si>
    <t>Scott E</t>
  </si>
  <si>
    <t>Kelly P</t>
  </si>
  <si>
    <t>Barry</t>
  </si>
  <si>
    <t>Smith B</t>
  </si>
  <si>
    <t>Yeldham Al</t>
  </si>
  <si>
    <t>Yeldham An</t>
  </si>
  <si>
    <t>Bainbridge M</t>
  </si>
  <si>
    <t>McClagan</t>
  </si>
  <si>
    <t>Pitch Used</t>
  </si>
  <si>
    <t>Pearson T</t>
  </si>
  <si>
    <t>Finchingfield</t>
  </si>
  <si>
    <t>Sheering</t>
  </si>
  <si>
    <t>Total</t>
  </si>
  <si>
    <t>NO</t>
  </si>
  <si>
    <t>bat_duck</t>
  </si>
  <si>
    <t>Poulston A</t>
  </si>
  <si>
    <t>extras</t>
  </si>
  <si>
    <t>Extras</t>
  </si>
  <si>
    <t>Hindley C</t>
  </si>
  <si>
    <t>Stevens J</t>
  </si>
  <si>
    <t>Higgins D</t>
  </si>
  <si>
    <t>5wkts</t>
  </si>
  <si>
    <t>Kelly T</t>
  </si>
  <si>
    <t>Abridge</t>
  </si>
  <si>
    <t>Oppo</t>
  </si>
  <si>
    <t>Date</t>
  </si>
  <si>
    <t>Crowley N</t>
  </si>
  <si>
    <t>Williams J</t>
  </si>
  <si>
    <t>Matthews K</t>
  </si>
  <si>
    <t>Gallant J</t>
  </si>
  <si>
    <t>Kevin</t>
  </si>
  <si>
    <t>Springfield_II</t>
  </si>
  <si>
    <t>Sampford</t>
  </si>
  <si>
    <t>Terling</t>
  </si>
  <si>
    <t>Judd_St_Tigers</t>
  </si>
  <si>
    <t>Old_Sectonians</t>
  </si>
  <si>
    <t>bat_ply</t>
  </si>
  <si>
    <t>Fergus</t>
  </si>
  <si>
    <t>Y</t>
  </si>
  <si>
    <t>Players_List</t>
  </si>
  <si>
    <t>name</t>
  </si>
  <si>
    <t>McCloskey</t>
  </si>
  <si>
    <t>B</t>
  </si>
  <si>
    <t>P</t>
  </si>
  <si>
    <t>b</t>
  </si>
  <si>
    <t>ct</t>
  </si>
  <si>
    <t>no</t>
  </si>
  <si>
    <t>dnb</t>
  </si>
  <si>
    <t>Won</t>
  </si>
  <si>
    <t>Wkts</t>
  </si>
  <si>
    <t>date</t>
  </si>
  <si>
    <t>n</t>
  </si>
  <si>
    <t>GA 5 for 20</t>
  </si>
  <si>
    <t>How Out Criteria</t>
  </si>
  <si>
    <t>Taylor P 3 for 50</t>
  </si>
  <si>
    <t>Gallant J 85 NO</t>
  </si>
  <si>
    <t>CH duck; Pre-match demo of formation mowing; weather partially cloudy</t>
  </si>
  <si>
    <t>Drever</t>
  </si>
  <si>
    <t>Gallant B 100 NO</t>
  </si>
  <si>
    <t>Gallant J 3 for 22</t>
  </si>
  <si>
    <t>AB 57; DS duck; weather sunny periods, light rain 20mins, 17C</t>
  </si>
  <si>
    <t>CH 62 NO (including 35 balls without scoring); weather overcast, cold, 11C</t>
  </si>
  <si>
    <t>40 overs</t>
  </si>
  <si>
    <t>Joe</t>
  </si>
  <si>
    <t>st</t>
  </si>
  <si>
    <t>Draw</t>
  </si>
  <si>
    <t>Sub</t>
  </si>
  <si>
    <t>Lost</t>
  </si>
  <si>
    <t>runs</t>
  </si>
  <si>
    <t>Hawkins C 48</t>
  </si>
  <si>
    <t>Barnard A 3 for 69</t>
  </si>
  <si>
    <t xml:space="preserve">Gallant J 105 </t>
  </si>
  <si>
    <t>Gallant J 3 for 30</t>
  </si>
  <si>
    <t>GA 47; CW &amp; PS duck; weather sunny, light cloud, 17C</t>
  </si>
  <si>
    <t>SB 37; CM duck; AB 1 for 56(28 from one over); weather part cloud, sunny 12C</t>
  </si>
  <si>
    <t>lbw</t>
  </si>
  <si>
    <t>Scott D 38</t>
  </si>
  <si>
    <t>Gallant J 2 for 16</t>
  </si>
  <si>
    <t>GB 18; AD duck; last 5 wickets down for 16 runs; weather overcast, light rain, 16C</t>
  </si>
  <si>
    <t>extra</t>
  </si>
  <si>
    <t>ro</t>
  </si>
  <si>
    <t>Time</t>
  </si>
  <si>
    <t>Matthews C</t>
  </si>
  <si>
    <t>30 overs</t>
  </si>
  <si>
    <t>CH 81; GH duck; CH highest score for ECC;</t>
  </si>
  <si>
    <t>DS 35; SG G/Duck; AH highest score for ECC;weather sunny; cool breeze 17C</t>
  </si>
  <si>
    <t>Scott D 29</t>
  </si>
  <si>
    <t>Barnard A 85</t>
  </si>
  <si>
    <t>Ahearne C 82</t>
  </si>
  <si>
    <t>Wood C 2 for 27</t>
  </si>
  <si>
    <t>Mimmack C 4 for 16</t>
  </si>
  <si>
    <t>Barnard A 3 for 12</t>
  </si>
  <si>
    <t>Barnard A 50</t>
  </si>
  <si>
    <t>Barnard A 57</t>
  </si>
  <si>
    <r>
      <t xml:space="preserve">SG, CH &amp; CM ducks; GA </t>
    </r>
    <r>
      <rPr>
        <i/>
        <sz val="12"/>
        <rFont val="Arial"/>
      </rPr>
      <t>only</t>
    </r>
    <r>
      <rPr>
        <sz val="12"/>
        <rFont val="Arial"/>
      </rPr>
      <t xml:space="preserve"> 11; weather sunny 17 - 18C</t>
    </r>
  </si>
  <si>
    <t>Ahearne C 102 NO</t>
  </si>
  <si>
    <t>Ahearne C 3 for 18</t>
  </si>
  <si>
    <t>Mimmack C 5 for 11</t>
  </si>
  <si>
    <t xml:space="preserve">No ducks!; CH 37; CM '5 fer' (26th); </t>
  </si>
  <si>
    <t>DS 96, SR 110.8;</t>
  </si>
  <si>
    <t>Ahearne C 66</t>
  </si>
  <si>
    <t>Mimmack C 3 for 8</t>
  </si>
  <si>
    <t>Lbye</t>
  </si>
  <si>
    <t>JG 63; GA, BAv 50.1, SR 105; wicket at Cornish Hall End 'not good'</t>
  </si>
  <si>
    <t>C</t>
  </si>
  <si>
    <t>Cancelled</t>
  </si>
  <si>
    <t>Heavy rain all day, match cancelled</t>
  </si>
  <si>
    <t>Gallant J 75 NO</t>
  </si>
  <si>
    <t>Wood C 4 for 43</t>
  </si>
  <si>
    <t>BS 18;no ducks; PS 1 wkt in 2 balls</t>
  </si>
  <si>
    <t>Lindsell called it off, no players</t>
  </si>
  <si>
    <t>Elburn A</t>
  </si>
  <si>
    <t>Mimmack C 1 for 41</t>
  </si>
  <si>
    <t>Smith B 96</t>
  </si>
  <si>
    <t>CH 89 (18 x 4's); BS highest score for ECC (jug avoidance!)</t>
  </si>
  <si>
    <t>Runs</t>
  </si>
  <si>
    <t>Barr S 109 NO</t>
  </si>
  <si>
    <t>Stevens P 2 for 18</t>
  </si>
  <si>
    <t>AB 40; no ducks; 2 run outs</t>
  </si>
  <si>
    <t>Andrew</t>
  </si>
  <si>
    <t>Abandoned</t>
  </si>
  <si>
    <t>Zagreb</t>
  </si>
  <si>
    <t>Ahearne C 81</t>
  </si>
  <si>
    <t>Ahearne C 2 for 18</t>
  </si>
  <si>
    <t xml:space="preserve">DS 40; no ducks; </t>
  </si>
  <si>
    <t>Springfield_II_D1</t>
  </si>
  <si>
    <t>Springfield_II_D2</t>
  </si>
  <si>
    <t>Slemmings W</t>
  </si>
  <si>
    <t>Sewards End</t>
  </si>
  <si>
    <t>wkts</t>
  </si>
  <si>
    <t>McLaughlin J</t>
  </si>
  <si>
    <t>y</t>
  </si>
  <si>
    <t>Gallant J 45</t>
  </si>
  <si>
    <t>Mclaughlin J 1 for 9</t>
  </si>
  <si>
    <t>Akers V</t>
  </si>
  <si>
    <t>Carsberg T 27 NO</t>
  </si>
  <si>
    <t>Russell 2 for 8</t>
  </si>
  <si>
    <t>GA spanked by 13 yr old girl!!; 1st game Vick Akers</t>
  </si>
  <si>
    <t>Vic</t>
  </si>
  <si>
    <t>Scott D 46</t>
  </si>
  <si>
    <t>Wood C 3 for 23</t>
  </si>
  <si>
    <t>12-a-side; BG 35; BS, PS, KM ducks</t>
  </si>
  <si>
    <t>Bank Holiday rain as usual - match sadly Abandoned - again</t>
  </si>
  <si>
    <t>Danny</t>
  </si>
  <si>
    <t>Simms A</t>
  </si>
  <si>
    <t>Smith B 35</t>
  </si>
  <si>
    <t>Mimmack C 3 for 52</t>
  </si>
  <si>
    <t>DS 32; AS first match for ECC;GH &amp; AD ducks</t>
  </si>
  <si>
    <t>Gilbert J 39</t>
  </si>
  <si>
    <t>Gallant J 2 for 39</t>
  </si>
  <si>
    <t>BS 20;Lee for Bures 144….; VA duck; A Bit Of A Thumping….; pretty ground though</t>
  </si>
  <si>
    <t>Gallant J 48</t>
  </si>
  <si>
    <t>Mimmack C 5 for 10</t>
  </si>
  <si>
    <t>GG 32 no;TR 2 for 4; Duck Meister duck; JJ jug avoidance; weather sunny 15C</t>
  </si>
  <si>
    <t>Seward's End called it off - no players??</t>
  </si>
  <si>
    <t xml:space="preserve">Won </t>
  </si>
  <si>
    <t>Wood C 4 for 48</t>
  </si>
  <si>
    <t>W Slemmings 119 NO</t>
  </si>
  <si>
    <t>Smith B 53; WS 100 in 67 balls; DH duck</t>
  </si>
  <si>
    <t xml:space="preserve">AB 47,JM 37; </t>
  </si>
  <si>
    <t>W Keeper Matches</t>
  </si>
  <si>
    <t xml:space="preserve">Qualification: </t>
  </si>
  <si>
    <t>5 innings</t>
  </si>
  <si>
    <t>Also Batted:</t>
  </si>
  <si>
    <t xml:space="preserve">Sort criteria: </t>
  </si>
  <si>
    <t>average</t>
  </si>
  <si>
    <t>Qualification:</t>
  </si>
  <si>
    <t>15 overs</t>
  </si>
  <si>
    <t>Also Bowled:</t>
  </si>
  <si>
    <t xml:space="preserve"> total, matches</t>
  </si>
  <si>
    <t xml:space="preserve">Sort Criteria: </t>
  </si>
  <si>
    <t>Ducks, Innings, Matches</t>
  </si>
  <si>
    <t>Also played</t>
  </si>
  <si>
    <t>&gt;4 innings</t>
  </si>
  <si>
    <t>&gt;5 matches</t>
  </si>
  <si>
    <t>Will</t>
  </si>
  <si>
    <t>James</t>
  </si>
  <si>
    <t>Jamie</t>
  </si>
  <si>
    <t>--</t>
  </si>
  <si>
    <t>Lt_Hallingbury</t>
  </si>
  <si>
    <t>Canfield</t>
  </si>
  <si>
    <t>Bures</t>
  </si>
  <si>
    <t>Hatfield_Heath</t>
  </si>
  <si>
    <t>Thaxted</t>
  </si>
  <si>
    <t>TOUR_Alderney 1</t>
  </si>
  <si>
    <t>TOUR_Alderney 2</t>
  </si>
  <si>
    <t>Thaxted_</t>
  </si>
  <si>
    <t>Lindsell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</si>
</sst>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"/>
    <numFmt numFmtId="166" formatCode="[$-409]hh:mm\ AM/PM;@"/>
  </numFmts>
  <fonts count="12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</font>
    <font>
      <u/>
      <sz val="12"/>
      <color theme="11"/>
      <name val="Arial"/>
    </font>
    <font>
      <sz val="10"/>
      <name val="Arial"/>
      <family val="2"/>
    </font>
    <font>
      <sz val="8"/>
      <name val="Arial"/>
    </font>
    <font>
      <sz val="9"/>
      <color indexed="81"/>
      <name val="Arial"/>
    </font>
    <font>
      <b/>
      <sz val="9"/>
      <color indexed="81"/>
      <name val="Arial"/>
    </font>
    <font>
      <i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0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Alignment="1">
      <alignment horizontal="center" vertical="center" textRotation="90" wrapText="1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Continuous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Continuous" vertical="center" wrapText="1"/>
    </xf>
    <xf numFmtId="0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/>
    <xf numFmtId="0" fontId="0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textRotation="45"/>
    </xf>
    <xf numFmtId="0" fontId="4" fillId="0" borderId="0" xfId="0" applyFont="1" applyAlignment="1">
      <alignment textRotation="45"/>
    </xf>
    <xf numFmtId="0" fontId="0" fillId="0" borderId="0" xfId="0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0" fillId="2" borderId="0" xfId="0" applyNumberFormat="1" applyFont="1" applyFill="1" applyAlignment="1"/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/>
    </xf>
    <xf numFmtId="14" fontId="0" fillId="0" borderId="0" xfId="0" applyNumberFormat="1"/>
    <xf numFmtId="0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wrapText="1"/>
    </xf>
    <xf numFmtId="0" fontId="0" fillId="0" borderId="0" xfId="0" applyAlignment="1">
      <alignment horizontal="left" textRotation="45"/>
    </xf>
    <xf numFmtId="0" fontId="0" fillId="0" borderId="0" xfId="0" applyAlignment="1">
      <alignment horizontal="center"/>
    </xf>
    <xf numFmtId="164" fontId="1" fillId="0" borderId="0" xfId="0" applyNumberFormat="1" applyFont="1" applyAlignment="1"/>
    <xf numFmtId="165" fontId="0" fillId="0" borderId="0" xfId="0" applyNumberFormat="1"/>
    <xf numFmtId="0" fontId="0" fillId="0" borderId="0" xfId="0" applyNumberFormat="1" applyFont="1" applyFill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1" fillId="0" borderId="12" xfId="0" applyNumberFormat="1" applyFont="1" applyBorder="1" applyAlignment="1"/>
    <xf numFmtId="0" fontId="0" fillId="0" borderId="12" xfId="0" applyNumberFormat="1" applyFont="1" applyBorder="1" applyAlignment="1"/>
    <xf numFmtId="0" fontId="1" fillId="0" borderId="10" xfId="0" applyNumberFormat="1" applyFont="1" applyBorder="1" applyAlignment="1"/>
    <xf numFmtId="0" fontId="0" fillId="0" borderId="0" xfId="0" applyNumberFormat="1" applyFont="1" applyAlignment="1">
      <alignment horizontal="right"/>
    </xf>
    <xf numFmtId="14" fontId="0" fillId="0" borderId="0" xfId="0" applyNumberFormat="1" applyBorder="1"/>
    <xf numFmtId="0" fontId="0" fillId="0" borderId="10" xfId="0" applyNumberFormat="1" applyFont="1" applyBorder="1" applyAlignment="1"/>
    <xf numFmtId="166" fontId="0" fillId="0" borderId="0" xfId="0" applyNumberFormat="1"/>
    <xf numFmtId="49" fontId="0" fillId="0" borderId="0" xfId="0" applyNumberFormat="1" applyFont="1" applyAlignment="1"/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13" xfId="0" applyNumberFormat="1" applyBorder="1"/>
    <xf numFmtId="14" fontId="0" fillId="0" borderId="14" xfId="0" applyNumberFormat="1" applyBorder="1"/>
    <xf numFmtId="0" fontId="0" fillId="0" borderId="15" xfId="0" applyBorder="1"/>
    <xf numFmtId="0" fontId="0" fillId="0" borderId="15" xfId="0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4" xfId="0" applyBorder="1"/>
    <xf numFmtId="14" fontId="0" fillId="0" borderId="18" xfId="0" applyNumberFormat="1" applyBorder="1"/>
    <xf numFmtId="14" fontId="0" fillId="0" borderId="19" xfId="0" applyNumberFormat="1" applyBorder="1"/>
    <xf numFmtId="14" fontId="0" fillId="0" borderId="20" xfId="0" applyNumberFormat="1" applyBorder="1"/>
    <xf numFmtId="0" fontId="0" fillId="0" borderId="20" xfId="0" applyBorder="1"/>
    <xf numFmtId="0" fontId="0" fillId="0" borderId="21" xfId="0" applyBorder="1"/>
    <xf numFmtId="0" fontId="0" fillId="0" borderId="20" xfId="0" applyFill="1" applyBorder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0" borderId="8" xfId="0" applyNumberFormat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5" xfId="0" applyNumberFormat="1" applyFont="1" applyBorder="1" applyAlignme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/>
    <xf numFmtId="0" fontId="0" fillId="4" borderId="0" xfId="0" applyFill="1" applyAlignment="1">
      <alignment horizontal="center" vertical="center"/>
    </xf>
    <xf numFmtId="0" fontId="0" fillId="3" borderId="0" xfId="0" applyNumberFormat="1" applyFont="1" applyFill="1" applyAlignment="1"/>
    <xf numFmtId="0" fontId="1" fillId="3" borderId="0" xfId="0" applyNumberFormat="1" applyFont="1" applyFill="1" applyAlignment="1"/>
    <xf numFmtId="2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right"/>
    </xf>
    <xf numFmtId="2" fontId="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 vertical="center"/>
    </xf>
    <xf numFmtId="0" fontId="0" fillId="3" borderId="0" xfId="0" applyNumberFormat="1" applyFont="1" applyFill="1" applyAlignment="1">
      <alignment horizontal="right"/>
    </xf>
  </cellXfs>
  <cellStyles count="1509">
    <cellStyle name="Followed Hyperlink" xfId="970" builtinId="9" hidden="1"/>
    <cellStyle name="Followed Hyperlink" xfId="906" builtinId="9" hidden="1"/>
    <cellStyle name="Followed Hyperlink" xfId="842" builtinId="9" hidden="1"/>
    <cellStyle name="Followed Hyperlink" xfId="778" builtinId="9" hidden="1"/>
    <cellStyle name="Followed Hyperlink" xfId="714" builtinId="9" hidden="1"/>
    <cellStyle name="Followed Hyperlink" xfId="650" builtinId="9" hidden="1"/>
    <cellStyle name="Followed Hyperlink" xfId="586" builtinId="9" hidden="1"/>
    <cellStyle name="Followed Hyperlink" xfId="522" builtinId="9" hidden="1"/>
    <cellStyle name="Followed Hyperlink" xfId="458" builtinId="9" hidden="1"/>
    <cellStyle name="Followed Hyperlink" xfId="394" builtinId="9" hidden="1"/>
    <cellStyle name="Followed Hyperlink" xfId="330" builtinId="9" hidden="1"/>
    <cellStyle name="Followed Hyperlink" xfId="266" builtinId="9" hidden="1"/>
    <cellStyle name="Followed Hyperlink" xfId="202" builtinId="9" hidden="1"/>
    <cellStyle name="Followed Hyperlink" xfId="138" builtinId="9" hidden="1"/>
    <cellStyle name="Followed Hyperlink" xfId="74" builtinId="9" hidden="1"/>
    <cellStyle name="Followed Hyperlink" xfId="58" builtinId="9" hidden="1"/>
    <cellStyle name="Followed Hyperlink" xfId="8" builtinId="9" hidden="1"/>
    <cellStyle name="Followed Hyperlink" xfId="46" builtinId="9" hidden="1"/>
    <cellStyle name="Followed Hyperlink" xfId="28" builtinId="9" hidden="1"/>
    <cellStyle name="Followed Hyperlink" xfId="118" builtinId="9" hidden="1"/>
    <cellStyle name="Followed Hyperlink" xfId="182" builtinId="9" hidden="1"/>
    <cellStyle name="Followed Hyperlink" xfId="246" builtinId="9" hidden="1"/>
    <cellStyle name="Followed Hyperlink" xfId="310" builtinId="9" hidden="1"/>
    <cellStyle name="Followed Hyperlink" xfId="374" builtinId="9" hidden="1"/>
    <cellStyle name="Followed Hyperlink" xfId="438" builtinId="9" hidden="1"/>
    <cellStyle name="Followed Hyperlink" xfId="502" builtinId="9" hidden="1"/>
    <cellStyle name="Followed Hyperlink" xfId="566" builtinId="9" hidden="1"/>
    <cellStyle name="Followed Hyperlink" xfId="630" builtinId="9" hidden="1"/>
    <cellStyle name="Followed Hyperlink" xfId="694" builtinId="9" hidden="1"/>
    <cellStyle name="Followed Hyperlink" xfId="758" builtinId="9" hidden="1"/>
    <cellStyle name="Followed Hyperlink" xfId="822" builtinId="9" hidden="1"/>
    <cellStyle name="Followed Hyperlink" xfId="886" builtinId="9" hidden="1"/>
    <cellStyle name="Followed Hyperlink" xfId="950" builtinId="9" hidden="1"/>
    <cellStyle name="Followed Hyperlink" xfId="1014" builtinId="9" hidden="1"/>
    <cellStyle name="Followed Hyperlink" xfId="1078" builtinId="9" hidden="1"/>
    <cellStyle name="Followed Hyperlink" xfId="1142" builtinId="9" hidden="1"/>
    <cellStyle name="Followed Hyperlink" xfId="1206" builtinId="9" hidden="1"/>
    <cellStyle name="Followed Hyperlink" xfId="1270" builtinId="9" hidden="1"/>
    <cellStyle name="Followed Hyperlink" xfId="1334" builtinId="9" hidden="1"/>
    <cellStyle name="Followed Hyperlink" xfId="1398" builtinId="9" hidden="1"/>
    <cellStyle name="Followed Hyperlink" xfId="1462" builtinId="9" hidden="1"/>
    <cellStyle name="Followed Hyperlink" xfId="1492" builtinId="9" hidden="1"/>
    <cellStyle name="Followed Hyperlink" xfId="1428" builtinId="9" hidden="1"/>
    <cellStyle name="Followed Hyperlink" xfId="1364" builtinId="9" hidden="1"/>
    <cellStyle name="Followed Hyperlink" xfId="1300" builtinId="9" hidden="1"/>
    <cellStyle name="Followed Hyperlink" xfId="1236" builtinId="9" hidden="1"/>
    <cellStyle name="Followed Hyperlink" xfId="1172" builtinId="9" hidden="1"/>
    <cellStyle name="Followed Hyperlink" xfId="1108" builtinId="9" hidden="1"/>
    <cellStyle name="Followed Hyperlink" xfId="1044" builtinId="9" hidden="1"/>
    <cellStyle name="Followed Hyperlink" xfId="980" builtinId="9" hidden="1"/>
    <cellStyle name="Followed Hyperlink" xfId="916" builtinId="9" hidden="1"/>
    <cellStyle name="Followed Hyperlink" xfId="852" builtinId="9" hidden="1"/>
    <cellStyle name="Followed Hyperlink" xfId="788" builtinId="9" hidden="1"/>
    <cellStyle name="Followed Hyperlink" xfId="724" builtinId="9" hidden="1"/>
    <cellStyle name="Followed Hyperlink" xfId="660" builtinId="9" hidden="1"/>
    <cellStyle name="Followed Hyperlink" xfId="596" builtinId="9" hidden="1"/>
    <cellStyle name="Followed Hyperlink" xfId="532" builtinId="9" hidden="1"/>
    <cellStyle name="Followed Hyperlink" xfId="468" builtinId="9" hidden="1"/>
    <cellStyle name="Followed Hyperlink" xfId="404" builtinId="9" hidden="1"/>
    <cellStyle name="Followed Hyperlink" xfId="340" builtinId="9" hidden="1"/>
    <cellStyle name="Followed Hyperlink" xfId="276" builtinId="9" hidden="1"/>
    <cellStyle name="Followed Hyperlink" xfId="212" builtinId="9" hidden="1"/>
    <cellStyle name="Followed Hyperlink" xfId="136" builtinId="9" hidden="1"/>
    <cellStyle name="Followed Hyperlink" xfId="180" builtinId="9" hidden="1"/>
    <cellStyle name="Followed Hyperlink" xfId="108" builtinId="9" hidden="1"/>
    <cellStyle name="Followed Hyperlink" xfId="80" builtinId="9" hidden="1"/>
    <cellStyle name="Followed Hyperlink" xfId="104" builtinId="9" hidden="1"/>
    <cellStyle name="Followed Hyperlink" xfId="156" builtinId="9" hidden="1"/>
    <cellStyle name="Followed Hyperlink" xfId="164" builtinId="9" hidden="1"/>
    <cellStyle name="Followed Hyperlink" xfId="120" builtinId="9" hidden="1"/>
    <cellStyle name="Followed Hyperlink" xfId="236" builtinId="9" hidden="1"/>
    <cellStyle name="Followed Hyperlink" xfId="300" builtinId="9" hidden="1"/>
    <cellStyle name="Followed Hyperlink" xfId="364" builtinId="9" hidden="1"/>
    <cellStyle name="Followed Hyperlink" xfId="428" builtinId="9" hidden="1"/>
    <cellStyle name="Followed Hyperlink" xfId="492" builtinId="9" hidden="1"/>
    <cellStyle name="Followed Hyperlink" xfId="556" builtinId="9" hidden="1"/>
    <cellStyle name="Followed Hyperlink" xfId="620" builtinId="9" hidden="1"/>
    <cellStyle name="Followed Hyperlink" xfId="684" builtinId="9" hidden="1"/>
    <cellStyle name="Followed Hyperlink" xfId="748" builtinId="9" hidden="1"/>
    <cellStyle name="Followed Hyperlink" xfId="812" builtinId="9" hidden="1"/>
    <cellStyle name="Followed Hyperlink" xfId="876" builtinId="9" hidden="1"/>
    <cellStyle name="Followed Hyperlink" xfId="940" builtinId="9" hidden="1"/>
    <cellStyle name="Followed Hyperlink" xfId="1004" builtinId="9" hidden="1"/>
    <cellStyle name="Followed Hyperlink" xfId="1068" builtinId="9" hidden="1"/>
    <cellStyle name="Followed Hyperlink" xfId="1132" builtinId="9" hidden="1"/>
    <cellStyle name="Followed Hyperlink" xfId="1196" builtinId="9" hidden="1"/>
    <cellStyle name="Followed Hyperlink" xfId="1260" builtinId="9" hidden="1"/>
    <cellStyle name="Followed Hyperlink" xfId="1324" builtinId="9" hidden="1"/>
    <cellStyle name="Followed Hyperlink" xfId="1388" builtinId="9" hidden="1"/>
    <cellStyle name="Followed Hyperlink" xfId="1452" builtinId="9" hidden="1"/>
    <cellStyle name="Followed Hyperlink" xfId="1502" builtinId="9" hidden="1"/>
    <cellStyle name="Followed Hyperlink" xfId="1438" builtinId="9" hidden="1"/>
    <cellStyle name="Followed Hyperlink" xfId="1374" builtinId="9" hidden="1"/>
    <cellStyle name="Followed Hyperlink" xfId="1310" builtinId="9" hidden="1"/>
    <cellStyle name="Followed Hyperlink" xfId="1246" builtinId="9" hidden="1"/>
    <cellStyle name="Followed Hyperlink" xfId="1182" builtinId="9" hidden="1"/>
    <cellStyle name="Followed Hyperlink" xfId="1118" builtinId="9" hidden="1"/>
    <cellStyle name="Followed Hyperlink" xfId="1054" builtinId="9" hidden="1"/>
    <cellStyle name="Followed Hyperlink" xfId="990" builtinId="9" hidden="1"/>
    <cellStyle name="Followed Hyperlink" xfId="926" builtinId="9" hidden="1"/>
    <cellStyle name="Followed Hyperlink" xfId="862" builtinId="9" hidden="1"/>
    <cellStyle name="Followed Hyperlink" xfId="798" builtinId="9" hidden="1"/>
    <cellStyle name="Followed Hyperlink" xfId="734" builtinId="9" hidden="1"/>
    <cellStyle name="Followed Hyperlink" xfId="670" builtinId="9" hidden="1"/>
    <cellStyle name="Followed Hyperlink" xfId="606" builtinId="9" hidden="1"/>
    <cellStyle name="Followed Hyperlink" xfId="542" builtinId="9" hidden="1"/>
    <cellStyle name="Followed Hyperlink" xfId="478" builtinId="9" hidden="1"/>
    <cellStyle name="Followed Hyperlink" xfId="414" builtinId="9" hidden="1"/>
    <cellStyle name="Followed Hyperlink" xfId="350" builtinId="9" hidden="1"/>
    <cellStyle name="Followed Hyperlink" xfId="286" builtinId="9" hidden="1"/>
    <cellStyle name="Followed Hyperlink" xfId="222" builtinId="9" hidden="1"/>
    <cellStyle name="Followed Hyperlink" xfId="158" builtinId="9" hidden="1"/>
    <cellStyle name="Followed Hyperlink" xfId="94" builtinId="9" hidden="1"/>
    <cellStyle name="Followed Hyperlink" xfId="44" builtinId="9" hidden="1"/>
    <cellStyle name="Followed Hyperlink" xfId="16" builtinId="9" hidden="1"/>
    <cellStyle name="Followed Hyperlink" xfId="12" builtinId="9" hidden="1"/>
    <cellStyle name="Followed Hyperlink" xfId="42" builtinId="9" hidden="1"/>
    <cellStyle name="Followed Hyperlink" xfId="98" builtinId="9" hidden="1"/>
    <cellStyle name="Followed Hyperlink" xfId="162" builtinId="9" hidden="1"/>
    <cellStyle name="Followed Hyperlink" xfId="226" builtinId="9" hidden="1"/>
    <cellStyle name="Followed Hyperlink" xfId="290" builtinId="9" hidden="1"/>
    <cellStyle name="Followed Hyperlink" xfId="354" builtinId="9" hidden="1"/>
    <cellStyle name="Followed Hyperlink" xfId="418" builtinId="9" hidden="1"/>
    <cellStyle name="Followed Hyperlink" xfId="482" builtinId="9" hidden="1"/>
    <cellStyle name="Followed Hyperlink" xfId="546" builtinId="9" hidden="1"/>
    <cellStyle name="Followed Hyperlink" xfId="610" builtinId="9" hidden="1"/>
    <cellStyle name="Followed Hyperlink" xfId="674" builtinId="9" hidden="1"/>
    <cellStyle name="Followed Hyperlink" xfId="738" builtinId="9" hidden="1"/>
    <cellStyle name="Followed Hyperlink" xfId="802" builtinId="9" hidden="1"/>
    <cellStyle name="Followed Hyperlink" xfId="866" builtinId="9" hidden="1"/>
    <cellStyle name="Followed Hyperlink" xfId="930" builtinId="9" hidden="1"/>
    <cellStyle name="Followed Hyperlink" xfId="994" builtinId="9" hidden="1"/>
    <cellStyle name="Followed Hyperlink" xfId="1058" builtinId="9" hidden="1"/>
    <cellStyle name="Followed Hyperlink" xfId="1122" builtinId="9" hidden="1"/>
    <cellStyle name="Followed Hyperlink" xfId="1186" builtinId="9" hidden="1"/>
    <cellStyle name="Followed Hyperlink" xfId="1250" builtinId="9" hidden="1"/>
    <cellStyle name="Followed Hyperlink" xfId="1314" builtinId="9" hidden="1"/>
    <cellStyle name="Followed Hyperlink" xfId="1378" builtinId="9" hidden="1"/>
    <cellStyle name="Followed Hyperlink" xfId="1442" builtinId="9" hidden="1"/>
    <cellStyle name="Followed Hyperlink" xfId="1506" builtinId="9" hidden="1"/>
    <cellStyle name="Followed Hyperlink" xfId="1448" builtinId="9" hidden="1"/>
    <cellStyle name="Followed Hyperlink" xfId="1384" builtinId="9" hidden="1"/>
    <cellStyle name="Followed Hyperlink" xfId="1320" builtinId="9" hidden="1"/>
    <cellStyle name="Followed Hyperlink" xfId="1256" builtinId="9" hidden="1"/>
    <cellStyle name="Followed Hyperlink" xfId="1192" builtinId="9" hidden="1"/>
    <cellStyle name="Followed Hyperlink" xfId="1128" builtinId="9" hidden="1"/>
    <cellStyle name="Followed Hyperlink" xfId="1064" builtinId="9" hidden="1"/>
    <cellStyle name="Followed Hyperlink" xfId="1000" builtinId="9" hidden="1"/>
    <cellStyle name="Followed Hyperlink" xfId="936" builtinId="9" hidden="1"/>
    <cellStyle name="Followed Hyperlink" xfId="872" builtinId="9" hidden="1"/>
    <cellStyle name="Followed Hyperlink" xfId="808" builtinId="9" hidden="1"/>
    <cellStyle name="Followed Hyperlink" xfId="744" builtinId="9" hidden="1"/>
    <cellStyle name="Followed Hyperlink" xfId="680" builtinId="9" hidden="1"/>
    <cellStyle name="Followed Hyperlink" xfId="616" builtinId="9" hidden="1"/>
    <cellStyle name="Followed Hyperlink" xfId="552" builtinId="9" hidden="1"/>
    <cellStyle name="Followed Hyperlink" xfId="488" builtinId="9" hidden="1"/>
    <cellStyle name="Followed Hyperlink" xfId="296" builtinId="9" hidden="1"/>
    <cellStyle name="Followed Hyperlink" xfId="336" builtinId="9" hidden="1"/>
    <cellStyle name="Followed Hyperlink" xfId="384" builtinId="9" hidden="1"/>
    <cellStyle name="Followed Hyperlink" xfId="424" builtinId="9" hidden="1"/>
    <cellStyle name="Followed Hyperlink" xfId="408" builtinId="9" hidden="1"/>
    <cellStyle name="Followed Hyperlink" xfId="280" builtinId="9" hidden="1"/>
    <cellStyle name="Followed Hyperlink" xfId="264" builtinId="9" hidden="1"/>
    <cellStyle name="Followed Hyperlink" xfId="224" builtinId="9" hidden="1"/>
    <cellStyle name="Followed Hyperlink" xfId="208" builtinId="9" hidden="1"/>
    <cellStyle name="Followed Hyperlink" xfId="272" builtinId="9" hidden="1"/>
    <cellStyle name="Followed Hyperlink" xfId="232" builtinId="9" hidden="1"/>
    <cellStyle name="Followed Hyperlink" xfId="376" builtinId="9" hidden="1"/>
    <cellStyle name="Followed Hyperlink" xfId="432" builtinId="9" hidden="1"/>
    <cellStyle name="Followed Hyperlink" xfId="392" builtinId="9" hidden="1"/>
    <cellStyle name="Followed Hyperlink" xfId="352" builtinId="9" hidden="1"/>
    <cellStyle name="Followed Hyperlink" xfId="304" builtinId="9" hidden="1"/>
    <cellStyle name="Followed Hyperlink" xfId="472" builtinId="9" hidden="1"/>
    <cellStyle name="Followed Hyperlink" xfId="536" builtinId="9" hidden="1"/>
    <cellStyle name="Followed Hyperlink" xfId="600" builtinId="9" hidden="1"/>
    <cellStyle name="Followed Hyperlink" xfId="664" builtinId="9" hidden="1"/>
    <cellStyle name="Followed Hyperlink" xfId="728" builtinId="9" hidden="1"/>
    <cellStyle name="Followed Hyperlink" xfId="792" builtinId="9" hidden="1"/>
    <cellStyle name="Followed Hyperlink" xfId="856" builtinId="9" hidden="1"/>
    <cellStyle name="Followed Hyperlink" xfId="920" builtinId="9" hidden="1"/>
    <cellStyle name="Followed Hyperlink" xfId="984" builtinId="9" hidden="1"/>
    <cellStyle name="Followed Hyperlink" xfId="1048" builtinId="9" hidden="1"/>
    <cellStyle name="Followed Hyperlink" xfId="1112" builtinId="9" hidden="1"/>
    <cellStyle name="Followed Hyperlink" xfId="1176" builtinId="9" hidden="1"/>
    <cellStyle name="Followed Hyperlink" xfId="1240" builtinId="9" hidden="1"/>
    <cellStyle name="Followed Hyperlink" xfId="1304" builtinId="9" hidden="1"/>
    <cellStyle name="Followed Hyperlink" xfId="1368" builtinId="9" hidden="1"/>
    <cellStyle name="Followed Hyperlink" xfId="1432" builtinId="9" hidden="1"/>
    <cellStyle name="Followed Hyperlink" xfId="1496" builtinId="9" hidden="1"/>
    <cellStyle name="Followed Hyperlink" xfId="1458" builtinId="9" hidden="1"/>
    <cellStyle name="Followed Hyperlink" xfId="1394" builtinId="9" hidden="1"/>
    <cellStyle name="Followed Hyperlink" xfId="1330" builtinId="9" hidden="1"/>
    <cellStyle name="Followed Hyperlink" xfId="1266" builtinId="9" hidden="1"/>
    <cellStyle name="Followed Hyperlink" xfId="1202" builtinId="9" hidden="1"/>
    <cellStyle name="Followed Hyperlink" xfId="1138" builtinId="9" hidden="1"/>
    <cellStyle name="Followed Hyperlink" xfId="1074" builtinId="9" hidden="1"/>
    <cellStyle name="Followed Hyperlink" xfId="1010" builtinId="9" hidden="1"/>
    <cellStyle name="Followed Hyperlink" xfId="946" builtinId="9" hidden="1"/>
    <cellStyle name="Followed Hyperlink" xfId="882" builtinId="9" hidden="1"/>
    <cellStyle name="Followed Hyperlink" xfId="818" builtinId="9" hidden="1"/>
    <cellStyle name="Followed Hyperlink" xfId="754" builtinId="9" hidden="1"/>
    <cellStyle name="Followed Hyperlink" xfId="690" builtinId="9" hidden="1"/>
    <cellStyle name="Followed Hyperlink" xfId="626" builtinId="9" hidden="1"/>
    <cellStyle name="Followed Hyperlink" xfId="562" builtinId="9" hidden="1"/>
    <cellStyle name="Followed Hyperlink" xfId="498" builtinId="9" hidden="1"/>
    <cellStyle name="Followed Hyperlink" xfId="434" builtinId="9" hidden="1"/>
    <cellStyle name="Followed Hyperlink" xfId="370" builtinId="9" hidden="1"/>
    <cellStyle name="Followed Hyperlink" xfId="306" builtinId="9" hidden="1"/>
    <cellStyle name="Followed Hyperlink" xfId="242" builtinId="9" hidden="1"/>
    <cellStyle name="Followed Hyperlink" xfId="178" builtinId="9" hidden="1"/>
    <cellStyle name="Followed Hyperlink" xfId="114" builtinId="9" hidden="1"/>
    <cellStyle name="Followed Hyperlink" xfId="32" builtinId="9" hidden="1"/>
    <cellStyle name="Followed Hyperlink" xfId="38" builtinId="9" hidden="1"/>
    <cellStyle name="Followed Hyperlink" xfId="6" builtinId="9" hidden="1"/>
    <cellStyle name="Followed Hyperlink" xfId="56" builtinId="9" hidden="1"/>
    <cellStyle name="Followed Hyperlink" xfId="78" builtinId="9" hidden="1"/>
    <cellStyle name="Followed Hyperlink" xfId="142" builtinId="9" hidden="1"/>
    <cellStyle name="Followed Hyperlink" xfId="206" builtinId="9" hidden="1"/>
    <cellStyle name="Followed Hyperlink" xfId="270" builtinId="9" hidden="1"/>
    <cellStyle name="Followed Hyperlink" xfId="334" builtinId="9" hidden="1"/>
    <cellStyle name="Followed Hyperlink" xfId="398" builtinId="9" hidden="1"/>
    <cellStyle name="Followed Hyperlink" xfId="462" builtinId="9" hidden="1"/>
    <cellStyle name="Followed Hyperlink" xfId="526" builtinId="9" hidden="1"/>
    <cellStyle name="Followed Hyperlink" xfId="590" builtinId="9" hidden="1"/>
    <cellStyle name="Followed Hyperlink" xfId="654" builtinId="9" hidden="1"/>
    <cellStyle name="Followed Hyperlink" xfId="718" builtinId="9" hidden="1"/>
    <cellStyle name="Followed Hyperlink" xfId="782" builtinId="9" hidden="1"/>
    <cellStyle name="Followed Hyperlink" xfId="846" builtinId="9" hidden="1"/>
    <cellStyle name="Followed Hyperlink" xfId="910" builtinId="9" hidden="1"/>
    <cellStyle name="Followed Hyperlink" xfId="974" builtinId="9" hidden="1"/>
    <cellStyle name="Followed Hyperlink" xfId="1038" builtinId="9" hidden="1"/>
    <cellStyle name="Followed Hyperlink" xfId="1102" builtinId="9" hidden="1"/>
    <cellStyle name="Followed Hyperlink" xfId="1166" builtinId="9" hidden="1"/>
    <cellStyle name="Followed Hyperlink" xfId="1230" builtinId="9" hidden="1"/>
    <cellStyle name="Followed Hyperlink" xfId="1294" builtinId="9" hidden="1"/>
    <cellStyle name="Followed Hyperlink" xfId="1358" builtinId="9" hidden="1"/>
    <cellStyle name="Followed Hyperlink" xfId="1422" builtinId="9" hidden="1"/>
    <cellStyle name="Followed Hyperlink" xfId="1486" builtinId="9" hidden="1"/>
    <cellStyle name="Followed Hyperlink" xfId="1468" builtinId="9" hidden="1"/>
    <cellStyle name="Followed Hyperlink" xfId="1404" builtinId="9" hidden="1"/>
    <cellStyle name="Followed Hyperlink" xfId="1340" builtinId="9" hidden="1"/>
    <cellStyle name="Followed Hyperlink" xfId="1276" builtinId="9" hidden="1"/>
    <cellStyle name="Followed Hyperlink" xfId="1212" builtinId="9" hidden="1"/>
    <cellStyle name="Followed Hyperlink" xfId="1148" builtinId="9" hidden="1"/>
    <cellStyle name="Followed Hyperlink" xfId="1084" builtinId="9" hidden="1"/>
    <cellStyle name="Followed Hyperlink" xfId="1020" builtinId="9" hidden="1"/>
    <cellStyle name="Followed Hyperlink" xfId="956" builtinId="9" hidden="1"/>
    <cellStyle name="Followed Hyperlink" xfId="892" builtinId="9" hidden="1"/>
    <cellStyle name="Followed Hyperlink" xfId="828" builtinId="9" hidden="1"/>
    <cellStyle name="Followed Hyperlink" xfId="764" builtinId="9" hidden="1"/>
    <cellStyle name="Followed Hyperlink" xfId="700" builtinId="9" hidden="1"/>
    <cellStyle name="Followed Hyperlink" xfId="636" builtinId="9" hidden="1"/>
    <cellStyle name="Followed Hyperlink" xfId="572" builtinId="9" hidden="1"/>
    <cellStyle name="Followed Hyperlink" xfId="508" builtinId="9" hidden="1"/>
    <cellStyle name="Followed Hyperlink" xfId="444" builtinId="9" hidden="1"/>
    <cellStyle name="Followed Hyperlink" xfId="380" builtinId="9" hidden="1"/>
    <cellStyle name="Followed Hyperlink" xfId="316" builtinId="9" hidden="1"/>
    <cellStyle name="Followed Hyperlink" xfId="252" builtinId="9" hidden="1"/>
    <cellStyle name="Followed Hyperlink" xfId="112" builtinId="9" hidden="1"/>
    <cellStyle name="Followed Hyperlink" xfId="152" builtinId="9" hidden="1"/>
    <cellStyle name="Followed Hyperlink" xfId="188" builtinId="9" hidden="1"/>
    <cellStyle name="Followed Hyperlink" xfId="96" builtinId="9" hidden="1"/>
    <cellStyle name="Followed Hyperlink" xfId="68" builtinId="9" hidden="1"/>
    <cellStyle name="Followed Hyperlink" xfId="88" builtinId="9" hidden="1"/>
    <cellStyle name="Followed Hyperlink" xfId="192" builtinId="9" hidden="1"/>
    <cellStyle name="Followed Hyperlink" xfId="148" builtinId="9" hidden="1"/>
    <cellStyle name="Followed Hyperlink" xfId="196" builtinId="9" hidden="1"/>
    <cellStyle name="Followed Hyperlink" xfId="260" builtinId="9" hidden="1"/>
    <cellStyle name="Followed Hyperlink" xfId="324" builtinId="9" hidden="1"/>
    <cellStyle name="Followed Hyperlink" xfId="388" builtinId="9" hidden="1"/>
    <cellStyle name="Followed Hyperlink" xfId="452" builtinId="9" hidden="1"/>
    <cellStyle name="Followed Hyperlink" xfId="516" builtinId="9" hidden="1"/>
    <cellStyle name="Followed Hyperlink" xfId="580" builtinId="9" hidden="1"/>
    <cellStyle name="Followed Hyperlink" xfId="644" builtinId="9" hidden="1"/>
    <cellStyle name="Followed Hyperlink" xfId="708" builtinId="9" hidden="1"/>
    <cellStyle name="Followed Hyperlink" xfId="772" builtinId="9" hidden="1"/>
    <cellStyle name="Followed Hyperlink" xfId="836" builtinId="9" hidden="1"/>
    <cellStyle name="Followed Hyperlink" xfId="900" builtinId="9" hidden="1"/>
    <cellStyle name="Followed Hyperlink" xfId="964" builtinId="9" hidden="1"/>
    <cellStyle name="Followed Hyperlink" xfId="1028" builtinId="9" hidden="1"/>
    <cellStyle name="Followed Hyperlink" xfId="1092" builtinId="9" hidden="1"/>
    <cellStyle name="Followed Hyperlink" xfId="1156" builtinId="9" hidden="1"/>
    <cellStyle name="Followed Hyperlink" xfId="1220" builtinId="9" hidden="1"/>
    <cellStyle name="Followed Hyperlink" xfId="1284" builtinId="9" hidden="1"/>
    <cellStyle name="Followed Hyperlink" xfId="1348" builtinId="9" hidden="1"/>
    <cellStyle name="Followed Hyperlink" xfId="1412" builtinId="9" hidden="1"/>
    <cellStyle name="Followed Hyperlink" xfId="1476" builtinId="9" hidden="1"/>
    <cellStyle name="Followed Hyperlink" xfId="1478" builtinId="9" hidden="1"/>
    <cellStyle name="Followed Hyperlink" xfId="1414" builtinId="9" hidden="1"/>
    <cellStyle name="Followed Hyperlink" xfId="1350" builtinId="9" hidden="1"/>
    <cellStyle name="Followed Hyperlink" xfId="1286" builtinId="9" hidden="1"/>
    <cellStyle name="Followed Hyperlink" xfId="1222" builtinId="9" hidden="1"/>
    <cellStyle name="Followed Hyperlink" xfId="1158" builtinId="9" hidden="1"/>
    <cellStyle name="Followed Hyperlink" xfId="1094" builtinId="9" hidden="1"/>
    <cellStyle name="Followed Hyperlink" xfId="1030" builtinId="9" hidden="1"/>
    <cellStyle name="Followed Hyperlink" xfId="966" builtinId="9" hidden="1"/>
    <cellStyle name="Followed Hyperlink" xfId="902" builtinId="9" hidden="1"/>
    <cellStyle name="Followed Hyperlink" xfId="838" builtinId="9" hidden="1"/>
    <cellStyle name="Followed Hyperlink" xfId="774" builtinId="9" hidden="1"/>
    <cellStyle name="Followed Hyperlink" xfId="710" builtinId="9" hidden="1"/>
    <cellStyle name="Followed Hyperlink" xfId="646" builtinId="9" hidden="1"/>
    <cellStyle name="Followed Hyperlink" xfId="582" builtinId="9" hidden="1"/>
    <cellStyle name="Followed Hyperlink" xfId="518" builtinId="9" hidden="1"/>
    <cellStyle name="Followed Hyperlink" xfId="454" builtinId="9" hidden="1"/>
    <cellStyle name="Followed Hyperlink" xfId="390" builtinId="9" hidden="1"/>
    <cellStyle name="Followed Hyperlink" xfId="326" builtinId="9" hidden="1"/>
    <cellStyle name="Followed Hyperlink" xfId="262" builtinId="9" hidden="1"/>
    <cellStyle name="Followed Hyperlink" xfId="198" builtinId="9" hidden="1"/>
    <cellStyle name="Followed Hyperlink" xfId="134" builtinId="9" hidden="1"/>
    <cellStyle name="Followed Hyperlink" xfId="70" builtinId="9" hidden="1"/>
    <cellStyle name="Followed Hyperlink" xfId="60" builtinId="9" hidden="1"/>
    <cellStyle name="Followed Hyperlink" xfId="4" builtinId="9" hidden="1"/>
    <cellStyle name="Followed Hyperlink" xfId="54" builtinId="9" hidden="1"/>
    <cellStyle name="Followed Hyperlink" xfId="26" builtinId="9" hidden="1"/>
    <cellStyle name="Followed Hyperlink" xfId="122" builtinId="9" hidden="1"/>
    <cellStyle name="Followed Hyperlink" xfId="186" builtinId="9" hidden="1"/>
    <cellStyle name="Followed Hyperlink" xfId="250" builtinId="9" hidden="1"/>
    <cellStyle name="Followed Hyperlink" xfId="314" builtinId="9" hidden="1"/>
    <cellStyle name="Followed Hyperlink" xfId="378" builtinId="9" hidden="1"/>
    <cellStyle name="Followed Hyperlink" xfId="442" builtinId="9" hidden="1"/>
    <cellStyle name="Followed Hyperlink" xfId="506" builtinId="9" hidden="1"/>
    <cellStyle name="Followed Hyperlink" xfId="570" builtinId="9" hidden="1"/>
    <cellStyle name="Followed Hyperlink" xfId="634" builtinId="9" hidden="1"/>
    <cellStyle name="Followed Hyperlink" xfId="698" builtinId="9" hidden="1"/>
    <cellStyle name="Followed Hyperlink" xfId="762" builtinId="9" hidden="1"/>
    <cellStyle name="Followed Hyperlink" xfId="826" builtinId="9" hidden="1"/>
    <cellStyle name="Followed Hyperlink" xfId="890" builtinId="9" hidden="1"/>
    <cellStyle name="Followed Hyperlink" xfId="954" builtinId="9" hidden="1"/>
    <cellStyle name="Followed Hyperlink" xfId="1018" builtinId="9" hidden="1"/>
    <cellStyle name="Followed Hyperlink" xfId="1082" builtinId="9" hidden="1"/>
    <cellStyle name="Followed Hyperlink" xfId="1146" builtinId="9" hidden="1"/>
    <cellStyle name="Followed Hyperlink" xfId="1210" builtinId="9" hidden="1"/>
    <cellStyle name="Followed Hyperlink" xfId="1274" builtinId="9" hidden="1"/>
    <cellStyle name="Followed Hyperlink" xfId="1338" builtinId="9" hidden="1"/>
    <cellStyle name="Followed Hyperlink" xfId="1402" builtinId="9" hidden="1"/>
    <cellStyle name="Followed Hyperlink" xfId="1466" builtinId="9" hidden="1"/>
    <cellStyle name="Followed Hyperlink" xfId="1488" builtinId="9" hidden="1"/>
    <cellStyle name="Followed Hyperlink" xfId="1424" builtinId="9" hidden="1"/>
    <cellStyle name="Followed Hyperlink" xfId="1360" builtinId="9" hidden="1"/>
    <cellStyle name="Followed Hyperlink" xfId="1296" builtinId="9" hidden="1"/>
    <cellStyle name="Followed Hyperlink" xfId="1232" builtinId="9" hidden="1"/>
    <cellStyle name="Followed Hyperlink" xfId="1168" builtinId="9" hidden="1"/>
    <cellStyle name="Followed Hyperlink" xfId="1104" builtinId="9" hidden="1"/>
    <cellStyle name="Followed Hyperlink" xfId="1040" builtinId="9" hidden="1"/>
    <cellStyle name="Followed Hyperlink" xfId="976" builtinId="9" hidden="1"/>
    <cellStyle name="Followed Hyperlink" xfId="656" builtinId="9" hidden="1"/>
    <cellStyle name="Followed Hyperlink" xfId="704" builtinId="9" hidden="1"/>
    <cellStyle name="Followed Hyperlink" xfId="736" builtinId="9" hidden="1"/>
    <cellStyle name="Followed Hyperlink" xfId="784" builtinId="9" hidden="1"/>
    <cellStyle name="Followed Hyperlink" xfId="832" builtinId="9" hidden="1"/>
    <cellStyle name="Followed Hyperlink" xfId="864" builtinId="9" hidden="1"/>
    <cellStyle name="Followed Hyperlink" xfId="912" builtinId="9" hidden="1"/>
    <cellStyle name="Followed Hyperlink" xfId="960" builtinId="9" hidden="1"/>
    <cellStyle name="Followed Hyperlink" xfId="880" builtinId="9" hidden="1"/>
    <cellStyle name="Followed Hyperlink" xfId="752" builtinId="9" hidden="1"/>
    <cellStyle name="Followed Hyperlink" xfId="624" builtinId="9" hidden="1"/>
    <cellStyle name="Followed Hyperlink" xfId="544" builtinId="9" hidden="1"/>
    <cellStyle name="Followed Hyperlink" xfId="592" builtinId="9" hidden="1"/>
    <cellStyle name="Followed Hyperlink" xfId="560" builtinId="9" hidden="1"/>
    <cellStyle name="Followed Hyperlink" xfId="512" builtinId="9" hidden="1"/>
    <cellStyle name="Followed Hyperlink" xfId="464" builtinId="9" hidden="1"/>
    <cellStyle name="Followed Hyperlink" xfId="480" builtinId="9" hidden="1"/>
    <cellStyle name="Followed Hyperlink" xfId="496" builtinId="9" hidden="1"/>
    <cellStyle name="Followed Hyperlink" xfId="608" builtinId="9" hidden="1"/>
    <cellStyle name="Followed Hyperlink" xfId="576" builtinId="9" hidden="1"/>
    <cellStyle name="Followed Hyperlink" xfId="528" builtinId="9" hidden="1"/>
    <cellStyle name="Followed Hyperlink" xfId="688" builtinId="9" hidden="1"/>
    <cellStyle name="Followed Hyperlink" xfId="816" builtinId="9" hidden="1"/>
    <cellStyle name="Followed Hyperlink" xfId="944" builtinId="9" hidden="1"/>
    <cellStyle name="Followed Hyperlink" xfId="928" builtinId="9" hidden="1"/>
    <cellStyle name="Followed Hyperlink" xfId="896" builtinId="9" hidden="1"/>
    <cellStyle name="Followed Hyperlink" xfId="848" builtinId="9" hidden="1"/>
    <cellStyle name="Followed Hyperlink" xfId="800" builtinId="9" hidden="1"/>
    <cellStyle name="Followed Hyperlink" xfId="768" builtinId="9" hidden="1"/>
    <cellStyle name="Followed Hyperlink" xfId="720" builtinId="9" hidden="1"/>
    <cellStyle name="Followed Hyperlink" xfId="672" builtinId="9" hidden="1"/>
    <cellStyle name="Followed Hyperlink" xfId="640" builtinId="9" hidden="1"/>
    <cellStyle name="Followed Hyperlink" xfId="1008" builtinId="9" hidden="1"/>
    <cellStyle name="Followed Hyperlink" xfId="1072" builtinId="9" hidden="1"/>
    <cellStyle name="Followed Hyperlink" xfId="1136" builtinId="9" hidden="1"/>
    <cellStyle name="Followed Hyperlink" xfId="1200" builtinId="9" hidden="1"/>
    <cellStyle name="Followed Hyperlink" xfId="1264" builtinId="9" hidden="1"/>
    <cellStyle name="Followed Hyperlink" xfId="1328" builtinId="9" hidden="1"/>
    <cellStyle name="Followed Hyperlink" xfId="1392" builtinId="9" hidden="1"/>
    <cellStyle name="Followed Hyperlink" xfId="1456" builtinId="9" hidden="1"/>
    <cellStyle name="Followed Hyperlink" xfId="1498" builtinId="9" hidden="1"/>
    <cellStyle name="Followed Hyperlink" xfId="1434" builtinId="9" hidden="1"/>
    <cellStyle name="Followed Hyperlink" xfId="1370" builtinId="9" hidden="1"/>
    <cellStyle name="Followed Hyperlink" xfId="1306" builtinId="9" hidden="1"/>
    <cellStyle name="Followed Hyperlink" xfId="1242" builtinId="9" hidden="1"/>
    <cellStyle name="Followed Hyperlink" xfId="1178" builtinId="9" hidden="1"/>
    <cellStyle name="Followed Hyperlink" xfId="1114" builtinId="9" hidden="1"/>
    <cellStyle name="Followed Hyperlink" xfId="1050" builtinId="9" hidden="1"/>
    <cellStyle name="Followed Hyperlink" xfId="986" builtinId="9" hidden="1"/>
    <cellStyle name="Followed Hyperlink" xfId="922" builtinId="9" hidden="1"/>
    <cellStyle name="Followed Hyperlink" xfId="858" builtinId="9" hidden="1"/>
    <cellStyle name="Followed Hyperlink" xfId="794" builtinId="9" hidden="1"/>
    <cellStyle name="Followed Hyperlink" xfId="730" builtinId="9" hidden="1"/>
    <cellStyle name="Followed Hyperlink" xfId="666" builtinId="9" hidden="1"/>
    <cellStyle name="Followed Hyperlink" xfId="602" builtinId="9" hidden="1"/>
    <cellStyle name="Followed Hyperlink" xfId="538" builtinId="9" hidden="1"/>
    <cellStyle name="Followed Hyperlink" xfId="474" builtinId="9" hidden="1"/>
    <cellStyle name="Followed Hyperlink" xfId="410" builtinId="9" hidden="1"/>
    <cellStyle name="Followed Hyperlink" xfId="346" builtinId="9" hidden="1"/>
    <cellStyle name="Followed Hyperlink" xfId="282" builtinId="9" hidden="1"/>
    <cellStyle name="Followed Hyperlink" xfId="218" builtinId="9" hidden="1"/>
    <cellStyle name="Followed Hyperlink" xfId="154" builtinId="9" hidden="1"/>
    <cellStyle name="Followed Hyperlink" xfId="90" builtinId="9" hidden="1"/>
    <cellStyle name="Followed Hyperlink" xfId="48" builtinId="9" hidden="1"/>
    <cellStyle name="Followed Hyperlink" xfId="18" builtinId="9" hidden="1"/>
    <cellStyle name="Followed Hyperlink" xfId="10" builtinId="9" hidden="1"/>
    <cellStyle name="Followed Hyperlink" xfId="40" builtinId="9" hidden="1"/>
    <cellStyle name="Followed Hyperlink" xfId="102" builtinId="9" hidden="1"/>
    <cellStyle name="Followed Hyperlink" xfId="166" builtinId="9" hidden="1"/>
    <cellStyle name="Followed Hyperlink" xfId="230" builtinId="9" hidden="1"/>
    <cellStyle name="Followed Hyperlink" xfId="294" builtinId="9" hidden="1"/>
    <cellStyle name="Followed Hyperlink" xfId="358" builtinId="9" hidden="1"/>
    <cellStyle name="Followed Hyperlink" xfId="422" builtinId="9" hidden="1"/>
    <cellStyle name="Followed Hyperlink" xfId="486" builtinId="9" hidden="1"/>
    <cellStyle name="Followed Hyperlink" xfId="550" builtinId="9" hidden="1"/>
    <cellStyle name="Followed Hyperlink" xfId="614" builtinId="9" hidden="1"/>
    <cellStyle name="Followed Hyperlink" xfId="678" builtinId="9" hidden="1"/>
    <cellStyle name="Followed Hyperlink" xfId="742" builtinId="9" hidden="1"/>
    <cellStyle name="Followed Hyperlink" xfId="806" builtinId="9" hidden="1"/>
    <cellStyle name="Followed Hyperlink" xfId="870" builtinId="9" hidden="1"/>
    <cellStyle name="Followed Hyperlink" xfId="934" builtinId="9" hidden="1"/>
    <cellStyle name="Followed Hyperlink" xfId="998" builtinId="9" hidden="1"/>
    <cellStyle name="Followed Hyperlink" xfId="1062" builtinId="9" hidden="1"/>
    <cellStyle name="Followed Hyperlink" xfId="1126" builtinId="9" hidden="1"/>
    <cellStyle name="Followed Hyperlink" xfId="1190" builtinId="9" hidden="1"/>
    <cellStyle name="Followed Hyperlink" xfId="1254" builtinId="9" hidden="1"/>
    <cellStyle name="Followed Hyperlink" xfId="1318" builtinId="9" hidden="1"/>
    <cellStyle name="Followed Hyperlink" xfId="1382" builtinId="9" hidden="1"/>
    <cellStyle name="Followed Hyperlink" xfId="1446" builtinId="9" hidden="1"/>
    <cellStyle name="Followed Hyperlink" xfId="1508" builtinId="9" hidden="1"/>
    <cellStyle name="Followed Hyperlink" xfId="1444" builtinId="9" hidden="1"/>
    <cellStyle name="Followed Hyperlink" xfId="1380" builtinId="9" hidden="1"/>
    <cellStyle name="Followed Hyperlink" xfId="1316" builtinId="9" hidden="1"/>
    <cellStyle name="Followed Hyperlink" xfId="1252" builtinId="9" hidden="1"/>
    <cellStyle name="Followed Hyperlink" xfId="1188" builtinId="9" hidden="1"/>
    <cellStyle name="Followed Hyperlink" xfId="1124" builtinId="9" hidden="1"/>
    <cellStyle name="Followed Hyperlink" xfId="1060" builtinId="9" hidden="1"/>
    <cellStyle name="Followed Hyperlink" xfId="996" builtinId="9" hidden="1"/>
    <cellStyle name="Followed Hyperlink" xfId="932" builtinId="9" hidden="1"/>
    <cellStyle name="Followed Hyperlink" xfId="868" builtinId="9" hidden="1"/>
    <cellStyle name="Followed Hyperlink" xfId="804" builtinId="9" hidden="1"/>
    <cellStyle name="Followed Hyperlink" xfId="740" builtinId="9" hidden="1"/>
    <cellStyle name="Followed Hyperlink" xfId="676" builtinId="9" hidden="1"/>
    <cellStyle name="Followed Hyperlink" xfId="612" builtinId="9" hidden="1"/>
    <cellStyle name="Followed Hyperlink" xfId="548" builtinId="9" hidden="1"/>
    <cellStyle name="Followed Hyperlink" xfId="484" builtinId="9" hidden="1"/>
    <cellStyle name="Followed Hyperlink" xfId="420" builtinId="9" hidden="1"/>
    <cellStyle name="Followed Hyperlink" xfId="356" builtinId="9" hidden="1"/>
    <cellStyle name="Followed Hyperlink" xfId="292" builtinId="9" hidden="1"/>
    <cellStyle name="Followed Hyperlink" xfId="228" builtinId="9" hidden="1"/>
    <cellStyle name="Followed Hyperlink" xfId="128" builtinId="9" hidden="1"/>
    <cellStyle name="Followed Hyperlink" xfId="168" builtinId="9" hidden="1"/>
    <cellStyle name="Followed Hyperlink" xfId="140" builtinId="9" hidden="1"/>
    <cellStyle name="Followed Hyperlink" xfId="92" builtinId="9" hidden="1"/>
    <cellStyle name="Followed Hyperlink" xfId="76" builtinId="9" hidden="1"/>
    <cellStyle name="Followed Hyperlink" xfId="124" builtinId="9" hidden="1"/>
    <cellStyle name="Followed Hyperlink" xfId="176" builtinId="9" hidden="1"/>
    <cellStyle name="Followed Hyperlink" xfId="132" builtinId="9" hidden="1"/>
    <cellStyle name="Followed Hyperlink" xfId="220" builtinId="9" hidden="1"/>
    <cellStyle name="Followed Hyperlink" xfId="284" builtinId="9" hidden="1"/>
    <cellStyle name="Followed Hyperlink" xfId="348" builtinId="9" hidden="1"/>
    <cellStyle name="Followed Hyperlink" xfId="412" builtinId="9" hidden="1"/>
    <cellStyle name="Followed Hyperlink" xfId="476" builtinId="9" hidden="1"/>
    <cellStyle name="Followed Hyperlink" xfId="540" builtinId="9" hidden="1"/>
    <cellStyle name="Followed Hyperlink" xfId="604" builtinId="9" hidden="1"/>
    <cellStyle name="Followed Hyperlink" xfId="668" builtinId="9" hidden="1"/>
    <cellStyle name="Followed Hyperlink" xfId="732" builtinId="9" hidden="1"/>
    <cellStyle name="Followed Hyperlink" xfId="796" builtinId="9" hidden="1"/>
    <cellStyle name="Followed Hyperlink" xfId="860" builtinId="9" hidden="1"/>
    <cellStyle name="Followed Hyperlink" xfId="924" builtinId="9" hidden="1"/>
    <cellStyle name="Followed Hyperlink" xfId="988" builtinId="9" hidden="1"/>
    <cellStyle name="Followed Hyperlink" xfId="1052" builtinId="9" hidden="1"/>
    <cellStyle name="Followed Hyperlink" xfId="1116" builtinId="9" hidden="1"/>
    <cellStyle name="Followed Hyperlink" xfId="1180" builtinId="9" hidden="1"/>
    <cellStyle name="Followed Hyperlink" xfId="1244" builtinId="9" hidden="1"/>
    <cellStyle name="Followed Hyperlink" xfId="1308" builtinId="9" hidden="1"/>
    <cellStyle name="Followed Hyperlink" xfId="1372" builtinId="9" hidden="1"/>
    <cellStyle name="Followed Hyperlink" xfId="1436" builtinId="9" hidden="1"/>
    <cellStyle name="Followed Hyperlink" xfId="1500" builtinId="9" hidden="1"/>
    <cellStyle name="Followed Hyperlink" xfId="1454" builtinId="9" hidden="1"/>
    <cellStyle name="Followed Hyperlink" xfId="1390" builtinId="9" hidden="1"/>
    <cellStyle name="Followed Hyperlink" xfId="1326" builtinId="9" hidden="1"/>
    <cellStyle name="Followed Hyperlink" xfId="1262" builtinId="9" hidden="1"/>
    <cellStyle name="Followed Hyperlink" xfId="1198" builtinId="9" hidden="1"/>
    <cellStyle name="Followed Hyperlink" xfId="1134" builtinId="9" hidden="1"/>
    <cellStyle name="Followed Hyperlink" xfId="1070" builtinId="9" hidden="1"/>
    <cellStyle name="Followed Hyperlink" xfId="1006" builtinId="9" hidden="1"/>
    <cellStyle name="Followed Hyperlink" xfId="942" builtinId="9" hidden="1"/>
    <cellStyle name="Followed Hyperlink" xfId="878" builtinId="9" hidden="1"/>
    <cellStyle name="Followed Hyperlink" xfId="814" builtinId="9" hidden="1"/>
    <cellStyle name="Followed Hyperlink" xfId="750" builtinId="9" hidden="1"/>
    <cellStyle name="Followed Hyperlink" xfId="686" builtinId="9" hidden="1"/>
    <cellStyle name="Followed Hyperlink" xfId="622" builtinId="9" hidden="1"/>
    <cellStyle name="Followed Hyperlink" xfId="558" builtinId="9" hidden="1"/>
    <cellStyle name="Followed Hyperlink" xfId="494" builtinId="9" hidden="1"/>
    <cellStyle name="Followed Hyperlink" xfId="430" builtinId="9" hidden="1"/>
    <cellStyle name="Followed Hyperlink" xfId="366" builtinId="9" hidden="1"/>
    <cellStyle name="Followed Hyperlink" xfId="302" builtinId="9" hidden="1"/>
    <cellStyle name="Followed Hyperlink" xfId="238" builtinId="9" hidden="1"/>
    <cellStyle name="Followed Hyperlink" xfId="174" builtinId="9" hidden="1"/>
    <cellStyle name="Followed Hyperlink" xfId="110" builtinId="9" hidden="1"/>
    <cellStyle name="Followed Hyperlink" xfId="34" builtinId="9" hidden="1"/>
    <cellStyle name="Followed Hyperlink" xfId="30" builtinId="9" hidden="1"/>
    <cellStyle name="Followed Hyperlink" xfId="14" builtinId="9" hidden="1"/>
    <cellStyle name="Followed Hyperlink" xfId="52" builtinId="9" hidden="1"/>
    <cellStyle name="Followed Hyperlink" xfId="82" builtinId="9" hidden="1"/>
    <cellStyle name="Followed Hyperlink" xfId="146" builtinId="9" hidden="1"/>
    <cellStyle name="Followed Hyperlink" xfId="210" builtinId="9" hidden="1"/>
    <cellStyle name="Followed Hyperlink" xfId="274" builtinId="9" hidden="1"/>
    <cellStyle name="Followed Hyperlink" xfId="338" builtinId="9" hidden="1"/>
    <cellStyle name="Followed Hyperlink" xfId="402" builtinId="9" hidden="1"/>
    <cellStyle name="Followed Hyperlink" xfId="466" builtinId="9" hidden="1"/>
    <cellStyle name="Followed Hyperlink" xfId="530" builtinId="9" hidden="1"/>
    <cellStyle name="Followed Hyperlink" xfId="594" builtinId="9" hidden="1"/>
    <cellStyle name="Followed Hyperlink" xfId="658" builtinId="9" hidden="1"/>
    <cellStyle name="Followed Hyperlink" xfId="722" builtinId="9" hidden="1"/>
    <cellStyle name="Followed Hyperlink" xfId="786" builtinId="9" hidden="1"/>
    <cellStyle name="Followed Hyperlink" xfId="850" builtinId="9" hidden="1"/>
    <cellStyle name="Followed Hyperlink" xfId="914" builtinId="9" hidden="1"/>
    <cellStyle name="Followed Hyperlink" xfId="978" builtinId="9" hidden="1"/>
    <cellStyle name="Followed Hyperlink" xfId="1042" builtinId="9" hidden="1"/>
    <cellStyle name="Followed Hyperlink" xfId="1106" builtinId="9" hidden="1"/>
    <cellStyle name="Followed Hyperlink" xfId="1170" builtinId="9" hidden="1"/>
    <cellStyle name="Followed Hyperlink" xfId="1234" builtinId="9" hidden="1"/>
    <cellStyle name="Followed Hyperlink" xfId="1298" builtinId="9" hidden="1"/>
    <cellStyle name="Followed Hyperlink" xfId="1362" builtinId="9" hidden="1"/>
    <cellStyle name="Followed Hyperlink" xfId="1426" builtinId="9" hidden="1"/>
    <cellStyle name="Followed Hyperlink" xfId="1490" builtinId="9" hidden="1"/>
    <cellStyle name="Followed Hyperlink" xfId="1464" builtinId="9" hidden="1"/>
    <cellStyle name="Followed Hyperlink" xfId="1400" builtinId="9" hidden="1"/>
    <cellStyle name="Followed Hyperlink" xfId="1336" builtinId="9" hidden="1"/>
    <cellStyle name="Followed Hyperlink" xfId="1272" builtinId="9" hidden="1"/>
    <cellStyle name="Followed Hyperlink" xfId="1208" builtinId="9" hidden="1"/>
    <cellStyle name="Followed Hyperlink" xfId="1144" builtinId="9" hidden="1"/>
    <cellStyle name="Followed Hyperlink" xfId="1080" builtinId="9" hidden="1"/>
    <cellStyle name="Followed Hyperlink" xfId="1016" builtinId="9" hidden="1"/>
    <cellStyle name="Followed Hyperlink" xfId="952" builtinId="9" hidden="1"/>
    <cellStyle name="Followed Hyperlink" xfId="888" builtinId="9" hidden="1"/>
    <cellStyle name="Followed Hyperlink" xfId="824" builtinId="9" hidden="1"/>
    <cellStyle name="Followed Hyperlink" xfId="760" builtinId="9" hidden="1"/>
    <cellStyle name="Followed Hyperlink" xfId="696" builtinId="9" hidden="1"/>
    <cellStyle name="Followed Hyperlink" xfId="632" builtinId="9" hidden="1"/>
    <cellStyle name="Followed Hyperlink" xfId="568" builtinId="9" hidden="1"/>
    <cellStyle name="Followed Hyperlink" xfId="504" builtinId="9" hidden="1"/>
    <cellStyle name="Followed Hyperlink" xfId="288" builtinId="9" hidden="1"/>
    <cellStyle name="Followed Hyperlink" xfId="328" builtinId="9" hidden="1"/>
    <cellStyle name="Followed Hyperlink" xfId="368" builtinId="9" hidden="1"/>
    <cellStyle name="Followed Hyperlink" xfId="416" builtinId="9" hidden="1"/>
    <cellStyle name="Followed Hyperlink" xfId="440" builtinId="9" hidden="1"/>
    <cellStyle name="Followed Hyperlink" xfId="312" builtinId="9" hidden="1"/>
    <cellStyle name="Followed Hyperlink" xfId="256" builtinId="9" hidden="1"/>
    <cellStyle name="Followed Hyperlink" xfId="216" builtinId="9" hidden="1"/>
    <cellStyle name="Followed Hyperlink" xfId="200" builtinId="9" hidden="1"/>
    <cellStyle name="Followed Hyperlink" xfId="248" builtinId="9" hidden="1"/>
    <cellStyle name="Followed Hyperlink" xfId="240" builtinId="9" hidden="1"/>
    <cellStyle name="Followed Hyperlink" xfId="344" builtinId="9" hidden="1"/>
    <cellStyle name="Followed Hyperlink" xfId="448" builtinId="9" hidden="1"/>
    <cellStyle name="Followed Hyperlink" xfId="400" builtinId="9" hidden="1"/>
    <cellStyle name="Followed Hyperlink" xfId="360" builtinId="9" hidden="1"/>
    <cellStyle name="Followed Hyperlink" xfId="320" builtinId="9" hidden="1"/>
    <cellStyle name="Followed Hyperlink" xfId="456" builtinId="9" hidden="1"/>
    <cellStyle name="Followed Hyperlink" xfId="520" builtinId="9" hidden="1"/>
    <cellStyle name="Followed Hyperlink" xfId="584" builtinId="9" hidden="1"/>
    <cellStyle name="Followed Hyperlink" xfId="648" builtinId="9" hidden="1"/>
    <cellStyle name="Followed Hyperlink" xfId="712" builtinId="9" hidden="1"/>
    <cellStyle name="Followed Hyperlink" xfId="776" builtinId="9" hidden="1"/>
    <cellStyle name="Followed Hyperlink" xfId="840" builtinId="9" hidden="1"/>
    <cellStyle name="Followed Hyperlink" xfId="904" builtinId="9" hidden="1"/>
    <cellStyle name="Followed Hyperlink" xfId="968" builtinId="9" hidden="1"/>
    <cellStyle name="Followed Hyperlink" xfId="1032" builtinId="9" hidden="1"/>
    <cellStyle name="Followed Hyperlink" xfId="1096" builtinId="9" hidden="1"/>
    <cellStyle name="Followed Hyperlink" xfId="1160" builtinId="9" hidden="1"/>
    <cellStyle name="Followed Hyperlink" xfId="1224" builtinId="9" hidden="1"/>
    <cellStyle name="Followed Hyperlink" xfId="1288" builtinId="9" hidden="1"/>
    <cellStyle name="Followed Hyperlink" xfId="1352" builtinId="9" hidden="1"/>
    <cellStyle name="Followed Hyperlink" xfId="1416" builtinId="9" hidden="1"/>
    <cellStyle name="Followed Hyperlink" xfId="1480" builtinId="9" hidden="1"/>
    <cellStyle name="Followed Hyperlink" xfId="1474" builtinId="9" hidden="1"/>
    <cellStyle name="Followed Hyperlink" xfId="1410" builtinId="9" hidden="1"/>
    <cellStyle name="Followed Hyperlink" xfId="1346" builtinId="9" hidden="1"/>
    <cellStyle name="Followed Hyperlink" xfId="1282" builtinId="9" hidden="1"/>
    <cellStyle name="Followed Hyperlink" xfId="1218" builtinId="9" hidden="1"/>
    <cellStyle name="Followed Hyperlink" xfId="1154" builtinId="9" hidden="1"/>
    <cellStyle name="Followed Hyperlink" xfId="1090" builtinId="9" hidden="1"/>
    <cellStyle name="Followed Hyperlink" xfId="1026" builtinId="9" hidden="1"/>
    <cellStyle name="Followed Hyperlink" xfId="962" builtinId="9" hidden="1"/>
    <cellStyle name="Followed Hyperlink" xfId="898" builtinId="9" hidden="1"/>
    <cellStyle name="Followed Hyperlink" xfId="834" builtinId="9" hidden="1"/>
    <cellStyle name="Followed Hyperlink" xfId="770" builtinId="9" hidden="1"/>
    <cellStyle name="Followed Hyperlink" xfId="706" builtinId="9" hidden="1"/>
    <cellStyle name="Followed Hyperlink" xfId="642" builtinId="9" hidden="1"/>
    <cellStyle name="Followed Hyperlink" xfId="578" builtinId="9" hidden="1"/>
    <cellStyle name="Followed Hyperlink" xfId="514" builtinId="9" hidden="1"/>
    <cellStyle name="Followed Hyperlink" xfId="450" builtinId="9" hidden="1"/>
    <cellStyle name="Followed Hyperlink" xfId="386" builtinId="9" hidden="1"/>
    <cellStyle name="Followed Hyperlink" xfId="322" builtinId="9" hidden="1"/>
    <cellStyle name="Followed Hyperlink" xfId="258" builtinId="9" hidden="1"/>
    <cellStyle name="Followed Hyperlink" xfId="194" builtinId="9" hidden="1"/>
    <cellStyle name="Followed Hyperlink" xfId="130" builtinId="9" hidden="1"/>
    <cellStyle name="Followed Hyperlink" xfId="66" builtinId="9" hidden="1"/>
    <cellStyle name="Followed Hyperlink" xfId="64" builtinId="9" hidden="1"/>
    <cellStyle name="Followed Hyperlink" xfId="2" builtinId="9" hidden="1"/>
    <cellStyle name="Followed Hyperlink" xfId="62" builtinId="9" hidden="1"/>
    <cellStyle name="Followed Hyperlink" xfId="24" builtinId="9" hidden="1"/>
    <cellStyle name="Followed Hyperlink" xfId="126" builtinId="9" hidden="1"/>
    <cellStyle name="Followed Hyperlink" xfId="190" builtinId="9" hidden="1"/>
    <cellStyle name="Followed Hyperlink" xfId="254" builtinId="9" hidden="1"/>
    <cellStyle name="Followed Hyperlink" xfId="318" builtinId="9" hidden="1"/>
    <cellStyle name="Followed Hyperlink" xfId="382" builtinId="9" hidden="1"/>
    <cellStyle name="Followed Hyperlink" xfId="446" builtinId="9" hidden="1"/>
    <cellStyle name="Followed Hyperlink" xfId="510" builtinId="9" hidden="1"/>
    <cellStyle name="Followed Hyperlink" xfId="574" builtinId="9" hidden="1"/>
    <cellStyle name="Followed Hyperlink" xfId="638" builtinId="9" hidden="1"/>
    <cellStyle name="Followed Hyperlink" xfId="702" builtinId="9" hidden="1"/>
    <cellStyle name="Followed Hyperlink" xfId="766" builtinId="9" hidden="1"/>
    <cellStyle name="Followed Hyperlink" xfId="830" builtinId="9" hidden="1"/>
    <cellStyle name="Followed Hyperlink" xfId="894" builtinId="9" hidden="1"/>
    <cellStyle name="Followed Hyperlink" xfId="958" builtinId="9" hidden="1"/>
    <cellStyle name="Followed Hyperlink" xfId="1022" builtinId="9" hidden="1"/>
    <cellStyle name="Followed Hyperlink" xfId="1086" builtinId="9" hidden="1"/>
    <cellStyle name="Followed Hyperlink" xfId="1150" builtinId="9" hidden="1"/>
    <cellStyle name="Followed Hyperlink" xfId="1214" builtinId="9" hidden="1"/>
    <cellStyle name="Followed Hyperlink" xfId="1278" builtinId="9" hidden="1"/>
    <cellStyle name="Followed Hyperlink" xfId="1342" builtinId="9" hidden="1"/>
    <cellStyle name="Followed Hyperlink" xfId="1406" builtinId="9" hidden="1"/>
    <cellStyle name="Followed Hyperlink" xfId="1470" builtinId="9" hidden="1"/>
    <cellStyle name="Followed Hyperlink" xfId="1484" builtinId="9" hidden="1"/>
    <cellStyle name="Followed Hyperlink" xfId="1420" builtinId="9" hidden="1"/>
    <cellStyle name="Followed Hyperlink" xfId="1356" builtinId="9" hidden="1"/>
    <cellStyle name="Followed Hyperlink" xfId="1292" builtinId="9" hidden="1"/>
    <cellStyle name="Followed Hyperlink" xfId="1228" builtinId="9" hidden="1"/>
    <cellStyle name="Followed Hyperlink" xfId="1164" builtinId="9" hidden="1"/>
    <cellStyle name="Followed Hyperlink" xfId="1100" builtinId="9" hidden="1"/>
    <cellStyle name="Followed Hyperlink" xfId="1036" builtinId="9" hidden="1"/>
    <cellStyle name="Followed Hyperlink" xfId="972" builtinId="9" hidden="1"/>
    <cellStyle name="Followed Hyperlink" xfId="908" builtinId="9" hidden="1"/>
    <cellStyle name="Followed Hyperlink" xfId="844" builtinId="9" hidden="1"/>
    <cellStyle name="Followed Hyperlink" xfId="780" builtinId="9" hidden="1"/>
    <cellStyle name="Followed Hyperlink" xfId="716" builtinId="9" hidden="1"/>
    <cellStyle name="Followed Hyperlink" xfId="652" builtinId="9" hidden="1"/>
    <cellStyle name="Followed Hyperlink" xfId="588" builtinId="9" hidden="1"/>
    <cellStyle name="Followed Hyperlink" xfId="524" builtinId="9" hidden="1"/>
    <cellStyle name="Followed Hyperlink" xfId="460" builtinId="9" hidden="1"/>
    <cellStyle name="Followed Hyperlink" xfId="396" builtinId="9" hidden="1"/>
    <cellStyle name="Followed Hyperlink" xfId="332" builtinId="9" hidden="1"/>
    <cellStyle name="Followed Hyperlink" xfId="268" builtinId="9" hidden="1"/>
    <cellStyle name="Followed Hyperlink" xfId="204" builtinId="9" hidden="1"/>
    <cellStyle name="Followed Hyperlink" xfId="144" builtinId="9" hidden="1"/>
    <cellStyle name="Followed Hyperlink" xfId="184" builtinId="9" hidden="1"/>
    <cellStyle name="Followed Hyperlink" xfId="84" builtinId="9" hidden="1"/>
    <cellStyle name="Followed Hyperlink" xfId="72" builtinId="9" hidden="1"/>
    <cellStyle name="Followed Hyperlink" xfId="100" builtinId="9" hidden="1"/>
    <cellStyle name="Followed Hyperlink" xfId="172" builtinId="9" hidden="1"/>
    <cellStyle name="Followed Hyperlink" xfId="160" builtinId="9" hidden="1"/>
    <cellStyle name="Followed Hyperlink" xfId="116" builtinId="9" hidden="1"/>
    <cellStyle name="Followed Hyperlink" xfId="244" builtinId="9" hidden="1"/>
    <cellStyle name="Followed Hyperlink" xfId="308" builtinId="9" hidden="1"/>
    <cellStyle name="Followed Hyperlink" xfId="372" builtinId="9" hidden="1"/>
    <cellStyle name="Followed Hyperlink" xfId="436" builtinId="9" hidden="1"/>
    <cellStyle name="Followed Hyperlink" xfId="500" builtinId="9" hidden="1"/>
    <cellStyle name="Followed Hyperlink" xfId="564" builtinId="9" hidden="1"/>
    <cellStyle name="Followed Hyperlink" xfId="628" builtinId="9" hidden="1"/>
    <cellStyle name="Followed Hyperlink" xfId="692" builtinId="9" hidden="1"/>
    <cellStyle name="Followed Hyperlink" xfId="756" builtinId="9" hidden="1"/>
    <cellStyle name="Followed Hyperlink" xfId="820" builtinId="9" hidden="1"/>
    <cellStyle name="Followed Hyperlink" xfId="884" builtinId="9" hidden="1"/>
    <cellStyle name="Followed Hyperlink" xfId="948" builtinId="9" hidden="1"/>
    <cellStyle name="Followed Hyperlink" xfId="1012" builtinId="9" hidden="1"/>
    <cellStyle name="Followed Hyperlink" xfId="1076" builtinId="9" hidden="1"/>
    <cellStyle name="Followed Hyperlink" xfId="1140" builtinId="9" hidden="1"/>
    <cellStyle name="Followed Hyperlink" xfId="1204" builtinId="9" hidden="1"/>
    <cellStyle name="Followed Hyperlink" xfId="1268" builtinId="9" hidden="1"/>
    <cellStyle name="Followed Hyperlink" xfId="1332" builtinId="9" hidden="1"/>
    <cellStyle name="Followed Hyperlink" xfId="1396" builtinId="9" hidden="1"/>
    <cellStyle name="Followed Hyperlink" xfId="1460" builtinId="9" hidden="1"/>
    <cellStyle name="Followed Hyperlink" xfId="1494" builtinId="9" hidden="1"/>
    <cellStyle name="Followed Hyperlink" xfId="1430" builtinId="9" hidden="1"/>
    <cellStyle name="Followed Hyperlink" xfId="1366" builtinId="9" hidden="1"/>
    <cellStyle name="Followed Hyperlink" xfId="1302" builtinId="9" hidden="1"/>
    <cellStyle name="Followed Hyperlink" xfId="1238" builtinId="9" hidden="1"/>
    <cellStyle name="Followed Hyperlink" xfId="1174" builtinId="9" hidden="1"/>
    <cellStyle name="Followed Hyperlink" xfId="1110" builtinId="9" hidden="1"/>
    <cellStyle name="Followed Hyperlink" xfId="1046" builtinId="9" hidden="1"/>
    <cellStyle name="Followed Hyperlink" xfId="982" builtinId="9" hidden="1"/>
    <cellStyle name="Followed Hyperlink" xfId="918" builtinId="9" hidden="1"/>
    <cellStyle name="Followed Hyperlink" xfId="854" builtinId="9" hidden="1"/>
    <cellStyle name="Followed Hyperlink" xfId="790" builtinId="9" hidden="1"/>
    <cellStyle name="Followed Hyperlink" xfId="726" builtinId="9" hidden="1"/>
    <cellStyle name="Followed Hyperlink" xfId="662" builtinId="9" hidden="1"/>
    <cellStyle name="Followed Hyperlink" xfId="598" builtinId="9" hidden="1"/>
    <cellStyle name="Followed Hyperlink" xfId="534" builtinId="9" hidden="1"/>
    <cellStyle name="Followed Hyperlink" xfId="470" builtinId="9" hidden="1"/>
    <cellStyle name="Followed Hyperlink" xfId="406" builtinId="9" hidden="1"/>
    <cellStyle name="Followed Hyperlink" xfId="342" builtinId="9" hidden="1"/>
    <cellStyle name="Followed Hyperlink" xfId="278" builtinId="9" hidden="1"/>
    <cellStyle name="Followed Hyperlink" xfId="214" builtinId="9" hidden="1"/>
    <cellStyle name="Followed Hyperlink" xfId="150" builtinId="9" hidden="1"/>
    <cellStyle name="Followed Hyperlink" xfId="86" builtinId="9" hidden="1"/>
    <cellStyle name="Followed Hyperlink" xfId="50" builtinId="9" hidden="1"/>
    <cellStyle name="Followed Hyperlink" xfId="20" builtinId="9" hidden="1"/>
    <cellStyle name="Followed Hyperlink" xfId="22" builtinId="9" hidden="1"/>
    <cellStyle name="Followed Hyperlink" xfId="36" builtinId="9" hidden="1"/>
    <cellStyle name="Followed Hyperlink" xfId="106" builtinId="9" hidden="1"/>
    <cellStyle name="Followed Hyperlink" xfId="170" builtinId="9" hidden="1"/>
    <cellStyle name="Followed Hyperlink" xfId="234" builtinId="9" hidden="1"/>
    <cellStyle name="Followed Hyperlink" xfId="298" builtinId="9" hidden="1"/>
    <cellStyle name="Followed Hyperlink" xfId="362" builtinId="9" hidden="1"/>
    <cellStyle name="Followed Hyperlink" xfId="426" builtinId="9" hidden="1"/>
    <cellStyle name="Followed Hyperlink" xfId="490" builtinId="9" hidden="1"/>
    <cellStyle name="Followed Hyperlink" xfId="554" builtinId="9" hidden="1"/>
    <cellStyle name="Followed Hyperlink" xfId="618" builtinId="9" hidden="1"/>
    <cellStyle name="Followed Hyperlink" xfId="682" builtinId="9" hidden="1"/>
    <cellStyle name="Followed Hyperlink" xfId="746" builtinId="9" hidden="1"/>
    <cellStyle name="Followed Hyperlink" xfId="810" builtinId="9" hidden="1"/>
    <cellStyle name="Followed Hyperlink" xfId="874" builtinId="9" hidden="1"/>
    <cellStyle name="Followed Hyperlink" xfId="938" builtinId="9" hidden="1"/>
    <cellStyle name="Followed Hyperlink" xfId="1002" builtinId="9" hidden="1"/>
    <cellStyle name="Followed Hyperlink" xfId="1344" builtinId="9" hidden="1"/>
    <cellStyle name="Followed Hyperlink" xfId="1376" builtinId="9" hidden="1"/>
    <cellStyle name="Followed Hyperlink" xfId="1408" builtinId="9" hidden="1"/>
    <cellStyle name="Followed Hyperlink" xfId="1472" builtinId="9" hidden="1"/>
    <cellStyle name="Followed Hyperlink" xfId="1504" builtinId="9" hidden="1"/>
    <cellStyle name="Followed Hyperlink" xfId="1482" builtinId="9" hidden="1"/>
    <cellStyle name="Followed Hyperlink" xfId="1418" builtinId="9" hidden="1"/>
    <cellStyle name="Followed Hyperlink" xfId="1386" builtinId="9" hidden="1"/>
    <cellStyle name="Followed Hyperlink" xfId="1354" builtinId="9" hidden="1"/>
    <cellStyle name="Followed Hyperlink" xfId="1290" builtinId="9" hidden="1"/>
    <cellStyle name="Followed Hyperlink" xfId="1258" builtinId="9" hidden="1"/>
    <cellStyle name="Followed Hyperlink" xfId="1226" builtinId="9" hidden="1"/>
    <cellStyle name="Followed Hyperlink" xfId="1162" builtinId="9" hidden="1"/>
    <cellStyle name="Followed Hyperlink" xfId="1130" builtinId="9" hidden="1"/>
    <cellStyle name="Followed Hyperlink" xfId="1098" builtinId="9" hidden="1"/>
    <cellStyle name="Followed Hyperlink" xfId="1034" builtinId="9" hidden="1"/>
    <cellStyle name="Followed Hyperlink" xfId="1066" builtinId="9" hidden="1"/>
    <cellStyle name="Followed Hyperlink" xfId="1194" builtinId="9" hidden="1"/>
    <cellStyle name="Followed Hyperlink" xfId="1322" builtinId="9" hidden="1"/>
    <cellStyle name="Followed Hyperlink" xfId="1450" builtinId="9" hidden="1"/>
    <cellStyle name="Followed Hyperlink" xfId="1440" builtinId="9" hidden="1"/>
    <cellStyle name="Followed Hyperlink" xfId="1312" builtinId="9" hidden="1"/>
    <cellStyle name="Followed Hyperlink" xfId="1120" builtinId="9" hidden="1"/>
    <cellStyle name="Followed Hyperlink" xfId="1152" builtinId="9" hidden="1"/>
    <cellStyle name="Followed Hyperlink" xfId="1216" builtinId="9" hidden="1"/>
    <cellStyle name="Followed Hyperlink" xfId="1248" builtinId="9" hidden="1"/>
    <cellStyle name="Followed Hyperlink" xfId="1280" builtinId="9" hidden="1"/>
    <cellStyle name="Followed Hyperlink" xfId="1184" builtinId="9" hidden="1"/>
    <cellStyle name="Followed Hyperlink" xfId="1056" builtinId="9" hidden="1"/>
    <cellStyle name="Followed Hyperlink" xfId="1088" builtinId="9" hidden="1"/>
    <cellStyle name="Followed Hyperlink" xfId="1024" builtinId="9" hidden="1"/>
    <cellStyle name="Followed Hyperlink" xfId="992" builtinId="9" hidden="1"/>
    <cellStyle name="Hyperlink" xfId="487" builtinId="8" hidden="1"/>
    <cellStyle name="Hyperlink" xfId="489" builtinId="8" hidden="1"/>
    <cellStyle name="Hyperlink" xfId="493" builtinId="8" hidden="1"/>
    <cellStyle name="Hyperlink" xfId="503" builtinId="8" hidden="1"/>
    <cellStyle name="Hyperlink" xfId="505" builtinId="8" hidden="1"/>
    <cellStyle name="Hyperlink" xfId="459" builtinId="8" hidden="1"/>
    <cellStyle name="Hyperlink" xfId="411" builtinId="8" hidden="1"/>
    <cellStyle name="Hyperlink" xfId="361" builtinId="8" hidden="1"/>
    <cellStyle name="Hyperlink" xfId="339" builtinId="8" hidden="1"/>
    <cellStyle name="Hyperlink" xfId="265" builtinId="8" hidden="1"/>
    <cellStyle name="Hyperlink" xfId="241" builtinId="8" hidden="1"/>
    <cellStyle name="Hyperlink" xfId="559" builtinId="8" hidden="1"/>
    <cellStyle name="Hyperlink" xfId="815" builtinId="8" hidden="1"/>
    <cellStyle name="Hyperlink" xfId="895" builtinId="8" hidden="1"/>
    <cellStyle name="Hyperlink" xfId="1071" builtinId="8" hidden="1"/>
    <cellStyle name="Hyperlink" xfId="1419" builtinId="8" hidden="1"/>
    <cellStyle name="Hyperlink" xfId="1429" builtinId="8" hidden="1"/>
    <cellStyle name="Hyperlink" xfId="1435" builtinId="8" hidden="1"/>
    <cellStyle name="Hyperlink" xfId="1445" builtinId="8" hidden="1"/>
    <cellStyle name="Hyperlink" xfId="1449" builtinId="8" hidden="1"/>
    <cellStyle name="Hyperlink" xfId="1451" builtinId="8" hidden="1"/>
    <cellStyle name="Hyperlink" xfId="1461" builtinId="8" hidden="1"/>
    <cellStyle name="Hyperlink" xfId="1467" builtinId="8" hidden="1"/>
    <cellStyle name="Hyperlink" xfId="1473" builtinId="8" hidden="1"/>
    <cellStyle name="Hyperlink" xfId="1481" builtinId="8" hidden="1"/>
    <cellStyle name="Hyperlink" xfId="1491" builtinId="8" hidden="1"/>
    <cellStyle name="Hyperlink" xfId="1493" builtinId="8" hidden="1"/>
    <cellStyle name="Hyperlink" xfId="1505" builtinId="8" hidden="1"/>
    <cellStyle name="Hyperlink" xfId="1503" builtinId="8" hidden="1"/>
    <cellStyle name="Hyperlink" xfId="1495" builtinId="8" hidden="1"/>
    <cellStyle name="Hyperlink" xfId="1463" builtinId="8" hidden="1"/>
    <cellStyle name="Hyperlink" xfId="1455" builtinId="8" hidden="1"/>
    <cellStyle name="Hyperlink" xfId="1431" builtinId="8" hidden="1"/>
    <cellStyle name="Hyperlink" xfId="1399" builtinId="8" hidden="1"/>
    <cellStyle name="Hyperlink" xfId="1375" builtinId="8" hidden="1"/>
    <cellStyle name="Hyperlink" xfId="1367" builtinId="8" hidden="1"/>
    <cellStyle name="Hyperlink" xfId="1335" builtinId="8" hidden="1"/>
    <cellStyle name="Hyperlink" xfId="1327" builtinId="8" hidden="1"/>
    <cellStyle name="Hyperlink" xfId="1311" builtinId="8" hidden="1"/>
    <cellStyle name="Hyperlink" xfId="1279" builtinId="8" hidden="1"/>
    <cellStyle name="Hyperlink" xfId="1271" builtinId="8" hidden="1"/>
    <cellStyle name="Hyperlink" xfId="1247" builtinId="8" hidden="1"/>
    <cellStyle name="Hyperlink" xfId="1215" builtinId="8" hidden="1"/>
    <cellStyle name="Hyperlink" xfId="1199" builtinId="8" hidden="1"/>
    <cellStyle name="Hyperlink" xfId="1183" builtinId="8" hidden="1"/>
    <cellStyle name="Hyperlink" xfId="1151" builtinId="8" hidden="1"/>
    <cellStyle name="Hyperlink" xfId="1143" builtinId="8" hidden="1"/>
    <cellStyle name="Hyperlink" xfId="1239" builtinId="8" hidden="1"/>
    <cellStyle name="Hyperlink" xfId="1427" builtinId="8" hidden="1"/>
    <cellStyle name="Hyperlink" xfId="1321" builtinId="8" hidden="1"/>
    <cellStyle name="Hyperlink" xfId="1329" builtinId="8" hidden="1"/>
    <cellStyle name="Hyperlink" xfId="1333" builtinId="8" hidden="1"/>
    <cellStyle name="Hyperlink" xfId="1341" builtinId="8" hidden="1"/>
    <cellStyle name="Hyperlink" xfId="1345" builtinId="8" hidden="1"/>
    <cellStyle name="Hyperlink" xfId="1355" builtinId="8" hidden="1"/>
    <cellStyle name="Hyperlink" xfId="1361" builtinId="8" hidden="1"/>
    <cellStyle name="Hyperlink" xfId="1363" builtinId="8" hidden="1"/>
    <cellStyle name="Hyperlink" xfId="1377" builtinId="8" hidden="1"/>
    <cellStyle name="Hyperlink" xfId="1381" builtinId="8" hidden="1"/>
    <cellStyle name="Hyperlink" xfId="1387" builtinId="8" hidden="1"/>
    <cellStyle name="Hyperlink" xfId="1395" builtinId="8" hidden="1"/>
    <cellStyle name="Hyperlink" xfId="1403" builtinId="8" hidden="1"/>
    <cellStyle name="Hyperlink" xfId="1405" builtinId="8" hidden="1"/>
    <cellStyle name="Hyperlink" xfId="1371" builtinId="8" hidden="1"/>
    <cellStyle name="Hyperlink" xfId="1275" builtinId="8" hidden="1"/>
    <cellStyle name="Hyperlink" xfId="1277" builtinId="8" hidden="1"/>
    <cellStyle name="Hyperlink" xfId="1289" builtinId="8" hidden="1"/>
    <cellStyle name="Hyperlink" xfId="1291" builtinId="8" hidden="1"/>
    <cellStyle name="Hyperlink" xfId="1299" builtinId="8" hidden="1"/>
    <cellStyle name="Hyperlink" xfId="1307" builtinId="8" hidden="1"/>
    <cellStyle name="Hyperlink" xfId="1313" builtinId="8" hidden="1"/>
    <cellStyle name="Hyperlink" xfId="1317" builtinId="8" hidden="1"/>
    <cellStyle name="Hyperlink" xfId="1259" builtinId="8" hidden="1"/>
    <cellStyle name="Hyperlink" xfId="1265" builtinId="8" hidden="1"/>
    <cellStyle name="Hyperlink" xfId="1267" builtinId="8" hidden="1"/>
    <cellStyle name="Hyperlink" xfId="1245" builtinId="8" hidden="1"/>
    <cellStyle name="Hyperlink" xfId="1249" builtinId="8" hidden="1"/>
    <cellStyle name="Hyperlink" xfId="1237" builtinId="8" hidden="1"/>
    <cellStyle name="Hyperlink" xfId="1235" builtinId="8" hidden="1"/>
    <cellStyle name="Hyperlink" xfId="1269" builtinId="8" hidden="1"/>
    <cellStyle name="Hyperlink" xfId="1257" builtinId="8" hidden="1"/>
    <cellStyle name="Hyperlink" xfId="1297" builtinId="8" hidden="1"/>
    <cellStyle name="Hyperlink" xfId="1281" builtinId="8" hidden="1"/>
    <cellStyle name="Hyperlink" xfId="1413" builtinId="8" hidden="1"/>
    <cellStyle name="Hyperlink" xfId="1385" builtinId="8" hidden="1"/>
    <cellStyle name="Hyperlink" xfId="1365" builtinId="8" hidden="1"/>
    <cellStyle name="Hyperlink" xfId="1353" builtinId="8" hidden="1"/>
    <cellStyle name="Hyperlink" xfId="1323" builtinId="8" hidden="1"/>
    <cellStyle name="Hyperlink" xfId="1407" builtinId="8" hidden="1"/>
    <cellStyle name="Hyperlink" xfId="1167" builtinId="8" hidden="1"/>
    <cellStyle name="Hyperlink" xfId="1263" builtinId="8" hidden="1"/>
    <cellStyle name="Hyperlink" xfId="1303" builtinId="8" hidden="1"/>
    <cellStyle name="Hyperlink" xfId="1343" builtinId="8" hidden="1"/>
    <cellStyle name="Hyperlink" xfId="1439" builtinId="8" hidden="1"/>
    <cellStyle name="Hyperlink" xfId="1487" builtinId="8" hidden="1"/>
    <cellStyle name="Hyperlink" xfId="1501" builtinId="8" hidden="1"/>
    <cellStyle name="Hyperlink" xfId="1469" builtinId="8" hidden="1"/>
    <cellStyle name="Hyperlink" xfId="1457" builtinId="8" hidden="1"/>
    <cellStyle name="Hyperlink" xfId="1441" builtinId="8" hidden="1"/>
    <cellStyle name="Hyperlink" xfId="983" builtinId="8" hidden="1"/>
    <cellStyle name="Hyperlink" xfId="639" builtinId="8" hidden="1"/>
    <cellStyle name="Hyperlink" xfId="289" builtinId="8" hidden="1"/>
    <cellStyle name="Hyperlink" xfId="485" builtinId="8" hidden="1"/>
    <cellStyle name="Hyperlink" xfId="497" builtinId="8" hidden="1"/>
    <cellStyle name="Hyperlink" xfId="481" builtinId="8" hidden="1"/>
    <cellStyle name="Hyperlink" xfId="453" builtinId="8" hidden="1"/>
    <cellStyle name="Hyperlink" xfId="441" builtinId="8" hidden="1"/>
    <cellStyle name="Hyperlink" xfId="425" builtinId="8" hidden="1"/>
    <cellStyle name="Hyperlink" xfId="397" builtinId="8" hidden="1"/>
    <cellStyle name="Hyperlink" xfId="385" builtinId="8" hidden="1"/>
    <cellStyle name="Hyperlink" xfId="371" builtinId="8" hidden="1"/>
    <cellStyle name="Hyperlink" xfId="343" builtinId="8" hidden="1"/>
    <cellStyle name="Hyperlink" xfId="329" builtinId="8" hidden="1"/>
    <cellStyle name="Hyperlink" xfId="315" builtinId="8" hidden="1"/>
    <cellStyle name="Hyperlink" xfId="285" builtinId="8" hidden="1"/>
    <cellStyle name="Hyperlink" xfId="275" builtinId="8" hidden="1"/>
    <cellStyle name="Hyperlink" xfId="259" builtinId="8" hidden="1"/>
    <cellStyle name="Hyperlink" xfId="231" builtinId="8" hidden="1"/>
    <cellStyle name="Hyperlink" xfId="543" builtinId="8" hidden="1"/>
    <cellStyle name="Hyperlink" xfId="599" builtinId="8" hidden="1"/>
    <cellStyle name="Hyperlink" xfId="695" builtinId="8" hidden="1"/>
    <cellStyle name="Hyperlink" xfId="751" builtinId="8" hidden="1"/>
    <cellStyle name="Hyperlink" xfId="791" builtinId="8" hidden="1"/>
    <cellStyle name="Hyperlink" xfId="887" builtinId="8" hidden="1"/>
    <cellStyle name="Hyperlink" xfId="943" builtinId="8" hidden="1"/>
    <cellStyle name="Hyperlink" xfId="991" builtinId="8" hidden="1"/>
    <cellStyle name="Hyperlink" xfId="1087" builtinId="8" hidden="1"/>
    <cellStyle name="Hyperlink" xfId="1135" builtinId="8" hidden="1"/>
    <cellStyle name="Hyperlink" xfId="399" builtinId="8" hidden="1"/>
    <cellStyle name="Hyperlink" xfId="173" builtinId="8" hidden="1"/>
    <cellStyle name="Hyperlink" xfId="219" builtinId="8" hidden="1"/>
    <cellStyle name="Hyperlink" xfId="81" builtinId="8" hidden="1"/>
    <cellStyle name="Hyperlink" xfId="45" builtinId="8" hidden="1"/>
    <cellStyle name="Hyperlink" xfId="179" builtinId="8" hidden="1"/>
    <cellStyle name="Hyperlink" xfId="501" builtinId="8" hidden="1"/>
    <cellStyle name="Hyperlink" xfId="583" builtinId="8" hidden="1"/>
    <cellStyle name="Hyperlink" xfId="1095" builtinId="8" hidden="1"/>
    <cellStyle name="Hyperlink" xfId="1475" builtinId="8" hidden="1"/>
    <cellStyle name="Hyperlink" xfId="853" builtinId="8" hidden="1"/>
    <cellStyle name="Hyperlink" xfId="901" builtinId="8" hidden="1"/>
    <cellStyle name="Hyperlink" xfId="949" builtinId="8" hidden="1"/>
    <cellStyle name="Hyperlink" xfId="1049" builtinId="8" hidden="1"/>
    <cellStyle name="Hyperlink" xfId="1097" builtinId="8" hidden="1"/>
    <cellStyle name="Hyperlink" xfId="1147" builtinId="8" hidden="1"/>
    <cellStyle name="Hyperlink" xfId="1123" builtinId="8" hidden="1"/>
    <cellStyle name="Hyperlink" xfId="673" builtinId="8" hidden="1"/>
    <cellStyle name="Hyperlink" xfId="721" builtinId="8" hidden="1"/>
    <cellStyle name="Hyperlink" xfId="811" builtinId="8" hidden="1"/>
    <cellStyle name="Hyperlink" xfId="609" builtinId="8" hidden="1"/>
    <cellStyle name="Hyperlink" xfId="653" builtinId="8" hidden="1"/>
    <cellStyle name="Hyperlink" xfId="529" builtinId="8" hidden="1"/>
    <cellStyle name="Hyperlink" xfId="537" builtinId="8" hidden="1"/>
    <cellStyle name="Hyperlink" xfId="545" builtinId="8" hidden="1"/>
    <cellStyle name="Hyperlink" xfId="569" builtinId="8" hidden="1"/>
    <cellStyle name="Hyperlink" xfId="661" builtinId="8" hidden="1"/>
    <cellStyle name="Hyperlink" xfId="649" builtinId="8" hidden="1"/>
    <cellStyle name="Hyperlink" xfId="617" builtinId="8" hidden="1"/>
    <cellStyle name="Hyperlink" xfId="603" builtinId="8" hidden="1"/>
    <cellStyle name="Hyperlink" xfId="717" builtinId="8" hidden="1"/>
    <cellStyle name="Hyperlink" xfId="805" builtinId="8" hidden="1"/>
    <cellStyle name="Hyperlink" xfId="789" builtinId="8" hidden="1"/>
    <cellStyle name="Hyperlink" xfId="773" builtinId="8" hidden="1"/>
    <cellStyle name="Hyperlink" xfId="745" builtinId="8" hidden="1"/>
    <cellStyle name="Hyperlink" xfId="729" builtinId="8" hidden="1"/>
    <cellStyle name="Hyperlink" xfId="713" builtinId="8" hidden="1"/>
    <cellStyle name="Hyperlink" xfId="683" builtinId="8" hidden="1"/>
    <cellStyle name="Hyperlink" xfId="667" builtinId="8" hidden="1"/>
    <cellStyle name="Hyperlink" xfId="931" builtinId="8" hidden="1"/>
    <cellStyle name="Hyperlink" xfId="1165" builtinId="8" hidden="1"/>
    <cellStyle name="Hyperlink" xfId="1221" builtinId="8" hidden="1"/>
    <cellStyle name="Hyperlink" xfId="1203" builtinId="8" hidden="1"/>
    <cellStyle name="Hyperlink" xfId="381" builtinId="8" hidden="1"/>
    <cellStyle name="Hyperlink" xfId="373" builtinId="8" hidden="1"/>
    <cellStyle name="Hyperlink" xfId="363" builtinId="8" hidden="1"/>
    <cellStyle name="Hyperlink" xfId="337" builtinId="8" hidden="1"/>
    <cellStyle name="Hyperlink" xfId="309" builtinId="8" hidden="1"/>
    <cellStyle name="Hyperlink" xfId="299" builtinId="8" hidden="1"/>
    <cellStyle name="Hyperlink" xfId="273" builtinId="8" hidden="1"/>
    <cellStyle name="Hyperlink" xfId="263" builtinId="8" hidden="1"/>
    <cellStyle name="Hyperlink" xfId="253" builtinId="8" hidden="1"/>
    <cellStyle name="Hyperlink" xfId="551" builtinId="8" hidden="1"/>
    <cellStyle name="Hyperlink" xfId="615" builtinId="8" hidden="1"/>
    <cellStyle name="Hyperlink" xfId="647" builtinId="8" hidden="1"/>
    <cellStyle name="Hyperlink" xfId="743" builtinId="8" hidden="1"/>
    <cellStyle name="Hyperlink" xfId="775" builtinId="8" hidden="1"/>
    <cellStyle name="Hyperlink" xfId="807" builtinId="8" hidden="1"/>
    <cellStyle name="Hyperlink" xfId="935" builtinId="8" hidden="1"/>
    <cellStyle name="Hyperlink" xfId="999" builtinId="8" hidden="1"/>
    <cellStyle name="Hyperlink" xfId="1031" builtinId="8" hidden="1"/>
    <cellStyle name="Hyperlink" xfId="1127" builtinId="8" hidden="1"/>
    <cellStyle name="Hyperlink" xfId="1159" builtinId="8" hidden="1"/>
    <cellStyle name="Hyperlink" xfId="1255" builtinId="8" hidden="1"/>
    <cellStyle name="Hyperlink" xfId="1319" builtinId="8" hidden="1"/>
    <cellStyle name="Hyperlink" xfId="1383" builtinId="8" hidden="1"/>
    <cellStyle name="Hyperlink" xfId="1415" builtinId="8" hidden="1"/>
    <cellStyle name="Hyperlink" xfId="1507" builtinId="8" hidden="1"/>
    <cellStyle name="Hyperlink" xfId="1485" builtinId="8" hidden="1"/>
    <cellStyle name="Hyperlink" xfId="1465" builtinId="8" hidden="1"/>
    <cellStyle name="Hyperlink" xfId="1443" builtinId="8" hidden="1"/>
    <cellStyle name="Hyperlink" xfId="1421" builtinId="8" hidden="1"/>
    <cellStyle name="Hyperlink" xfId="1411" builtinId="8" hidden="1"/>
    <cellStyle name="Hyperlink" xfId="1369" builtinId="8" hidden="1"/>
    <cellStyle name="Hyperlink" xfId="1357" builtinId="8" hidden="1"/>
    <cellStyle name="Hyperlink" xfId="1337" builtinId="8" hidden="1"/>
    <cellStyle name="Hyperlink" xfId="1315" builtinId="8" hidden="1"/>
    <cellStyle name="Hyperlink" xfId="1293" builtinId="8" hidden="1"/>
    <cellStyle name="Hyperlink" xfId="1283" builtinId="8" hidden="1"/>
    <cellStyle name="Hyperlink" xfId="1241" builtinId="8" hidden="1"/>
    <cellStyle name="Hyperlink" xfId="1229" builtinId="8" hidden="1"/>
    <cellStyle name="Hyperlink" xfId="833" builtinId="8" hidden="1"/>
    <cellStyle name="Hyperlink" xfId="837" builtinId="8" hidden="1"/>
    <cellStyle name="Hyperlink" xfId="843" builtinId="8" hidden="1"/>
    <cellStyle name="Hyperlink" xfId="851" builtinId="8" hidden="1"/>
    <cellStyle name="Hyperlink" xfId="859" builtinId="8" hidden="1"/>
    <cellStyle name="Hyperlink" xfId="861" builtinId="8" hidden="1"/>
    <cellStyle name="Hyperlink" xfId="869" builtinId="8" hidden="1"/>
    <cellStyle name="Hyperlink" xfId="875" builtinId="8" hidden="1"/>
    <cellStyle name="Hyperlink" xfId="883" builtinId="8" hidden="1"/>
    <cellStyle name="Hyperlink" xfId="885" builtinId="8" hidden="1"/>
    <cellStyle name="Hyperlink" xfId="897" builtinId="8" hidden="1"/>
    <cellStyle name="Hyperlink" xfId="899" builtinId="8" hidden="1"/>
    <cellStyle name="Hyperlink" xfId="905" builtinId="8" hidden="1"/>
    <cellStyle name="Hyperlink" xfId="917" builtinId="8" hidden="1"/>
    <cellStyle name="Hyperlink" xfId="921" builtinId="8" hidden="1"/>
    <cellStyle name="Hyperlink" xfId="923" builtinId="8" hidden="1"/>
    <cellStyle name="Hyperlink" xfId="933" builtinId="8" hidden="1"/>
    <cellStyle name="Hyperlink" xfId="937" builtinId="8" hidden="1"/>
    <cellStyle name="Hyperlink" xfId="941" builtinId="8" hidden="1"/>
    <cellStyle name="Hyperlink" xfId="955" builtinId="8" hidden="1"/>
    <cellStyle name="Hyperlink" xfId="957" builtinId="8" hidden="1"/>
    <cellStyle name="Hyperlink" xfId="961" builtinId="8" hidden="1"/>
    <cellStyle name="Hyperlink" xfId="969" builtinId="8" hidden="1"/>
    <cellStyle name="Hyperlink" xfId="971" builtinId="8" hidden="1"/>
    <cellStyle name="Hyperlink" xfId="981" builtinId="8" hidden="1"/>
    <cellStyle name="Hyperlink" xfId="989" builtinId="8" hidden="1"/>
    <cellStyle name="Hyperlink" xfId="993" builtinId="8" hidden="1"/>
    <cellStyle name="Hyperlink" xfId="997" builtinId="8" hidden="1"/>
    <cellStyle name="Hyperlink" xfId="1005" builtinId="8" hidden="1"/>
    <cellStyle name="Hyperlink" xfId="1013" builtinId="8" hidden="1"/>
    <cellStyle name="Hyperlink" xfId="1019" builtinId="8" hidden="1"/>
    <cellStyle name="Hyperlink" xfId="1027" builtinId="8" hidden="1"/>
    <cellStyle name="Hyperlink" xfId="1029" builtinId="8" hidden="1"/>
    <cellStyle name="Hyperlink" xfId="1033" builtinId="8" hidden="1"/>
    <cellStyle name="Hyperlink" xfId="1045" builtinId="8" hidden="1"/>
    <cellStyle name="Hyperlink" xfId="1051" builtinId="8" hidden="1"/>
    <cellStyle name="Hyperlink" xfId="105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83" builtinId="8" hidden="1"/>
    <cellStyle name="Hyperlink" xfId="1089" builtinId="8" hidden="1"/>
    <cellStyle name="Hyperlink" xfId="1091" builtinId="8" hidden="1"/>
    <cellStyle name="Hyperlink" xfId="1099" builtinId="8" hidden="1"/>
    <cellStyle name="Hyperlink" xfId="1105" builtinId="8" hidden="1"/>
    <cellStyle name="Hyperlink" xfId="1113" builtinId="8" hidden="1"/>
    <cellStyle name="Hyperlink" xfId="1117" builtinId="8" hidden="1"/>
    <cellStyle name="Hyperlink" xfId="1125" builtinId="8" hidden="1"/>
    <cellStyle name="Hyperlink" xfId="1129" builtinId="8" hidden="1"/>
    <cellStyle name="Hyperlink" xfId="1137" builtinId="8" hidden="1"/>
    <cellStyle name="Hyperlink" xfId="1141" builtinId="8" hidden="1"/>
    <cellStyle name="Hyperlink" xfId="1149" builtinId="8" hidden="1"/>
    <cellStyle name="Hyperlink" xfId="1155" builtinId="8" hidden="1"/>
    <cellStyle name="Hyperlink" xfId="1161" builtinId="8" hidden="1"/>
    <cellStyle name="Hyperlink" xfId="1163" builtinId="8" hidden="1"/>
    <cellStyle name="Hyperlink" xfId="1177" builtinId="8" hidden="1"/>
    <cellStyle name="Hyperlink" xfId="1179" builtinId="8" hidden="1"/>
    <cellStyle name="Hyperlink" xfId="1185" builtinId="8" hidden="1"/>
    <cellStyle name="Hyperlink" xfId="1193" builtinId="8" hidden="1"/>
    <cellStyle name="Hyperlink" xfId="1197" builtinId="8" hidden="1"/>
    <cellStyle name="Hyperlink" xfId="1201" builtinId="8" hidden="1"/>
    <cellStyle name="Hyperlink" xfId="1139" builtinId="8" hidden="1"/>
    <cellStyle name="Hyperlink" xfId="1107" builtinId="8" hidden="1"/>
    <cellStyle name="Hyperlink" xfId="1075" builtinId="8" hidden="1"/>
    <cellStyle name="Hyperlink" xfId="1009" builtinId="8" hidden="1"/>
    <cellStyle name="Hyperlink" xfId="979" builtinId="8" hidden="1"/>
    <cellStyle name="Hyperlink" xfId="945" builtinId="8" hidden="1"/>
    <cellStyle name="Hyperlink" xfId="881" builtinId="8" hidden="1"/>
    <cellStyle name="Hyperlink" xfId="849" builtinId="8" hidden="1"/>
    <cellStyle name="Hyperlink" xfId="1273" builtinId="8" hidden="1"/>
    <cellStyle name="Hyperlink" xfId="1497" builtinId="8" hidden="1"/>
    <cellStyle name="Hyperlink" xfId="1191" builtinId="8" hidden="1"/>
    <cellStyle name="Hyperlink" xfId="871" builtinId="8" hidden="1"/>
    <cellStyle name="Hyperlink" xfId="327" builtinId="8" hidden="1"/>
    <cellStyle name="Hyperlink" xfId="63" builtinId="8" hidden="1"/>
    <cellStyle name="Hyperlink" xfId="65" builtinId="8" hidden="1"/>
    <cellStyle name="Hyperlink" xfId="75" builtinId="8" hidden="1"/>
    <cellStyle name="Hyperlink" xfId="83" builtinId="8" hidden="1"/>
    <cellStyle name="Hyperlink" xfId="85" builtinId="8" hidden="1"/>
    <cellStyle name="Hyperlink" xfId="93" builtinId="8" hidden="1"/>
    <cellStyle name="Hyperlink" xfId="97" builtinId="8" hidden="1"/>
    <cellStyle name="Hyperlink" xfId="99" builtinId="8" hidden="1"/>
    <cellStyle name="Hyperlink" xfId="25" builtinId="8" hidden="1"/>
    <cellStyle name="Hyperlink" xfId="27" builtinId="8" hidden="1"/>
    <cellStyle name="Hyperlink" xfId="33" builtinId="8" hidden="1"/>
    <cellStyle name="Hyperlink" xfId="39" builtinId="8" hidden="1"/>
    <cellStyle name="Hyperlink" xfId="43" builtinId="8" hidden="1"/>
    <cellStyle name="Hyperlink" xfId="47" builtinId="8" hidden="1"/>
    <cellStyle name="Hyperlink" xfId="19" builtinId="8" hidden="1"/>
    <cellStyle name="Hyperlink" xfId="21" builtinId="8" hidden="1"/>
    <cellStyle name="Hyperlink" xfId="9" builtinId="8" hidden="1"/>
    <cellStyle name="Hyperlink" xfId="5" builtinId="8" hidden="1"/>
    <cellStyle name="Hyperlink" xfId="3" builtinId="8" hidden="1"/>
    <cellStyle name="Hyperlink" xfId="23" builtinId="8" hidden="1"/>
    <cellStyle name="Hyperlink" xfId="37" builtinId="8" hidden="1"/>
    <cellStyle name="Hyperlink" xfId="29" builtinId="8" hidden="1"/>
    <cellStyle name="Hyperlink" xfId="103" builtinId="8" hidden="1"/>
    <cellStyle name="Hyperlink" xfId="77" builtinId="8" hidden="1"/>
    <cellStyle name="Hyperlink" xfId="69" builtinId="8" hidden="1"/>
    <cellStyle name="Hyperlink" xfId="175" builtinId="8" hidden="1"/>
    <cellStyle name="Hyperlink" xfId="203" builtinId="8" hidden="1"/>
    <cellStyle name="Hyperlink" xfId="195" builtinId="8" hidden="1"/>
    <cellStyle name="Hyperlink" xfId="187" builtinId="8" hidden="1"/>
    <cellStyle name="Hyperlink" xfId="161" builtinId="8" hidden="1"/>
    <cellStyle name="Hyperlink" xfId="153" builtinId="8" hidden="1"/>
    <cellStyle name="Hyperlink" xfId="135" builtinId="8" hidden="1"/>
    <cellStyle name="Hyperlink" xfId="119" builtinId="8" hidden="1"/>
    <cellStyle name="Hyperlink" xfId="255" builtinId="8" hidden="1"/>
    <cellStyle name="Hyperlink" xfId="319" builtinId="8" hidden="1"/>
    <cellStyle name="Hyperlink" xfId="511" builtinId="8" hidden="1"/>
    <cellStyle name="Hyperlink" xfId="509" builtinId="8" hidden="1"/>
    <cellStyle name="Hyperlink" xfId="491" builtinId="8" hidden="1"/>
    <cellStyle name="Hyperlink" xfId="473" builtinId="8" hidden="1"/>
    <cellStyle name="Hyperlink" xfId="455" builtinId="8" hidden="1"/>
    <cellStyle name="Hyperlink" xfId="445" builtinId="8" hidden="1"/>
    <cellStyle name="Hyperlink" xfId="419" builtinId="8" hidden="1"/>
    <cellStyle name="Hyperlink" xfId="409" builtinId="8" hidden="1"/>
    <cellStyle name="Hyperlink" xfId="519" builtinId="8" hidden="1"/>
    <cellStyle name="Hyperlink" xfId="49" builtinId="8" hidden="1"/>
    <cellStyle name="Hyperlink" xfId="73" builtinId="8" hidden="1"/>
    <cellStyle name="Hyperlink" xfId="147" builtinId="8" hidden="1"/>
    <cellStyle name="Hyperlink" xfId="155" builtinId="8" hidden="1"/>
    <cellStyle name="Hyperlink" xfId="157" builtinId="8" hidden="1"/>
    <cellStyle name="Hyperlink" xfId="159" builtinId="8" hidden="1"/>
    <cellStyle name="Hyperlink" xfId="167" builtinId="8" hidden="1"/>
    <cellStyle name="Hyperlink" xfId="171" builtinId="8" hidden="1"/>
    <cellStyle name="Hyperlink" xfId="177" builtinId="8" hidden="1"/>
    <cellStyle name="Hyperlink" xfId="183" builtinId="8" hidden="1"/>
    <cellStyle name="Hyperlink" xfId="189" builtinId="8" hidden="1"/>
    <cellStyle name="Hyperlink" xfId="191" builtinId="8" hidden="1"/>
    <cellStyle name="Hyperlink" xfId="201" builtinId="8" hidden="1"/>
    <cellStyle name="Hyperlink" xfId="205" builtinId="8" hidden="1"/>
    <cellStyle name="Hyperlink" xfId="211" builtinId="8" hidden="1"/>
    <cellStyle name="Hyperlink" xfId="217" builtinId="8" hidden="1"/>
    <cellStyle name="Hyperlink" xfId="223" builtinId="8" hidden="1"/>
    <cellStyle name="Hyperlink" xfId="225" builtinId="8" hidden="1"/>
    <cellStyle name="Hyperlink" xfId="111" builtinId="8" hidden="1"/>
    <cellStyle name="Hyperlink" xfId="51" builtinId="8" hidden="1"/>
    <cellStyle name="Hyperlink" xfId="55" builtinId="8" hidden="1"/>
    <cellStyle name="Hyperlink" xfId="199" builtinId="8" hidden="1"/>
    <cellStyle name="Hyperlink" xfId="287" builtinId="8" hidden="1"/>
    <cellStyle name="Hyperlink" xfId="271" builtinId="8" hidden="1"/>
    <cellStyle name="Hyperlink" xfId="107" builtinId="8" hidden="1"/>
    <cellStyle name="Hyperlink" xfId="113" builtinId="8" hidden="1"/>
    <cellStyle name="Hyperlink" xfId="115" builtinId="8" hidden="1"/>
    <cellStyle name="Hyperlink" xfId="123" builtinId="8" hidden="1"/>
    <cellStyle name="Hyperlink" xfId="125" builtinId="8" hidden="1"/>
    <cellStyle name="Hyperlink" xfId="131" builtinId="8" hidden="1"/>
    <cellStyle name="Hyperlink" xfId="137" builtinId="8" hidden="1"/>
    <cellStyle name="Hyperlink" xfId="141" builtinId="8" hidden="1"/>
    <cellStyle name="Hyperlink" xfId="463" builtinId="8" hidden="1"/>
    <cellStyle name="Hyperlink" xfId="415" builtinId="8" hidden="1"/>
    <cellStyle name="Hyperlink" xfId="367" builtinId="8" hidden="1"/>
    <cellStyle name="Hyperlink" xfId="351" builtinId="8" hidden="1"/>
    <cellStyle name="Hyperlink" xfId="523" builtinId="8" hidden="1"/>
    <cellStyle name="Hyperlink" xfId="525" builtinId="8" hidden="1"/>
    <cellStyle name="Hyperlink" xfId="495" builtinId="8" hidden="1"/>
    <cellStyle name="Hyperlink" xfId="517" builtinId="8" hidden="1"/>
    <cellStyle name="Hyperlink" xfId="513" builtinId="8" hidden="1"/>
    <cellStyle name="Hyperlink" xfId="515" builtinId="8" hidden="1"/>
    <cellStyle name="Hyperlink" xfId="335" builtinId="8" hidden="1"/>
    <cellStyle name="Hyperlink" xfId="431" builtinId="8" hidden="1"/>
    <cellStyle name="Hyperlink" xfId="133" builtinId="8" hidden="1"/>
    <cellStyle name="Hyperlink" xfId="121" builtinId="8" hidden="1"/>
    <cellStyle name="Hyperlink" xfId="239" builtinId="8" hidden="1"/>
    <cellStyle name="Hyperlink" xfId="59" builtinId="8" hidden="1"/>
    <cellStyle name="Hyperlink" xfId="207" builtinId="8" hidden="1"/>
    <cellStyle name="Hyperlink" xfId="215" builtinId="8" hidden="1"/>
    <cellStyle name="Hyperlink" xfId="193" builtinId="8" hidden="1"/>
    <cellStyle name="Hyperlink" xfId="181" builtinId="8" hidden="1"/>
    <cellStyle name="Hyperlink" xfId="165" builtinId="8" hidden="1"/>
    <cellStyle name="Hyperlink" xfId="149" builtinId="8" hidden="1"/>
    <cellStyle name="Hyperlink" xfId="53" builtinId="8" hidden="1"/>
    <cellStyle name="Hyperlink" xfId="437" builtinId="8" hidden="1"/>
    <cellStyle name="Hyperlink" xfId="483" builtinId="8" hidden="1"/>
    <cellStyle name="Hyperlink" xfId="383" builtinId="8" hidden="1"/>
    <cellStyle name="Hyperlink" xfId="127" builtinId="8" hidden="1"/>
    <cellStyle name="Hyperlink" xfId="169" builtinId="8" hidden="1"/>
    <cellStyle name="Hyperlink" xfId="221" builtinId="8" hidden="1"/>
    <cellStyle name="Hyperlink" xfId="87" builtinId="8" hidden="1"/>
    <cellStyle name="Hyperlink" xfId="15" builtinId="8" hidden="1"/>
    <cellStyle name="Hyperlink" xfId="11" builtinId="8" hidden="1"/>
    <cellStyle name="Hyperlink" xfId="17" builtinId="8" hidden="1"/>
    <cellStyle name="Hyperlink" xfId="35" builtinId="8" hidden="1"/>
    <cellStyle name="Hyperlink" xfId="79" builtinId="8" hidden="1"/>
    <cellStyle name="Hyperlink" xfId="89" builtinId="8" hidden="1"/>
    <cellStyle name="Hyperlink" xfId="71" builtinId="8" hidden="1"/>
    <cellStyle name="Hyperlink" xfId="227" builtinId="8" hidden="1"/>
    <cellStyle name="Hyperlink" xfId="1379" builtinId="8" hidden="1"/>
    <cellStyle name="Hyperlink" xfId="913" builtinId="8" hidden="1"/>
    <cellStyle name="Hyperlink" xfId="1043" builtinId="8" hidden="1"/>
    <cellStyle name="Hyperlink" xfId="1173" builtinId="8" hidden="1"/>
    <cellStyle name="Hyperlink" xfId="1189" builtinId="8" hidden="1"/>
    <cellStyle name="Hyperlink" xfId="1169" builtinId="8" hidden="1"/>
    <cellStyle name="Hyperlink" xfId="1153" builtinId="8" hidden="1"/>
    <cellStyle name="Hyperlink" xfId="1131" builtinId="8" hidden="1"/>
    <cellStyle name="Hyperlink" xfId="1115" builtinId="8" hidden="1"/>
    <cellStyle name="Hyperlink" xfId="1093" builtinId="8" hidden="1"/>
    <cellStyle name="Hyperlink" xfId="1077" builtinId="8" hidden="1"/>
    <cellStyle name="Hyperlink" xfId="1057" builtinId="8" hidden="1"/>
    <cellStyle name="Hyperlink" xfId="1041" builtinId="8" hidden="1"/>
    <cellStyle name="Hyperlink" xfId="1021" builtinId="8" hidden="1"/>
    <cellStyle name="Hyperlink" xfId="1003" builtinId="8" hidden="1"/>
    <cellStyle name="Hyperlink" xfId="985" builtinId="8" hidden="1"/>
    <cellStyle name="Hyperlink" xfId="965" builtinId="8" hidden="1"/>
    <cellStyle name="Hyperlink" xfId="947" builtinId="8" hidden="1"/>
    <cellStyle name="Hyperlink" xfId="929" builtinId="8" hidden="1"/>
    <cellStyle name="Hyperlink" xfId="907" builtinId="8" hidden="1"/>
    <cellStyle name="Hyperlink" xfId="893" builtinId="8" hidden="1"/>
    <cellStyle name="Hyperlink" xfId="873" builtinId="8" hidden="1"/>
    <cellStyle name="Hyperlink" xfId="857" builtinId="8" hidden="1"/>
    <cellStyle name="Hyperlink" xfId="835" builtinId="8" hidden="1"/>
    <cellStyle name="Hyperlink" xfId="1251" builtinId="8" hidden="1"/>
    <cellStyle name="Hyperlink" xfId="1325" builtinId="8" hidden="1"/>
    <cellStyle name="Hyperlink" xfId="1401" builtinId="8" hidden="1"/>
    <cellStyle name="Hyperlink" xfId="1453" builtinId="8" hidden="1"/>
    <cellStyle name="Hyperlink" xfId="1447" builtinId="8" hidden="1"/>
    <cellStyle name="Hyperlink" xfId="1287" builtinId="8" hidden="1"/>
    <cellStyle name="Hyperlink" xfId="1063" builtinId="8" hidden="1"/>
    <cellStyle name="Hyperlink" xfId="903" builtinId="8" hidden="1"/>
    <cellStyle name="Hyperlink" xfId="679" builtinId="8" hidden="1"/>
    <cellStyle name="Hyperlink" xfId="235" builtinId="8" hidden="1"/>
    <cellStyle name="Hyperlink" xfId="291" builtinId="8" hidden="1"/>
    <cellStyle name="Hyperlink" xfId="345" builtinId="8" hidden="1"/>
    <cellStyle name="Hyperlink" xfId="401" builtinId="8" hidden="1"/>
    <cellStyle name="Hyperlink" xfId="1059" builtinId="8" hidden="1"/>
    <cellStyle name="Hyperlink" xfId="699" builtinId="8" hidden="1"/>
    <cellStyle name="Hyperlink" xfId="757" builtinId="8" hidden="1"/>
    <cellStyle name="Hyperlink" xfId="819" builtinId="8" hidden="1"/>
    <cellStyle name="Hyperlink" xfId="635" builtinId="8" hidden="1"/>
    <cellStyle name="Hyperlink" xfId="581" builtinId="8" hidden="1"/>
    <cellStyle name="Hyperlink" xfId="587" builtinId="8" hidden="1"/>
    <cellStyle name="Hyperlink" xfId="765" builtinId="8" hidden="1"/>
    <cellStyle name="Hyperlink" xfId="1195" builtinId="8" hidden="1"/>
    <cellStyle name="Hyperlink" xfId="1001" builtinId="8" hidden="1"/>
    <cellStyle name="Hyperlink" xfId="1305" builtinId="8" hidden="1"/>
    <cellStyle name="Hyperlink" xfId="355" builtinId="8" hidden="1"/>
    <cellStyle name="Hyperlink" xfId="41" builtinId="8" hidden="1"/>
    <cellStyle name="Hyperlink" xfId="129" builtinId="8" hidden="1"/>
    <cellStyle name="Hyperlink" xfId="1039" builtinId="8" hidden="1"/>
    <cellStyle name="Hyperlink" xfId="847" builtinId="8" hidden="1"/>
    <cellStyle name="Hyperlink" xfId="655" builtinId="8" hidden="1"/>
    <cellStyle name="Hyperlink" xfId="247" builtinId="8" hidden="1"/>
    <cellStyle name="Hyperlink" xfId="301" builtinId="8" hidden="1"/>
    <cellStyle name="Hyperlink" xfId="357" builtinId="8" hidden="1"/>
    <cellStyle name="Hyperlink" xfId="413" builtinId="8" hidden="1"/>
    <cellStyle name="Hyperlink" xfId="469" builtinId="8" hidden="1"/>
    <cellStyle name="Hyperlink" xfId="387" builtinId="8" hidden="1"/>
    <cellStyle name="Hyperlink" xfId="1425" builtinId="8" hidden="1"/>
    <cellStyle name="Hyperlink" xfId="1489" builtinId="8" hidden="1"/>
    <cellStyle name="Hyperlink" xfId="1391" builtinId="8" hidden="1"/>
    <cellStyle name="Hyperlink" xfId="1207" builtinId="8" hidden="1"/>
    <cellStyle name="Hyperlink" xfId="1339" builtinId="8" hidden="1"/>
    <cellStyle name="Hyperlink" xfId="1397" builtinId="8" hidden="1"/>
    <cellStyle name="Hyperlink" xfId="1309" builtinId="8" hidden="1"/>
    <cellStyle name="Hyperlink" xfId="1233" builtinId="8" hidden="1"/>
    <cellStyle name="Hyperlink" xfId="1243" builtinId="8" hidden="1"/>
    <cellStyle name="Hyperlink" xfId="1253" builtinId="8" hidden="1"/>
    <cellStyle name="Hyperlink" xfId="1301" builtinId="8" hidden="1"/>
    <cellStyle name="Hyperlink" xfId="1285" builtinId="8" hidden="1"/>
    <cellStyle name="Hyperlink" xfId="1409" builtinId="8" hidden="1"/>
    <cellStyle name="Hyperlink" xfId="1393" builtinId="8" hidden="1"/>
    <cellStyle name="Hyperlink" xfId="1373" builtinId="8" hidden="1"/>
    <cellStyle name="Hyperlink" xfId="1349" builtinId="8" hidden="1"/>
    <cellStyle name="Hyperlink" xfId="1331" builtinId="8" hidden="1"/>
    <cellStyle name="Hyperlink" xfId="1483" builtinId="8" hidden="1"/>
    <cellStyle name="Hyperlink" xfId="1175" builtinId="8" hidden="1"/>
    <cellStyle name="Hyperlink" xfId="1231" builtinId="8" hidden="1"/>
    <cellStyle name="Hyperlink" xfId="1295" builtinId="8" hidden="1"/>
    <cellStyle name="Hyperlink" xfId="1359" builtinId="8" hidden="1"/>
    <cellStyle name="Hyperlink" xfId="1423" builtinId="8" hidden="1"/>
    <cellStyle name="Hyperlink" xfId="1471" builtinId="8" hidden="1"/>
    <cellStyle name="Hyperlink" xfId="1499" builtinId="8" hidden="1"/>
    <cellStyle name="Hyperlink" xfId="1477" builtinId="8" hidden="1"/>
    <cellStyle name="Hyperlink" xfId="1459" builtinId="8" hidden="1"/>
    <cellStyle name="Hyperlink" xfId="1437" builtinId="8" hidden="1"/>
    <cellStyle name="Hyperlink" xfId="1417" builtinId="8" hidden="1"/>
    <cellStyle name="Hyperlink" xfId="727" builtinId="8" hidden="1"/>
    <cellStyle name="Hyperlink" xfId="313" builtinId="8" hidden="1"/>
    <cellStyle name="Hyperlink" xfId="435" builtinId="8" hidden="1"/>
    <cellStyle name="Hyperlink" xfId="499" builtinId="8" hidden="1"/>
    <cellStyle name="Hyperlink" xfId="477" builtinId="8" hidden="1"/>
    <cellStyle name="Hyperlink" xfId="1061" builtinId="8" hidden="1"/>
    <cellStyle name="Hyperlink" xfId="1035" builtinId="8" hidden="1"/>
    <cellStyle name="Hyperlink" xfId="1025" builtinId="8" hidden="1"/>
    <cellStyle name="Hyperlink" xfId="1011" builtinId="8" hidden="1"/>
    <cellStyle name="Hyperlink" xfId="987" builtinId="8" hidden="1"/>
    <cellStyle name="Hyperlink" xfId="977" builtinId="8" hidden="1"/>
    <cellStyle name="Hyperlink" xfId="939" builtinId="8" hidden="1"/>
    <cellStyle name="Hyperlink" xfId="925" builtinId="8" hidden="1"/>
    <cellStyle name="Hyperlink" xfId="915" builtinId="8" hidden="1"/>
    <cellStyle name="Hyperlink" xfId="891" builtinId="8" hidden="1"/>
    <cellStyle name="Hyperlink" xfId="877" builtinId="8" hidden="1"/>
    <cellStyle name="Hyperlink" xfId="865" builtinId="8" hidden="1"/>
    <cellStyle name="Hyperlink" xfId="841" builtinId="8" hidden="1"/>
    <cellStyle name="Hyperlink" xfId="1261" builtinId="8" hidden="1"/>
    <cellStyle name="Hyperlink" xfId="1347" builtinId="8" hidden="1"/>
    <cellStyle name="Hyperlink" xfId="1389" builtinId="8" hidden="1"/>
    <cellStyle name="Hyperlink" xfId="1433" builtinId="8" hidden="1"/>
    <cellStyle name="Hyperlink" xfId="1479" builtinId="8" hidden="1"/>
    <cellStyle name="Hyperlink" xfId="1351" builtinId="8" hidden="1"/>
    <cellStyle name="Hyperlink" xfId="1223" builtinId="8" hidden="1"/>
    <cellStyle name="Hyperlink" xfId="839" builtinId="8" hidden="1"/>
    <cellStyle name="Hyperlink" xfId="711" builtinId="8" hidden="1"/>
    <cellStyle name="Hyperlink" xfId="245" builtinId="8" hidden="1"/>
    <cellStyle name="Hyperlink" xfId="281" builtinId="8" hidden="1"/>
    <cellStyle name="Hyperlink" xfId="317" builtinId="8" hidden="1"/>
    <cellStyle name="Hyperlink" xfId="391" builtinId="8" hidden="1"/>
    <cellStyle name="Hyperlink" xfId="427" builtinId="8" hidden="1"/>
    <cellStyle name="Hyperlink" xfId="447" builtinId="8" hidden="1"/>
    <cellStyle name="Hyperlink" xfId="109" builtinId="8" hidden="1"/>
    <cellStyle name="Hyperlink" xfId="145" builtinId="8" hidden="1"/>
    <cellStyle name="Hyperlink" xfId="213" builtinId="8" hidden="1"/>
    <cellStyle name="Hyperlink" xfId="61" builtinId="8" hidden="1"/>
    <cellStyle name="Hyperlink" xfId="95" builtinId="8" hidden="1"/>
    <cellStyle name="Hyperlink" xfId="1" builtinId="8" hidden="1"/>
    <cellStyle name="Hyperlink" xfId="13" builtinId="8" hidden="1"/>
    <cellStyle name="Hyperlink" xfId="31" builtinId="8" hidden="1"/>
    <cellStyle name="Hyperlink" xfId="101" builtinId="8" hidden="1"/>
    <cellStyle name="Hyperlink" xfId="91" builtinId="8" hidden="1"/>
    <cellStyle name="Hyperlink" xfId="67" builtinId="8" hidden="1"/>
    <cellStyle name="Hyperlink" xfId="57" builtinId="8" hidden="1"/>
    <cellStyle name="Hyperlink" xfId="143" builtinId="8" hidden="1"/>
    <cellStyle name="Hyperlink" xfId="197" builtinId="8" hidden="1"/>
    <cellStyle name="Hyperlink" xfId="185" builtinId="8" hidden="1"/>
    <cellStyle name="Hyperlink" xfId="163" builtinId="8" hidden="1"/>
    <cellStyle name="Hyperlink" xfId="151" builtinId="8" hidden="1"/>
    <cellStyle name="Hyperlink" xfId="139" builtinId="8" hidden="1"/>
    <cellStyle name="Hyperlink" xfId="117" builtinId="8" hidden="1"/>
    <cellStyle name="Hyperlink" xfId="105" builtinId="8" hidden="1"/>
    <cellStyle name="Hyperlink" xfId="479" builtinId="8" hidden="1"/>
    <cellStyle name="Hyperlink" xfId="521" builtinId="8" hidden="1"/>
    <cellStyle name="Hyperlink" xfId="507" builtinId="8" hidden="1"/>
    <cellStyle name="Hyperlink" xfId="1119" builtinId="8" hidden="1"/>
    <cellStyle name="Hyperlink" xfId="1111" builtinId="8" hidden="1"/>
    <cellStyle name="Hyperlink" xfId="1103" builtinId="8" hidden="1"/>
    <cellStyle name="Hyperlink" xfId="1079" builtinId="8" hidden="1"/>
    <cellStyle name="Hyperlink" xfId="1047" builtinId="8" hidden="1"/>
    <cellStyle name="Hyperlink" xfId="1023" builtinId="8" hidden="1"/>
    <cellStyle name="Hyperlink" xfId="1015" builtinId="8" hidden="1"/>
    <cellStyle name="Hyperlink" xfId="1007" builtinId="8" hidden="1"/>
    <cellStyle name="Hyperlink" xfId="975" builtinId="8" hidden="1"/>
    <cellStyle name="Hyperlink" xfId="959" builtinId="8" hidden="1"/>
    <cellStyle name="Hyperlink" xfId="951" builtinId="8" hidden="1"/>
    <cellStyle name="Hyperlink" xfId="919" builtinId="8" hidden="1"/>
    <cellStyle name="Hyperlink" xfId="911" builtinId="8" hidden="1"/>
    <cellStyle name="Hyperlink" xfId="879" builtinId="8" hidden="1"/>
    <cellStyle name="Hyperlink" xfId="863" builtinId="8" hidden="1"/>
    <cellStyle name="Hyperlink" xfId="855" builtinId="8" hidden="1"/>
    <cellStyle name="Hyperlink" xfId="831" builtinId="8" hidden="1"/>
    <cellStyle name="Hyperlink" xfId="823" builtinId="8" hidden="1"/>
    <cellStyle name="Hyperlink" xfId="783" builtinId="8" hidden="1"/>
    <cellStyle name="Hyperlink" xfId="767" builtinId="8" hidden="1"/>
    <cellStyle name="Hyperlink" xfId="759" builtinId="8" hidden="1"/>
    <cellStyle name="Hyperlink" xfId="735" builtinId="8" hidden="1"/>
    <cellStyle name="Hyperlink" xfId="719" builtinId="8" hidden="1"/>
    <cellStyle name="Hyperlink" xfId="703" builtinId="8" hidden="1"/>
    <cellStyle name="Hyperlink" xfId="687" builtinId="8" hidden="1"/>
    <cellStyle name="Hyperlink" xfId="663" builtinId="8" hidden="1"/>
    <cellStyle name="Hyperlink" xfId="631" builtinId="8" hidden="1"/>
    <cellStyle name="Hyperlink" xfId="623" builtinId="8" hidden="1"/>
    <cellStyle name="Hyperlink" xfId="607" builtinId="8" hidden="1"/>
    <cellStyle name="Hyperlink" xfId="591" builtinId="8" hidden="1"/>
    <cellStyle name="Hyperlink" xfId="575" builtinId="8" hidden="1"/>
    <cellStyle name="Hyperlink" xfId="567" builtinId="8" hidden="1"/>
    <cellStyle name="Hyperlink" xfId="527" builtinId="8" hidden="1"/>
    <cellStyle name="Hyperlink" xfId="229" builtinId="8" hidden="1"/>
    <cellStyle name="Hyperlink" xfId="233" builtinId="8" hidden="1"/>
    <cellStyle name="Hyperlink" xfId="237" builtinId="8" hidden="1"/>
    <cellStyle name="Hyperlink" xfId="243" builtinId="8" hidden="1"/>
    <cellStyle name="Hyperlink" xfId="249" builtinId="8" hidden="1"/>
    <cellStyle name="Hyperlink" xfId="251" builtinId="8" hidden="1"/>
    <cellStyle name="Hyperlink" xfId="261" builtinId="8" hidden="1"/>
    <cellStyle name="Hyperlink" xfId="267" builtinId="8" hidden="1"/>
    <cellStyle name="Hyperlink" xfId="269" builtinId="8" hidden="1"/>
    <cellStyle name="Hyperlink" xfId="277" builtinId="8" hidden="1"/>
    <cellStyle name="Hyperlink" xfId="279" builtinId="8" hidden="1"/>
    <cellStyle name="Hyperlink" xfId="283" builtinId="8" hidden="1"/>
    <cellStyle name="Hyperlink" xfId="293" builtinId="8" hidden="1"/>
    <cellStyle name="Hyperlink" xfId="297" builtinId="8" hidden="1"/>
    <cellStyle name="Hyperlink" xfId="305" builtinId="8" hidden="1"/>
    <cellStyle name="Hyperlink" xfId="307" builtinId="8" hidden="1"/>
    <cellStyle name="Hyperlink" xfId="311" builtinId="8" hidden="1"/>
    <cellStyle name="Hyperlink" xfId="321" builtinId="8" hidden="1"/>
    <cellStyle name="Hyperlink" xfId="323" builtinId="8" hidden="1"/>
    <cellStyle name="Hyperlink" xfId="325" builtinId="8" hidden="1"/>
    <cellStyle name="Hyperlink" xfId="333" builtinId="8" hidden="1"/>
    <cellStyle name="Hyperlink" xfId="341" builtinId="8" hidden="1"/>
    <cellStyle name="Hyperlink" xfId="347" builtinId="8" hidden="1"/>
    <cellStyle name="Hyperlink" xfId="349" builtinId="8" hidden="1"/>
    <cellStyle name="Hyperlink" xfId="353" builtinId="8" hidden="1"/>
    <cellStyle name="Hyperlink" xfId="359" builtinId="8" hidden="1"/>
    <cellStyle name="Hyperlink" xfId="365" builtinId="8" hidden="1"/>
    <cellStyle name="Hyperlink" xfId="375" builtinId="8" hidden="1"/>
    <cellStyle name="Hyperlink" xfId="377" builtinId="8" hidden="1"/>
    <cellStyle name="Hyperlink" xfId="379" builtinId="8" hidden="1"/>
    <cellStyle name="Hyperlink" xfId="389" builtinId="8" hidden="1"/>
    <cellStyle name="Hyperlink" xfId="393" builtinId="8" hidden="1"/>
    <cellStyle name="Hyperlink" xfId="395" builtinId="8" hidden="1"/>
    <cellStyle name="Hyperlink" xfId="403" builtinId="8" hidden="1"/>
    <cellStyle name="Hyperlink" xfId="407" builtinId="8" hidden="1"/>
    <cellStyle name="Hyperlink" xfId="417" builtinId="8" hidden="1"/>
    <cellStyle name="Hyperlink" xfId="421" builtinId="8" hidden="1"/>
    <cellStyle name="Hyperlink" xfId="423" builtinId="8" hidden="1"/>
    <cellStyle name="Hyperlink" xfId="429" builtinId="8" hidden="1"/>
    <cellStyle name="Hyperlink" xfId="433" builtinId="8" hidden="1"/>
    <cellStyle name="Hyperlink" xfId="439" builtinId="8" hidden="1"/>
    <cellStyle name="Hyperlink" xfId="449" builtinId="8" hidden="1"/>
    <cellStyle name="Hyperlink" xfId="451" builtinId="8" hidden="1"/>
    <cellStyle name="Hyperlink" xfId="457" builtinId="8" hidden="1"/>
    <cellStyle name="Hyperlink" xfId="461" builtinId="8" hidden="1"/>
    <cellStyle name="Hyperlink" xfId="467" builtinId="8" hidden="1"/>
    <cellStyle name="Hyperlink" xfId="471" builtinId="8" hidden="1"/>
    <cellStyle name="Hyperlink" xfId="475" builtinId="8" hidden="1"/>
    <cellStyle name="Hyperlink" xfId="443" builtinId="8" hidden="1"/>
    <cellStyle name="Hyperlink" xfId="405" builtinId="8" hidden="1"/>
    <cellStyle name="Hyperlink" xfId="369" builtinId="8" hidden="1"/>
    <cellStyle name="Hyperlink" xfId="331" builtinId="8" hidden="1"/>
    <cellStyle name="Hyperlink" xfId="295" builtinId="8" hidden="1"/>
    <cellStyle name="Hyperlink" xfId="257" builtinId="8" hidden="1"/>
    <cellStyle name="Hyperlink" xfId="535" builtinId="8" hidden="1"/>
    <cellStyle name="Hyperlink" xfId="671" builtinId="8" hidden="1"/>
    <cellStyle name="Hyperlink" xfId="799" builtinId="8" hidden="1"/>
    <cellStyle name="Hyperlink" xfId="927" builtinId="8" hidden="1"/>
    <cellStyle name="Hyperlink" xfId="1055" builtinId="8" hidden="1"/>
    <cellStyle name="Hyperlink" xfId="303" builtinId="8" hidden="1"/>
    <cellStyle name="Hyperlink" xfId="209" builtinId="8" hidden="1"/>
    <cellStyle name="Hyperlink" xfId="7" builtinId="8" hidden="1"/>
    <cellStyle name="Hyperlink" xfId="465" builtinId="8" hidden="1"/>
    <cellStyle name="Hyperlink" xfId="967" builtinId="8" hidden="1"/>
    <cellStyle name="Hyperlink" xfId="829" builtinId="8" hidden="1"/>
    <cellStyle name="Hyperlink" xfId="963" builtinId="8" hidden="1"/>
    <cellStyle name="Hyperlink" xfId="611" builtinId="8" hidden="1"/>
    <cellStyle name="Hyperlink" xfId="613" builtinId="8" hidden="1"/>
    <cellStyle name="Hyperlink" xfId="621" builtinId="8" hidden="1"/>
    <cellStyle name="Hyperlink" xfId="627" builtinId="8" hidden="1"/>
    <cellStyle name="Hyperlink" xfId="637" builtinId="8" hidden="1"/>
    <cellStyle name="Hyperlink" xfId="641" builtinId="8" hidden="1"/>
    <cellStyle name="Hyperlink" xfId="645" builtinId="8" hidden="1"/>
    <cellStyle name="Hyperlink" xfId="651" builtinId="8" hidden="1"/>
    <cellStyle name="Hyperlink" xfId="657" builtinId="8" hidden="1"/>
    <cellStyle name="Hyperlink" xfId="659" builtinId="8" hidden="1"/>
    <cellStyle name="Hyperlink" xfId="633" builtinId="8" hidden="1"/>
    <cellStyle name="Hyperlink" xfId="561" builtinId="8" hidden="1"/>
    <cellStyle name="Hyperlink" xfId="563" builtinId="8" hidden="1"/>
    <cellStyle name="Hyperlink" xfId="571" builtinId="8" hidden="1"/>
    <cellStyle name="Hyperlink" xfId="573" builtinId="8" hidden="1"/>
    <cellStyle name="Hyperlink" xfId="579" builtinId="8" hidden="1"/>
    <cellStyle name="Hyperlink" xfId="585" builtinId="8" hidden="1"/>
    <cellStyle name="Hyperlink" xfId="589" builtinId="8" hidden="1"/>
    <cellStyle name="Hyperlink" xfId="549" builtinId="8" hidden="1"/>
    <cellStyle name="Hyperlink" xfId="553" builtinId="8" hidden="1"/>
    <cellStyle name="Hyperlink" xfId="555" builtinId="8" hidden="1"/>
    <cellStyle name="Hyperlink" xfId="539" builtinId="8" hidden="1"/>
    <cellStyle name="Hyperlink" xfId="541" builtinId="8" hidden="1"/>
    <cellStyle name="Hyperlink" xfId="533" builtinId="8" hidden="1"/>
    <cellStyle name="Hyperlink" xfId="531" builtinId="8" hidden="1"/>
    <cellStyle name="Hyperlink" xfId="557" builtinId="8" hidden="1"/>
    <cellStyle name="Hyperlink" xfId="547" builtinId="8" hidden="1"/>
    <cellStyle name="Hyperlink" xfId="577" builtinId="8" hidden="1"/>
    <cellStyle name="Hyperlink" xfId="565" builtinId="8" hidden="1"/>
    <cellStyle name="Hyperlink" xfId="665" builtinId="8" hidden="1"/>
    <cellStyle name="Hyperlink" xfId="643" builtinId="8" hidden="1"/>
    <cellStyle name="Hyperlink" xfId="629" builtinId="8" hidden="1"/>
    <cellStyle name="Hyperlink" xfId="619" builtinId="8" hidden="1"/>
    <cellStyle name="Hyperlink" xfId="761" builtinId="8" hidden="1"/>
    <cellStyle name="Hyperlink" xfId="821" builtinId="8" hidden="1"/>
    <cellStyle name="Hyperlink" xfId="797" builtinId="8" hidden="1"/>
    <cellStyle name="Hyperlink" xfId="787" builtinId="8" hidden="1"/>
    <cellStyle name="Hyperlink" xfId="777" builtinId="8" hidden="1"/>
    <cellStyle name="Hyperlink" xfId="753" builtinId="8" hidden="1"/>
    <cellStyle name="Hyperlink" xfId="741" builtinId="8" hidden="1"/>
    <cellStyle name="Hyperlink" xfId="731" builtinId="8" hidden="1"/>
    <cellStyle name="Hyperlink" xfId="707" builtinId="8" hidden="1"/>
    <cellStyle name="Hyperlink" xfId="697" builtinId="8" hidden="1"/>
    <cellStyle name="Hyperlink" xfId="685" builtinId="8" hidden="1"/>
    <cellStyle name="Hyperlink" xfId="867" builtinId="8" hidden="1"/>
    <cellStyle name="Hyperlink" xfId="953" builtinId="8" hidden="1"/>
    <cellStyle name="Hyperlink" xfId="1037" builtinId="8" hidden="1"/>
    <cellStyle name="Hyperlink" xfId="1209" builtinId="8" hidden="1"/>
    <cellStyle name="Hyperlink" xfId="1205" builtinId="8" hidden="1"/>
    <cellStyle name="Hyperlink" xfId="1181" builtinId="8" hidden="1"/>
    <cellStyle name="Hyperlink" xfId="1171" builtinId="8" hidden="1"/>
    <cellStyle name="Hyperlink" xfId="1157" builtinId="8" hidden="1"/>
    <cellStyle name="Hyperlink" xfId="1133" builtinId="8" hidden="1"/>
    <cellStyle name="Hyperlink" xfId="1121" builtinId="8" hidden="1"/>
    <cellStyle name="Hyperlink" xfId="1109" builtinId="8" hidden="1"/>
    <cellStyle name="Hyperlink" xfId="1085" builtinId="8" hidden="1"/>
    <cellStyle name="Hyperlink" xfId="1073" builtinId="8" hidden="1"/>
    <cellStyle name="Hyperlink" xfId="1219" builtinId="8" hidden="1"/>
    <cellStyle name="Hyperlink" xfId="597" builtinId="8" hidden="1"/>
    <cellStyle name="Hyperlink" xfId="593" builtinId="8" hidden="1"/>
    <cellStyle name="Hyperlink" xfId="625" builtinId="8" hidden="1"/>
    <cellStyle name="Hyperlink" xfId="723" builtinId="8" hidden="1"/>
    <cellStyle name="Hyperlink" xfId="725" builtinId="8" hidden="1"/>
    <cellStyle name="Hyperlink" xfId="733" builtinId="8" hidden="1"/>
    <cellStyle name="Hyperlink" xfId="737" builtinId="8" hidden="1"/>
    <cellStyle name="Hyperlink" xfId="739" builtinId="8" hidden="1"/>
    <cellStyle name="Hyperlink" xfId="747" builtinId="8" hidden="1"/>
    <cellStyle name="Hyperlink" xfId="749" builtinId="8" hidden="1"/>
    <cellStyle name="Hyperlink" xfId="755" builtinId="8" hidden="1"/>
    <cellStyle name="Hyperlink" xfId="763" builtinId="8" hidden="1"/>
    <cellStyle name="Hyperlink" xfId="769" builtinId="8" hidden="1"/>
    <cellStyle name="Hyperlink" xfId="771" builtinId="8" hidden="1"/>
    <cellStyle name="Hyperlink" xfId="779" builtinId="8" hidden="1"/>
    <cellStyle name="Hyperlink" xfId="781" builtinId="8" hidden="1"/>
    <cellStyle name="Hyperlink" xfId="785" builtinId="8" hidden="1"/>
    <cellStyle name="Hyperlink" xfId="795" builtinId="8" hidden="1"/>
    <cellStyle name="Hyperlink" xfId="801" builtinId="8" hidden="1"/>
    <cellStyle name="Hyperlink" xfId="809" builtinId="8" hidden="1"/>
    <cellStyle name="Hyperlink" xfId="813" builtinId="8" hidden="1"/>
    <cellStyle name="Hyperlink" xfId="817" builtinId="8" hidden="1"/>
    <cellStyle name="Hyperlink" xfId="825" builtinId="8" hidden="1"/>
    <cellStyle name="Hyperlink" xfId="827" builtinId="8" hidden="1"/>
    <cellStyle name="Hyperlink" xfId="803" builtinId="8" hidden="1"/>
    <cellStyle name="Hyperlink" xfId="675" builtinId="8" hidden="1"/>
    <cellStyle name="Hyperlink" xfId="595" builtinId="8" hidden="1"/>
    <cellStyle name="Hyperlink" xfId="601" builtinId="8" hidden="1"/>
    <cellStyle name="Hyperlink" xfId="605" builtinId="8" hidden="1"/>
    <cellStyle name="Hyperlink" xfId="793" builtinId="8" hidden="1"/>
    <cellStyle name="Hyperlink" xfId="909" builtinId="8" hidden="1"/>
    <cellStyle name="Hyperlink" xfId="889" builtinId="8" hidden="1"/>
    <cellStyle name="Hyperlink" xfId="845" builtinId="8" hidden="1"/>
    <cellStyle name="Hyperlink" xfId="669" builtinId="8" hidden="1"/>
    <cellStyle name="Hyperlink" xfId="677" builtinId="8" hidden="1"/>
    <cellStyle name="Hyperlink" xfId="681" builtinId="8" hidden="1"/>
    <cellStyle name="Hyperlink" xfId="689" builtinId="8" hidden="1"/>
    <cellStyle name="Hyperlink" xfId="691" builtinId="8" hidden="1"/>
    <cellStyle name="Hyperlink" xfId="693" builtinId="8" hidden="1"/>
    <cellStyle name="Hyperlink" xfId="701" builtinId="8" hidden="1"/>
    <cellStyle name="Hyperlink" xfId="705" builtinId="8" hidden="1"/>
    <cellStyle name="Hyperlink" xfId="709" builtinId="8" hidden="1"/>
    <cellStyle name="Hyperlink" xfId="715" builtinId="8" hidden="1"/>
    <cellStyle name="Hyperlink" xfId="1145" builtinId="8" hidden="1"/>
    <cellStyle name="Hyperlink" xfId="1101" builtinId="8" hidden="1"/>
    <cellStyle name="Hyperlink" xfId="1081" builtinId="8" hidden="1"/>
    <cellStyle name="Hyperlink" xfId="1017" builtinId="8" hidden="1"/>
    <cellStyle name="Hyperlink" xfId="995" builtinId="8" hidden="1"/>
    <cellStyle name="Hyperlink" xfId="973" builtinId="8" hidden="1"/>
    <cellStyle name="Hyperlink" xfId="1225" builtinId="8" hidden="1"/>
    <cellStyle name="Hyperlink" xfId="1227" builtinId="8" hidden="1"/>
    <cellStyle name="Hyperlink" xfId="1187" builtinId="8" hidden="1"/>
    <cellStyle name="Hyperlink" xfId="1213" builtinId="8" hidden="1"/>
    <cellStyle name="Hyperlink" xfId="1217" builtinId="8" hidden="1"/>
    <cellStyle name="Hyperlink" xfId="121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6"/>
  <sheetViews>
    <sheetView workbookViewId="0">
      <selection activeCell="D1" sqref="D1"/>
    </sheetView>
  </sheetViews>
  <sheetFormatPr defaultColWidth="9.6640625" defaultRowHeight="14.25" x14ac:dyDescent="0.15"/>
  <cols>
    <col min="1" max="1" width="4.15625" bestFit="1" customWidth="1"/>
    <col min="2" max="2" width="9.6640625" style="1" customWidth="1"/>
    <col min="3" max="3" width="18.98828125" style="1" bestFit="1" customWidth="1"/>
    <col min="4" max="4" width="6.7421875" style="3" customWidth="1"/>
    <col min="5" max="5" width="8.76171875" style="1" customWidth="1"/>
    <col min="6" max="6" width="5.28125" style="1" bestFit="1" customWidth="1"/>
    <col min="7" max="7" width="9.6640625" style="21" customWidth="1"/>
    <col min="8" max="8" width="9.6640625" style="1" customWidth="1"/>
    <col min="9" max="9" width="9.4375" style="1" customWidth="1"/>
    <col min="10" max="10" width="2.6953125" style="1" customWidth="1"/>
    <col min="11" max="11" width="4.71875" style="1" customWidth="1"/>
    <col min="12" max="12" width="7.75390625" style="1" customWidth="1"/>
    <col min="13" max="15" width="8.76171875" style="39" customWidth="1"/>
    <col min="16" max="16" width="3.70703125" style="3" customWidth="1"/>
    <col min="17" max="19" width="8.76171875" style="39" customWidth="1"/>
    <col min="20" max="20" width="3.70703125" style="1" customWidth="1"/>
    <col min="21" max="21" width="15.39453125" style="1" bestFit="1" customWidth="1"/>
    <col min="22" max="22" width="15.73046875" style="1" bestFit="1" customWidth="1"/>
    <col min="23" max="23" width="77.42578125" style="1" bestFit="1" customWidth="1"/>
    <col min="24" max="257" width="9.6640625" style="1" customWidth="1"/>
  </cols>
  <sheetData>
    <row r="1" spans="1:245" ht="23.1" customHeight="1" x14ac:dyDescent="0.2">
      <c r="B1" s="2" t="s">
        <v>120</v>
      </c>
      <c r="D1" s="33">
        <v>2015</v>
      </c>
    </row>
    <row r="2" spans="1:245" ht="33.75" customHeight="1" x14ac:dyDescent="0.15">
      <c r="B2" s="4" t="s">
        <v>0</v>
      </c>
      <c r="C2" s="4" t="s">
        <v>1</v>
      </c>
      <c r="D2" s="4" t="s">
        <v>2</v>
      </c>
      <c r="E2" s="4" t="s">
        <v>5</v>
      </c>
      <c r="F2" s="4" t="s">
        <v>165</v>
      </c>
      <c r="G2" s="4" t="s">
        <v>6</v>
      </c>
      <c r="H2" s="4" t="s">
        <v>7</v>
      </c>
      <c r="I2" s="5" t="s">
        <v>8</v>
      </c>
      <c r="J2" s="5"/>
      <c r="K2" s="5"/>
      <c r="L2" s="5"/>
      <c r="M2" s="13" t="s">
        <v>15</v>
      </c>
      <c r="N2" s="13" t="s">
        <v>16</v>
      </c>
      <c r="O2" s="13" t="s">
        <v>20</v>
      </c>
      <c r="P2" s="6" t="s">
        <v>17</v>
      </c>
      <c r="Q2" s="13" t="s">
        <v>18</v>
      </c>
      <c r="R2" s="13" t="s">
        <v>19</v>
      </c>
      <c r="S2" s="13" t="s">
        <v>21</v>
      </c>
      <c r="T2" s="6" t="s">
        <v>17</v>
      </c>
      <c r="U2" s="4" t="s">
        <v>22</v>
      </c>
      <c r="V2" s="4" t="s">
        <v>127</v>
      </c>
      <c r="W2" s="4" t="s">
        <v>23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</row>
    <row r="3" spans="1:245" ht="15" customHeight="1" x14ac:dyDescent="0.15">
      <c r="A3" s="46">
        <f t="shared" ref="A3:A29" si="0">B3</f>
        <v>42113</v>
      </c>
      <c r="B3" s="37">
        <v>42113</v>
      </c>
      <c r="C3" s="32" t="s">
        <v>188</v>
      </c>
      <c r="D3" t="s">
        <v>3</v>
      </c>
      <c r="E3" s="29" t="str">
        <f t="shared" ref="E3:E29" si="1">IF(D3="home","Time","")</f>
        <v>Time</v>
      </c>
      <c r="F3" s="29">
        <v>1</v>
      </c>
      <c r="G3" s="66">
        <v>0.5625</v>
      </c>
      <c r="H3" s="66">
        <v>0.74861111111111101</v>
      </c>
      <c r="I3" s="17" t="s">
        <v>205</v>
      </c>
      <c r="J3" s="17" t="str">
        <f t="shared" ref="J3:J21" si="2">IF(OR(I3="",I3="draw",I3="cancelled"),"","by")</f>
        <v>by</v>
      </c>
      <c r="K3" s="1">
        <v>4</v>
      </c>
      <c r="L3" s="17" t="s">
        <v>206</v>
      </c>
      <c r="M3" s="38">
        <v>134</v>
      </c>
      <c r="N3" s="38">
        <v>6</v>
      </c>
      <c r="O3" s="38">
        <v>31</v>
      </c>
      <c r="P3" s="38" t="s">
        <v>208</v>
      </c>
      <c r="Q3" s="38">
        <v>131</v>
      </c>
      <c r="R3" s="38">
        <v>10</v>
      </c>
      <c r="S3" s="38">
        <v>37</v>
      </c>
      <c r="T3" s="38" t="s">
        <v>208</v>
      </c>
      <c r="U3" s="32" t="s">
        <v>250</v>
      </c>
      <c r="V3" s="42" t="s">
        <v>209</v>
      </c>
      <c r="W3" s="35" t="s">
        <v>213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</row>
    <row r="4" spans="1:245" x14ac:dyDescent="0.15">
      <c r="A4" s="46">
        <f t="shared" si="0"/>
        <v>42120</v>
      </c>
      <c r="B4" s="37">
        <v>42120</v>
      </c>
      <c r="C4" s="32" t="s">
        <v>336</v>
      </c>
      <c r="D4" t="s">
        <v>3</v>
      </c>
      <c r="E4" s="29" t="str">
        <f t="shared" si="1"/>
        <v>Time</v>
      </c>
      <c r="F4" s="29">
        <v>1</v>
      </c>
      <c r="G4" s="66">
        <v>0.58333333333333337</v>
      </c>
      <c r="H4" s="66">
        <v>0.79861111111111116</v>
      </c>
      <c r="I4" s="17" t="s">
        <v>205</v>
      </c>
      <c r="J4" s="17" t="str">
        <f t="shared" si="2"/>
        <v>by</v>
      </c>
      <c r="K4" s="1">
        <v>8</v>
      </c>
      <c r="L4" s="17" t="s">
        <v>206</v>
      </c>
      <c r="M4" s="38">
        <v>178</v>
      </c>
      <c r="N4" s="38">
        <v>2</v>
      </c>
      <c r="O4" s="38">
        <v>31.5</v>
      </c>
      <c r="P4" s="38" t="s">
        <v>208</v>
      </c>
      <c r="Q4" s="38">
        <v>177</v>
      </c>
      <c r="R4" s="38">
        <v>6</v>
      </c>
      <c r="S4" s="38">
        <v>40</v>
      </c>
      <c r="T4" s="38" t="s">
        <v>208</v>
      </c>
      <c r="U4" s="41" t="s">
        <v>212</v>
      </c>
      <c r="V4" s="17" t="s">
        <v>211</v>
      </c>
      <c r="W4" s="36" t="s">
        <v>218</v>
      </c>
    </row>
    <row r="5" spans="1:245" x14ac:dyDescent="0.15">
      <c r="A5" s="46">
        <f t="shared" si="0"/>
        <v>42127</v>
      </c>
      <c r="B5" s="37">
        <v>42127</v>
      </c>
      <c r="C5" s="32" t="s">
        <v>337</v>
      </c>
      <c r="D5" t="s">
        <v>4</v>
      </c>
      <c r="E5" s="29" t="s">
        <v>219</v>
      </c>
      <c r="F5" s="29"/>
      <c r="G5" s="66">
        <v>0.58333333333333337</v>
      </c>
      <c r="H5" s="66">
        <v>0.79305555555555562</v>
      </c>
      <c r="I5" s="17" t="s">
        <v>205</v>
      </c>
      <c r="J5" s="17" t="str">
        <f t="shared" si="2"/>
        <v>by</v>
      </c>
      <c r="K5" s="1">
        <v>7</v>
      </c>
      <c r="L5" s="17" t="s">
        <v>206</v>
      </c>
      <c r="M5" s="38">
        <v>201</v>
      </c>
      <c r="N5" s="38">
        <v>3</v>
      </c>
      <c r="O5" s="38">
        <v>35.200000000000003</v>
      </c>
      <c r="P5" s="38" t="s">
        <v>208</v>
      </c>
      <c r="Q5" s="38">
        <v>197</v>
      </c>
      <c r="R5" s="38">
        <v>10</v>
      </c>
      <c r="S5" s="38">
        <v>35.200000000000003</v>
      </c>
      <c r="T5" s="38" t="s">
        <v>208</v>
      </c>
      <c r="U5" s="17" t="s">
        <v>215</v>
      </c>
      <c r="V5" s="17" t="s">
        <v>216</v>
      </c>
      <c r="W5" s="36" t="s">
        <v>217</v>
      </c>
    </row>
    <row r="6" spans="1:245" x14ac:dyDescent="0.15">
      <c r="A6" s="46">
        <f t="shared" si="0"/>
        <v>42134</v>
      </c>
      <c r="B6" s="37">
        <v>42134</v>
      </c>
      <c r="C6" s="47" t="s">
        <v>338</v>
      </c>
      <c r="D6" s="31" t="s">
        <v>3</v>
      </c>
      <c r="E6" s="29" t="str">
        <f t="shared" si="1"/>
        <v>Time</v>
      </c>
      <c r="F6" s="29">
        <v>3</v>
      </c>
      <c r="G6" s="66">
        <v>0.60416666666666663</v>
      </c>
      <c r="H6" s="66">
        <v>0.81736111111111109</v>
      </c>
      <c r="I6" s="17" t="s">
        <v>222</v>
      </c>
      <c r="J6" s="17" t="str">
        <f t="shared" si="2"/>
        <v/>
      </c>
      <c r="L6" s="17"/>
      <c r="M6" s="38">
        <v>204</v>
      </c>
      <c r="N6" s="38">
        <v>8</v>
      </c>
      <c r="O6" s="38">
        <v>39</v>
      </c>
      <c r="P6" s="38" t="s">
        <v>208</v>
      </c>
      <c r="Q6" s="38">
        <v>228</v>
      </c>
      <c r="R6" s="38">
        <v>7</v>
      </c>
      <c r="S6" s="38">
        <v>38</v>
      </c>
      <c r="T6" s="38" t="s">
        <v>208</v>
      </c>
      <c r="U6" s="17" t="s">
        <v>226</v>
      </c>
      <c r="V6" s="17" t="s">
        <v>227</v>
      </c>
      <c r="W6" s="36" t="s">
        <v>230</v>
      </c>
    </row>
    <row r="7" spans="1:245" x14ac:dyDescent="0.15">
      <c r="A7" s="46">
        <f t="shared" si="0"/>
        <v>42141</v>
      </c>
      <c r="B7" s="37">
        <v>42141</v>
      </c>
      <c r="C7" s="32" t="s">
        <v>339</v>
      </c>
      <c r="D7" t="s">
        <v>4</v>
      </c>
      <c r="E7" s="29" t="s">
        <v>219</v>
      </c>
      <c r="F7" s="29"/>
      <c r="G7" s="66">
        <v>0.58333333333333337</v>
      </c>
      <c r="H7" s="66">
        <v>0.79513888888888884</v>
      </c>
      <c r="I7" s="17" t="s">
        <v>224</v>
      </c>
      <c r="J7" s="17" t="str">
        <f t="shared" si="2"/>
        <v>by</v>
      </c>
      <c r="K7" s="17">
        <v>26</v>
      </c>
      <c r="L7" s="17" t="s">
        <v>225</v>
      </c>
      <c r="M7" s="38">
        <v>219</v>
      </c>
      <c r="N7" s="38">
        <v>9</v>
      </c>
      <c r="O7" s="38">
        <v>39.299999999999997</v>
      </c>
      <c r="P7" s="38" t="s">
        <v>208</v>
      </c>
      <c r="Q7" s="38">
        <v>245</v>
      </c>
      <c r="R7" s="38">
        <v>7</v>
      </c>
      <c r="S7" s="38">
        <v>40</v>
      </c>
      <c r="T7" s="38" t="s">
        <v>208</v>
      </c>
      <c r="U7" s="17" t="s">
        <v>228</v>
      </c>
      <c r="V7" s="17" t="s">
        <v>229</v>
      </c>
      <c r="W7" s="36" t="s">
        <v>231</v>
      </c>
    </row>
    <row r="8" spans="1:245" x14ac:dyDescent="0.15">
      <c r="A8" s="46">
        <f t="shared" si="0"/>
        <v>42148</v>
      </c>
      <c r="B8" s="37">
        <v>42148</v>
      </c>
      <c r="C8" s="31" t="s">
        <v>340</v>
      </c>
      <c r="D8" t="s">
        <v>3</v>
      </c>
      <c r="E8" s="29" t="str">
        <f t="shared" si="1"/>
        <v>Time</v>
      </c>
      <c r="F8" s="29">
        <v>3</v>
      </c>
      <c r="G8" s="66">
        <v>0.58333333333333337</v>
      </c>
      <c r="H8" s="66">
        <v>0.76388888888888884</v>
      </c>
      <c r="I8" s="17" t="s">
        <v>224</v>
      </c>
      <c r="J8" s="17" t="str">
        <f t="shared" si="2"/>
        <v>by</v>
      </c>
      <c r="K8" s="17">
        <v>14</v>
      </c>
      <c r="L8" s="17" t="s">
        <v>225</v>
      </c>
      <c r="M8" s="38">
        <v>107</v>
      </c>
      <c r="N8" s="38">
        <v>10</v>
      </c>
      <c r="O8" s="38">
        <v>29.4</v>
      </c>
      <c r="P8" s="38" t="s">
        <v>208</v>
      </c>
      <c r="Q8" s="38">
        <v>121</v>
      </c>
      <c r="R8" s="38">
        <v>10</v>
      </c>
      <c r="S8" s="38">
        <v>32.1</v>
      </c>
      <c r="T8" s="38" t="s">
        <v>208</v>
      </c>
      <c r="U8" s="17" t="s">
        <v>233</v>
      </c>
      <c r="V8" s="17" t="s">
        <v>234</v>
      </c>
      <c r="W8" s="36" t="s">
        <v>235</v>
      </c>
    </row>
    <row r="9" spans="1:245" x14ac:dyDescent="0.15">
      <c r="A9" s="46">
        <f t="shared" si="0"/>
        <v>42155</v>
      </c>
      <c r="B9" s="37">
        <v>42155</v>
      </c>
      <c r="C9" t="s">
        <v>190</v>
      </c>
      <c r="D9" t="s">
        <v>3</v>
      </c>
      <c r="E9" s="29" t="str">
        <f t="shared" si="1"/>
        <v>Time</v>
      </c>
      <c r="F9" s="29">
        <v>5</v>
      </c>
      <c r="G9" s="66">
        <v>0.60416666666666663</v>
      </c>
      <c r="H9" s="66">
        <v>0.79166666666666663</v>
      </c>
      <c r="I9" s="17" t="s">
        <v>205</v>
      </c>
      <c r="J9" s="17" t="str">
        <f t="shared" si="2"/>
        <v>by</v>
      </c>
      <c r="K9" s="17">
        <v>130</v>
      </c>
      <c r="L9" s="17" t="s">
        <v>225</v>
      </c>
      <c r="M9" s="38">
        <v>227</v>
      </c>
      <c r="N9" s="38">
        <v>7</v>
      </c>
      <c r="O9" s="38">
        <v>41</v>
      </c>
      <c r="P9" s="38" t="s">
        <v>208</v>
      </c>
      <c r="Q9" s="38">
        <v>99</v>
      </c>
      <c r="R9" s="38">
        <v>9</v>
      </c>
      <c r="S9" s="38">
        <v>37.200000000000003</v>
      </c>
      <c r="T9" s="38" t="s">
        <v>208</v>
      </c>
      <c r="U9" s="17" t="s">
        <v>244</v>
      </c>
      <c r="V9" s="17" t="s">
        <v>247</v>
      </c>
      <c r="W9" s="36" t="s">
        <v>241</v>
      </c>
    </row>
    <row r="10" spans="1:245" x14ac:dyDescent="0.15">
      <c r="A10" s="46">
        <f t="shared" si="0"/>
        <v>42161</v>
      </c>
      <c r="B10" s="37">
        <v>42161</v>
      </c>
      <c r="C10" s="32" t="s">
        <v>341</v>
      </c>
      <c r="D10" t="s">
        <v>4</v>
      </c>
      <c r="E10" s="29" t="s">
        <v>240</v>
      </c>
      <c r="F10" s="29"/>
      <c r="G10" s="66">
        <v>0.625</v>
      </c>
      <c r="H10" s="66">
        <v>0.77430555555555547</v>
      </c>
      <c r="I10" s="17" t="s">
        <v>205</v>
      </c>
      <c r="J10" s="17" t="str">
        <f t="shared" si="2"/>
        <v>by</v>
      </c>
      <c r="K10" s="17">
        <v>32</v>
      </c>
      <c r="L10" s="17" t="s">
        <v>225</v>
      </c>
      <c r="M10" s="38">
        <v>160</v>
      </c>
      <c r="N10" s="38">
        <v>8</v>
      </c>
      <c r="O10" s="38">
        <v>30</v>
      </c>
      <c r="P10" s="38" t="s">
        <v>208</v>
      </c>
      <c r="Q10" s="38">
        <v>128</v>
      </c>
      <c r="R10" s="38">
        <v>7</v>
      </c>
      <c r="S10" s="38">
        <v>30</v>
      </c>
      <c r="T10" s="38" t="s">
        <v>208</v>
      </c>
      <c r="U10" s="17" t="s">
        <v>245</v>
      </c>
      <c r="V10" s="17" t="s">
        <v>248</v>
      </c>
      <c r="W10" s="36" t="s">
        <v>242</v>
      </c>
    </row>
    <row r="11" spans="1:245" x14ac:dyDescent="0.15">
      <c r="A11" s="46">
        <f t="shared" si="0"/>
        <v>42162</v>
      </c>
      <c r="B11" s="37">
        <v>42162</v>
      </c>
      <c r="C11" s="32" t="s">
        <v>342</v>
      </c>
      <c r="D11" t="s">
        <v>4</v>
      </c>
      <c r="E11" s="29" t="s">
        <v>238</v>
      </c>
      <c r="F11" s="29"/>
      <c r="G11" s="66">
        <v>0.60416666666666663</v>
      </c>
      <c r="H11" s="66">
        <v>0.80555555555555547</v>
      </c>
      <c r="I11" s="17" t="s">
        <v>224</v>
      </c>
      <c r="J11" s="17" t="str">
        <f t="shared" si="2"/>
        <v>by</v>
      </c>
      <c r="K11" s="17">
        <v>93</v>
      </c>
      <c r="L11" s="17" t="s">
        <v>225</v>
      </c>
      <c r="M11" s="38">
        <v>92</v>
      </c>
      <c r="N11" s="38">
        <v>10</v>
      </c>
      <c r="O11" s="38">
        <v>37</v>
      </c>
      <c r="P11" s="38" t="s">
        <v>208</v>
      </c>
      <c r="Q11" s="38">
        <v>185</v>
      </c>
      <c r="R11" s="38">
        <v>6</v>
      </c>
      <c r="S11" s="38">
        <v>36</v>
      </c>
      <c r="T11" s="38" t="s">
        <v>208</v>
      </c>
      <c r="U11" s="17" t="s">
        <v>243</v>
      </c>
      <c r="V11" s="17" t="s">
        <v>246</v>
      </c>
      <c r="W11" s="36" t="s">
        <v>251</v>
      </c>
    </row>
    <row r="12" spans="1:245" x14ac:dyDescent="0.15">
      <c r="A12" s="46">
        <f t="shared" si="0"/>
        <v>42169</v>
      </c>
      <c r="B12" s="37">
        <v>42169</v>
      </c>
      <c r="C12" s="32" t="s">
        <v>343</v>
      </c>
      <c r="D12" t="s">
        <v>3</v>
      </c>
      <c r="E12" s="29" t="str">
        <f t="shared" si="1"/>
        <v>Time</v>
      </c>
      <c r="F12" s="29">
        <v>5</v>
      </c>
      <c r="G12" s="66">
        <v>0.60416666666666663</v>
      </c>
      <c r="H12" s="66">
        <v>0.28472222222222221</v>
      </c>
      <c r="I12" s="17" t="s">
        <v>205</v>
      </c>
      <c r="J12" s="17" t="str">
        <f t="shared" si="2"/>
        <v>by</v>
      </c>
      <c r="K12" s="17">
        <v>104</v>
      </c>
      <c r="L12" s="17" t="s">
        <v>225</v>
      </c>
      <c r="M12" s="38">
        <v>195</v>
      </c>
      <c r="N12" s="38">
        <v>9</v>
      </c>
      <c r="O12" s="38">
        <v>43</v>
      </c>
      <c r="P12" s="38" t="s">
        <v>208</v>
      </c>
      <c r="Q12" s="38">
        <v>91</v>
      </c>
      <c r="R12" s="38">
        <v>10</v>
      </c>
      <c r="S12" s="38">
        <v>30.4</v>
      </c>
      <c r="T12" s="38" t="s">
        <v>208</v>
      </c>
      <c r="U12" s="17" t="s">
        <v>249</v>
      </c>
      <c r="V12" s="17" t="s">
        <v>254</v>
      </c>
      <c r="W12" s="36" t="s">
        <v>255</v>
      </c>
    </row>
    <row r="13" spans="1:245" x14ac:dyDescent="0.15">
      <c r="A13" s="46">
        <f t="shared" si="0"/>
        <v>42176</v>
      </c>
      <c r="B13" s="37">
        <v>42176</v>
      </c>
      <c r="C13" s="32" t="s">
        <v>191</v>
      </c>
      <c r="D13" t="s">
        <v>3</v>
      </c>
      <c r="E13" s="29" t="str">
        <f t="shared" si="1"/>
        <v>Time</v>
      </c>
      <c r="F13" s="29">
        <v>2</v>
      </c>
      <c r="G13" s="66">
        <v>0.60416666666666663</v>
      </c>
      <c r="H13" s="66">
        <v>0.80208333333333337</v>
      </c>
      <c r="I13" s="17" t="s">
        <v>222</v>
      </c>
      <c r="J13" s="17" t="str">
        <f t="shared" si="2"/>
        <v/>
      </c>
      <c r="K13" s="17"/>
      <c r="L13" s="17"/>
      <c r="M13" s="38">
        <v>273</v>
      </c>
      <c r="N13" s="38">
        <v>4</v>
      </c>
      <c r="O13" s="38">
        <v>37.5</v>
      </c>
      <c r="P13" s="38" t="s">
        <v>208</v>
      </c>
      <c r="Q13" s="38">
        <v>122</v>
      </c>
      <c r="R13" s="38">
        <v>7</v>
      </c>
      <c r="S13" s="38">
        <v>41</v>
      </c>
      <c r="T13" s="38" t="s">
        <v>208</v>
      </c>
      <c r="U13" s="17" t="s">
        <v>252</v>
      </c>
      <c r="V13" s="17" t="s">
        <v>253</v>
      </c>
      <c r="W13" s="36" t="s">
        <v>256</v>
      </c>
    </row>
    <row r="14" spans="1:245" x14ac:dyDescent="0.15">
      <c r="A14" s="46">
        <f t="shared" si="0"/>
        <v>42183</v>
      </c>
      <c r="B14" s="37">
        <v>42183</v>
      </c>
      <c r="C14" s="32" t="s">
        <v>167</v>
      </c>
      <c r="D14" t="s">
        <v>4</v>
      </c>
      <c r="E14" s="29" t="s">
        <v>219</v>
      </c>
      <c r="F14" s="29"/>
      <c r="G14" s="66">
        <v>0.60416666666666663</v>
      </c>
      <c r="H14" s="66">
        <v>0.78472222222222221</v>
      </c>
      <c r="I14" s="17" t="s">
        <v>205</v>
      </c>
      <c r="J14" s="17" t="str">
        <f t="shared" si="2"/>
        <v>by</v>
      </c>
      <c r="K14" s="17">
        <v>180</v>
      </c>
      <c r="L14" s="17" t="s">
        <v>225</v>
      </c>
      <c r="M14" s="38">
        <v>242</v>
      </c>
      <c r="N14" s="38">
        <v>4</v>
      </c>
      <c r="O14" s="38">
        <v>40</v>
      </c>
      <c r="P14" s="38" t="s">
        <v>208</v>
      </c>
      <c r="Q14" s="38">
        <v>62</v>
      </c>
      <c r="R14" s="38">
        <v>9</v>
      </c>
      <c r="S14" s="38">
        <v>22.3</v>
      </c>
      <c r="T14" s="38" t="s">
        <v>208</v>
      </c>
      <c r="U14" s="17" t="s">
        <v>257</v>
      </c>
      <c r="V14" s="17" t="s">
        <v>258</v>
      </c>
      <c r="W14" s="36" t="s">
        <v>260</v>
      </c>
    </row>
    <row r="15" spans="1:245" x14ac:dyDescent="0.15">
      <c r="A15" s="46">
        <f t="shared" si="0"/>
        <v>42190</v>
      </c>
      <c r="B15" s="37">
        <v>42190</v>
      </c>
      <c r="C15" s="32" t="s">
        <v>344</v>
      </c>
      <c r="D15" t="s">
        <v>3</v>
      </c>
      <c r="E15" s="29" t="str">
        <f t="shared" si="1"/>
        <v>Time</v>
      </c>
      <c r="F15" s="29">
        <v>2</v>
      </c>
      <c r="G15" s="66">
        <v>0.60416666666666663</v>
      </c>
      <c r="H15" s="66">
        <v>0.75902777777777775</v>
      </c>
      <c r="I15" s="17" t="s">
        <v>205</v>
      </c>
      <c r="J15" s="17" t="str">
        <f t="shared" si="2"/>
        <v>by</v>
      </c>
      <c r="K15" s="17">
        <v>7</v>
      </c>
      <c r="L15" s="17" t="s">
        <v>206</v>
      </c>
      <c r="M15" s="38">
        <v>127</v>
      </c>
      <c r="N15" s="38">
        <v>3</v>
      </c>
      <c r="O15" s="38">
        <v>30.3</v>
      </c>
      <c r="P15" s="38" t="s">
        <v>208</v>
      </c>
      <c r="Q15" s="38">
        <v>126</v>
      </c>
      <c r="R15" s="38">
        <v>9</v>
      </c>
      <c r="S15" s="38">
        <v>27.2</v>
      </c>
      <c r="T15" s="38" t="s">
        <v>208</v>
      </c>
      <c r="U15" s="17" t="s">
        <v>264</v>
      </c>
      <c r="V15" s="17" t="s">
        <v>265</v>
      </c>
      <c r="W15" s="36" t="s">
        <v>266</v>
      </c>
    </row>
    <row r="16" spans="1:245" x14ac:dyDescent="0.15">
      <c r="A16" s="46">
        <f t="shared" si="0"/>
        <v>42197</v>
      </c>
      <c r="B16" s="37">
        <v>42197</v>
      </c>
      <c r="C16" s="32" t="s">
        <v>180</v>
      </c>
      <c r="D16" t="s">
        <v>3</v>
      </c>
      <c r="E16" s="29" t="str">
        <f t="shared" si="1"/>
        <v>Time</v>
      </c>
      <c r="F16" s="29">
        <v>6</v>
      </c>
      <c r="G16" s="66">
        <v>0.60416666666666663</v>
      </c>
      <c r="H16" s="66">
        <v>0.8125</v>
      </c>
      <c r="I16" s="17" t="s">
        <v>205</v>
      </c>
      <c r="J16" s="17" t="str">
        <f t="shared" si="2"/>
        <v>by</v>
      </c>
      <c r="K16" s="17">
        <v>9</v>
      </c>
      <c r="L16" s="17" t="s">
        <v>206</v>
      </c>
      <c r="M16" s="38">
        <v>222</v>
      </c>
      <c r="N16" s="38">
        <v>1</v>
      </c>
      <c r="O16" s="38">
        <v>33</v>
      </c>
      <c r="P16" s="38" t="s">
        <v>208</v>
      </c>
      <c r="Q16" s="38">
        <v>219</v>
      </c>
      <c r="R16" s="38">
        <v>3</v>
      </c>
      <c r="S16" s="38">
        <v>40</v>
      </c>
      <c r="T16" s="38" t="s">
        <v>208</v>
      </c>
      <c r="U16" s="17" t="s">
        <v>270</v>
      </c>
      <c r="V16" s="17" t="s">
        <v>269</v>
      </c>
      <c r="W16" s="36" t="s">
        <v>271</v>
      </c>
    </row>
    <row r="17" spans="1:23" x14ac:dyDescent="0.15">
      <c r="A17" s="46">
        <f t="shared" si="0"/>
        <v>42203</v>
      </c>
      <c r="B17" s="37">
        <v>42203</v>
      </c>
      <c r="C17" s="32" t="s">
        <v>278</v>
      </c>
      <c r="D17" t="s">
        <v>3</v>
      </c>
      <c r="E17" s="29" t="str">
        <f t="shared" si="1"/>
        <v>Time</v>
      </c>
      <c r="F17" s="29">
        <v>6</v>
      </c>
      <c r="G17" s="66">
        <v>0.60416666666666663</v>
      </c>
      <c r="H17" s="66"/>
      <c r="I17" s="17" t="s">
        <v>205</v>
      </c>
      <c r="J17" s="17" t="str">
        <f t="shared" si="2"/>
        <v>by</v>
      </c>
      <c r="K17" s="17">
        <v>102</v>
      </c>
      <c r="L17" s="17" t="s">
        <v>272</v>
      </c>
      <c r="M17" s="38">
        <v>244</v>
      </c>
      <c r="N17" s="38">
        <v>6</v>
      </c>
      <c r="O17" s="38">
        <v>45</v>
      </c>
      <c r="P17" s="38" t="s">
        <v>208</v>
      </c>
      <c r="Q17" s="38">
        <v>148</v>
      </c>
      <c r="R17" s="38">
        <v>7</v>
      </c>
      <c r="S17" s="38">
        <v>36</v>
      </c>
      <c r="T17" s="38" t="s">
        <v>208</v>
      </c>
      <c r="U17" s="17" t="s">
        <v>279</v>
      </c>
      <c r="V17" s="17" t="s">
        <v>280</v>
      </c>
      <c r="W17" s="36" t="s">
        <v>281</v>
      </c>
    </row>
    <row r="18" spans="1:23" x14ac:dyDescent="0.15">
      <c r="A18" s="46">
        <f t="shared" si="0"/>
        <v>42204</v>
      </c>
      <c r="B18" s="37">
        <v>42204</v>
      </c>
      <c r="C18" s="32" t="s">
        <v>189</v>
      </c>
      <c r="D18" t="s">
        <v>4</v>
      </c>
      <c r="E18" s="29" t="s">
        <v>219</v>
      </c>
      <c r="F18" s="29"/>
      <c r="G18" s="66">
        <v>0.58333333333333337</v>
      </c>
      <c r="H18" s="66"/>
      <c r="I18" s="17" t="s">
        <v>205</v>
      </c>
      <c r="J18" s="17" t="str">
        <f t="shared" si="2"/>
        <v>by</v>
      </c>
      <c r="K18" s="17">
        <v>153</v>
      </c>
      <c r="L18" s="17" t="s">
        <v>272</v>
      </c>
      <c r="M18" s="38">
        <v>259</v>
      </c>
      <c r="N18" s="38">
        <v>8</v>
      </c>
      <c r="O18" s="38">
        <v>40</v>
      </c>
      <c r="P18" s="38" t="s">
        <v>208</v>
      </c>
      <c r="Q18" s="38">
        <v>106</v>
      </c>
      <c r="R18" s="38">
        <v>10</v>
      </c>
      <c r="S18" s="38">
        <v>24.3</v>
      </c>
      <c r="T18" s="38" t="s">
        <v>208</v>
      </c>
      <c r="U18" s="17" t="s">
        <v>273</v>
      </c>
      <c r="V18" s="17" t="s">
        <v>274</v>
      </c>
      <c r="W18" s="36" t="s">
        <v>275</v>
      </c>
    </row>
    <row r="19" spans="1:23" x14ac:dyDescent="0.15">
      <c r="A19" s="46">
        <f t="shared" si="0"/>
        <v>42211</v>
      </c>
      <c r="B19" s="37">
        <v>42211</v>
      </c>
      <c r="C19" s="32" t="s">
        <v>126</v>
      </c>
      <c r="D19" t="s">
        <v>3</v>
      </c>
      <c r="E19" s="29"/>
      <c r="F19" s="29"/>
      <c r="G19" s="66"/>
      <c r="H19" s="66"/>
      <c r="I19" s="17" t="s">
        <v>262</v>
      </c>
      <c r="J19" s="17" t="str">
        <f t="shared" si="2"/>
        <v/>
      </c>
      <c r="K19" s="17"/>
      <c r="L19" s="17"/>
      <c r="M19" s="38"/>
      <c r="N19" s="38"/>
      <c r="O19" s="38"/>
      <c r="P19" s="38"/>
      <c r="Q19" s="38"/>
      <c r="R19" s="38"/>
      <c r="S19" s="38"/>
      <c r="T19" s="38"/>
      <c r="U19" s="17"/>
      <c r="V19" s="17"/>
      <c r="W19" s="36" t="s">
        <v>263</v>
      </c>
    </row>
    <row r="20" spans="1:23" x14ac:dyDescent="0.15">
      <c r="A20" s="46">
        <f t="shared" si="0"/>
        <v>42218</v>
      </c>
      <c r="B20" s="37">
        <v>42218</v>
      </c>
      <c r="C20" s="47" t="s">
        <v>339</v>
      </c>
      <c r="D20" s="31" t="s">
        <v>3</v>
      </c>
      <c r="E20" s="29" t="str">
        <f t="shared" si="1"/>
        <v>Time</v>
      </c>
      <c r="F20" s="29">
        <v>6</v>
      </c>
      <c r="G20" s="66">
        <v>0.60416666666666663</v>
      </c>
      <c r="H20" s="66">
        <v>0.82152777777777775</v>
      </c>
      <c r="I20" s="17" t="s">
        <v>205</v>
      </c>
      <c r="J20" s="17" t="str">
        <f t="shared" si="2"/>
        <v>by</v>
      </c>
      <c r="K20" s="17">
        <v>5</v>
      </c>
      <c r="L20" s="17" t="s">
        <v>286</v>
      </c>
      <c r="M20" s="38">
        <v>234</v>
      </c>
      <c r="N20" s="38">
        <v>5</v>
      </c>
      <c r="O20" s="38">
        <v>37</v>
      </c>
      <c r="P20" s="38" t="s">
        <v>208</v>
      </c>
      <c r="Q20" s="38">
        <v>230</v>
      </c>
      <c r="R20" s="38">
        <v>7</v>
      </c>
      <c r="S20" s="38">
        <v>43</v>
      </c>
      <c r="T20" s="38" t="s">
        <v>208</v>
      </c>
      <c r="U20" s="17" t="s">
        <v>314</v>
      </c>
      <c r="V20" s="17" t="s">
        <v>313</v>
      </c>
      <c r="W20" s="36" t="s">
        <v>315</v>
      </c>
    </row>
    <row r="21" spans="1:23" x14ac:dyDescent="0.15">
      <c r="A21" s="46">
        <f t="shared" si="0"/>
        <v>42225</v>
      </c>
      <c r="B21" s="37">
        <v>42225</v>
      </c>
      <c r="C21" s="47" t="s">
        <v>336</v>
      </c>
      <c r="D21" s="31" t="s">
        <v>4</v>
      </c>
      <c r="E21" s="29" t="s">
        <v>238</v>
      </c>
      <c r="F21" s="29"/>
      <c r="G21" s="66">
        <v>0.60416666666666663</v>
      </c>
      <c r="H21" s="66"/>
      <c r="I21" s="17" t="s">
        <v>222</v>
      </c>
      <c r="J21" s="17" t="str">
        <f t="shared" si="2"/>
        <v/>
      </c>
      <c r="L21" s="17"/>
      <c r="M21" s="38">
        <v>219</v>
      </c>
      <c r="N21" s="38">
        <v>5</v>
      </c>
      <c r="O21" s="38">
        <v>36</v>
      </c>
      <c r="P21" s="38" t="s">
        <v>288</v>
      </c>
      <c r="Q21" s="38">
        <v>147</v>
      </c>
      <c r="R21" s="38">
        <v>3</v>
      </c>
      <c r="S21" s="38">
        <v>39</v>
      </c>
      <c r="T21" s="38" t="s">
        <v>208</v>
      </c>
      <c r="U21" s="17" t="s">
        <v>289</v>
      </c>
      <c r="V21" s="17" t="s">
        <v>290</v>
      </c>
      <c r="W21" s="36" t="s">
        <v>316</v>
      </c>
    </row>
    <row r="22" spans="1:23" x14ac:dyDescent="0.15">
      <c r="A22" s="46">
        <f t="shared" si="0"/>
        <v>42231</v>
      </c>
      <c r="B22" s="37">
        <v>42231</v>
      </c>
      <c r="C22" s="47" t="s">
        <v>344</v>
      </c>
      <c r="D22" s="31" t="s">
        <v>4</v>
      </c>
      <c r="E22" s="29" t="str">
        <f t="shared" si="1"/>
        <v/>
      </c>
      <c r="F22" s="29"/>
      <c r="G22" s="66"/>
      <c r="H22" s="66"/>
      <c r="I22" s="17" t="s">
        <v>262</v>
      </c>
      <c r="J22" s="17" t="str">
        <f>IF(OR(I22="",I22="draw",I22="cancelled"),"","by")</f>
        <v/>
      </c>
      <c r="K22" s="17"/>
      <c r="L22" s="17"/>
      <c r="M22" s="38"/>
      <c r="N22" s="38"/>
      <c r="O22" s="38"/>
      <c r="P22" s="38"/>
      <c r="Q22" s="38"/>
      <c r="R22" s="38"/>
      <c r="S22" s="38"/>
      <c r="T22" s="38"/>
      <c r="U22" s="17"/>
      <c r="V22" s="17"/>
      <c r="W22" s="36" t="s">
        <v>267</v>
      </c>
    </row>
    <row r="23" spans="1:23" x14ac:dyDescent="0.15">
      <c r="A23" s="46">
        <f t="shared" si="0"/>
        <v>42238</v>
      </c>
      <c r="B23" s="37">
        <v>42238</v>
      </c>
      <c r="C23" s="32" t="s">
        <v>337</v>
      </c>
      <c r="D23" t="s">
        <v>3</v>
      </c>
      <c r="E23" s="29" t="str">
        <f t="shared" si="1"/>
        <v>Time</v>
      </c>
      <c r="F23" s="29">
        <v>6</v>
      </c>
      <c r="G23" s="66">
        <v>0.60416666666666663</v>
      </c>
      <c r="H23" s="66">
        <v>0.71527777777777779</v>
      </c>
      <c r="I23" s="17" t="s">
        <v>205</v>
      </c>
      <c r="J23" s="17" t="str">
        <f>IF(OR(I23="",I23="draw",I23="cancelled"),"","by")</f>
        <v>by</v>
      </c>
      <c r="K23" s="17">
        <v>6</v>
      </c>
      <c r="L23" s="17" t="s">
        <v>286</v>
      </c>
      <c r="M23" s="38">
        <v>73</v>
      </c>
      <c r="N23" s="38">
        <v>4</v>
      </c>
      <c r="O23" s="38">
        <v>16</v>
      </c>
      <c r="P23" s="38" t="s">
        <v>208</v>
      </c>
      <c r="Q23" s="38">
        <v>72</v>
      </c>
      <c r="R23" s="38">
        <v>10</v>
      </c>
      <c r="S23" s="38">
        <v>26</v>
      </c>
      <c r="T23" s="38" t="s">
        <v>208</v>
      </c>
      <c r="U23" s="17" t="s">
        <v>292</v>
      </c>
      <c r="V23" s="17" t="s">
        <v>293</v>
      </c>
      <c r="W23" s="36" t="s">
        <v>294</v>
      </c>
    </row>
    <row r="24" spans="1:23" x14ac:dyDescent="0.15">
      <c r="A24" s="46">
        <f t="shared" si="0"/>
        <v>42246</v>
      </c>
      <c r="B24" s="37">
        <v>42246</v>
      </c>
      <c r="C24" s="32" t="s">
        <v>282</v>
      </c>
      <c r="D24" t="s">
        <v>3</v>
      </c>
      <c r="E24" s="29" t="str">
        <f t="shared" si="1"/>
        <v>Time</v>
      </c>
      <c r="F24" s="29">
        <v>4</v>
      </c>
      <c r="G24" s="66">
        <v>0.45833333333333331</v>
      </c>
      <c r="H24" s="66">
        <v>0.75</v>
      </c>
      <c r="I24" s="34"/>
      <c r="J24" s="34"/>
      <c r="K24" s="34"/>
      <c r="L24" s="34"/>
      <c r="M24" s="38">
        <v>155</v>
      </c>
      <c r="N24" s="38">
        <v>11</v>
      </c>
      <c r="O24" s="38">
        <v>47</v>
      </c>
      <c r="P24" s="38" t="s">
        <v>208</v>
      </c>
      <c r="Q24" s="38">
        <v>143</v>
      </c>
      <c r="R24" s="38">
        <v>11</v>
      </c>
      <c r="S24" s="38">
        <v>37.200000000000003</v>
      </c>
      <c r="T24" s="38" t="s">
        <v>208</v>
      </c>
      <c r="U24" s="17" t="s">
        <v>296</v>
      </c>
      <c r="V24" s="17" t="s">
        <v>297</v>
      </c>
      <c r="W24" s="36" t="s">
        <v>298</v>
      </c>
    </row>
    <row r="25" spans="1:23" x14ac:dyDescent="0.15">
      <c r="A25" s="46">
        <f t="shared" si="0"/>
        <v>42247</v>
      </c>
      <c r="B25" s="37">
        <v>42247</v>
      </c>
      <c r="C25" s="32" t="s">
        <v>283</v>
      </c>
      <c r="D25"/>
      <c r="E25" s="29" t="str">
        <f t="shared" si="1"/>
        <v/>
      </c>
      <c r="F25" s="29"/>
      <c r="G25" s="66"/>
      <c r="H25" s="66"/>
      <c r="I25" s="17" t="s">
        <v>277</v>
      </c>
      <c r="J25" s="17" t="str">
        <f>IF(OR(I25="",I25="draw",I25="cancelled",I25="abandoned"),"","by")</f>
        <v/>
      </c>
      <c r="K25" s="17"/>
      <c r="L25" s="17"/>
      <c r="M25" s="38"/>
      <c r="N25" s="38"/>
      <c r="O25" s="38"/>
      <c r="P25" s="38"/>
      <c r="Q25" s="38"/>
      <c r="R25" s="38"/>
      <c r="S25" s="38"/>
      <c r="T25" s="38"/>
      <c r="U25" s="17"/>
      <c r="V25" s="17"/>
      <c r="W25" s="36" t="s">
        <v>299</v>
      </c>
    </row>
    <row r="26" spans="1:23" x14ac:dyDescent="0.15">
      <c r="A26" s="46">
        <f t="shared" si="0"/>
        <v>42253</v>
      </c>
      <c r="B26" s="37">
        <v>42253</v>
      </c>
      <c r="C26" s="32" t="s">
        <v>168</v>
      </c>
      <c r="D26" t="s">
        <v>3</v>
      </c>
      <c r="E26" s="29" t="str">
        <f t="shared" si="1"/>
        <v>Time</v>
      </c>
      <c r="F26" s="29">
        <v>4</v>
      </c>
      <c r="G26" s="66">
        <v>0.58333333333333337</v>
      </c>
      <c r="H26" s="66">
        <v>0.79861111111111116</v>
      </c>
      <c r="I26" s="17" t="s">
        <v>222</v>
      </c>
      <c r="J26" s="17" t="str">
        <f t="shared" ref="J26:J28" si="3">IF(OR(I26="",I26="draw",I26="cancelled",I26="abandoned"),"","by")</f>
        <v/>
      </c>
      <c r="K26" s="17"/>
      <c r="L26" s="17"/>
      <c r="M26" s="38">
        <v>154</v>
      </c>
      <c r="N26" s="38">
        <v>7</v>
      </c>
      <c r="O26" s="38">
        <v>40</v>
      </c>
      <c r="P26" s="38" t="s">
        <v>208</v>
      </c>
      <c r="Q26" s="38">
        <v>242</v>
      </c>
      <c r="R26" s="38">
        <v>7</v>
      </c>
      <c r="S26" s="38">
        <v>39</v>
      </c>
      <c r="T26" s="38" t="s">
        <v>208</v>
      </c>
      <c r="U26" s="17" t="s">
        <v>302</v>
      </c>
      <c r="V26" s="17" t="s">
        <v>303</v>
      </c>
      <c r="W26" s="36" t="s">
        <v>304</v>
      </c>
    </row>
    <row r="27" spans="1:23" x14ac:dyDescent="0.15">
      <c r="A27" s="46">
        <f t="shared" si="0"/>
        <v>42260</v>
      </c>
      <c r="B27" s="37">
        <v>42260</v>
      </c>
      <c r="C27" s="32" t="s">
        <v>338</v>
      </c>
      <c r="D27" t="s">
        <v>4</v>
      </c>
      <c r="E27" s="29" t="s">
        <v>219</v>
      </c>
      <c r="F27" s="29"/>
      <c r="G27" s="66">
        <v>0.54166666666666663</v>
      </c>
      <c r="H27" s="66">
        <v>0.7631944444444444</v>
      </c>
      <c r="I27" s="17" t="s">
        <v>224</v>
      </c>
      <c r="J27" s="17" t="str">
        <f t="shared" si="3"/>
        <v>by</v>
      </c>
      <c r="K27" s="17">
        <v>166</v>
      </c>
      <c r="L27" s="17" t="s">
        <v>225</v>
      </c>
      <c r="M27" s="38">
        <v>134</v>
      </c>
      <c r="N27" s="38">
        <v>10</v>
      </c>
      <c r="O27" s="38">
        <v>40</v>
      </c>
      <c r="P27" s="38" t="s">
        <v>208</v>
      </c>
      <c r="Q27" s="38">
        <v>300</v>
      </c>
      <c r="R27" s="38">
        <v>5</v>
      </c>
      <c r="S27" s="38">
        <v>40</v>
      </c>
      <c r="T27" s="38" t="s">
        <v>208</v>
      </c>
      <c r="U27" s="17" t="s">
        <v>305</v>
      </c>
      <c r="V27" s="17" t="s">
        <v>306</v>
      </c>
      <c r="W27" s="36" t="s">
        <v>307</v>
      </c>
    </row>
    <row r="28" spans="1:23" x14ac:dyDescent="0.15">
      <c r="A28" s="46">
        <f t="shared" si="0"/>
        <v>42267</v>
      </c>
      <c r="B28" s="37">
        <v>42267</v>
      </c>
      <c r="C28" s="32" t="s">
        <v>192</v>
      </c>
      <c r="D28" t="s">
        <v>3</v>
      </c>
      <c r="E28" s="29" t="str">
        <f t="shared" si="1"/>
        <v>Time</v>
      </c>
      <c r="F28" s="29">
        <v>1</v>
      </c>
      <c r="G28" s="66">
        <v>0.5625</v>
      </c>
      <c r="H28" s="66">
        <v>0.75347222222222221</v>
      </c>
      <c r="I28" s="17" t="s">
        <v>312</v>
      </c>
      <c r="J28" s="17" t="str">
        <f t="shared" si="3"/>
        <v>by</v>
      </c>
      <c r="K28" s="1">
        <v>89</v>
      </c>
      <c r="L28" s="17" t="s">
        <v>225</v>
      </c>
      <c r="M28" s="38">
        <v>175</v>
      </c>
      <c r="N28" s="38">
        <v>8</v>
      </c>
      <c r="O28" s="38">
        <v>45</v>
      </c>
      <c r="P28" s="38" t="s">
        <v>208</v>
      </c>
      <c r="Q28" s="38">
        <v>86</v>
      </c>
      <c r="R28" s="38">
        <v>10</v>
      </c>
      <c r="S28" s="38">
        <v>23.4</v>
      </c>
      <c r="T28" s="38" t="s">
        <v>208</v>
      </c>
      <c r="U28" s="17" t="s">
        <v>308</v>
      </c>
      <c r="V28" s="17" t="s">
        <v>309</v>
      </c>
      <c r="W28" s="36" t="s">
        <v>310</v>
      </c>
    </row>
    <row r="29" spans="1:23" x14ac:dyDescent="0.15">
      <c r="A29" s="46">
        <f t="shared" si="0"/>
        <v>42274</v>
      </c>
      <c r="B29" s="37">
        <v>42274</v>
      </c>
      <c r="C29" s="32" t="s">
        <v>285</v>
      </c>
      <c r="D29" t="s">
        <v>4</v>
      </c>
      <c r="E29" s="29" t="str">
        <f t="shared" si="1"/>
        <v/>
      </c>
      <c r="F29" s="29"/>
      <c r="G29" s="66"/>
      <c r="H29" s="66"/>
      <c r="I29" s="17" t="s">
        <v>262</v>
      </c>
      <c r="J29" s="17"/>
      <c r="L29" s="17"/>
      <c r="M29" s="38"/>
      <c r="N29" s="38"/>
      <c r="O29" s="38"/>
      <c r="P29" s="38"/>
      <c r="Q29" s="38"/>
      <c r="R29" s="38"/>
      <c r="S29" s="38"/>
      <c r="T29" s="38"/>
      <c r="U29" s="17"/>
      <c r="V29" s="17"/>
      <c r="W29" s="36" t="s">
        <v>311</v>
      </c>
    </row>
    <row r="30" spans="1:23" x14ac:dyDescent="0.15">
      <c r="G30" s="66"/>
      <c r="M30" s="40">
        <f>SUM(M3:M28)</f>
        <v>4228</v>
      </c>
      <c r="N30" s="40">
        <f>SUM(N3:N28)</f>
        <v>148</v>
      </c>
      <c r="O30" s="40">
        <f>SUM(O3:O28)</f>
        <v>843.2</v>
      </c>
      <c r="P30" s="1"/>
      <c r="Q30" s="40">
        <f>SUM(Q3:Q28)</f>
        <v>3605</v>
      </c>
      <c r="R30" s="40">
        <f>SUM(R3:R28)</f>
        <v>180</v>
      </c>
      <c r="S30" s="40">
        <f>SUM(S3:S28)</f>
        <v>794.3</v>
      </c>
      <c r="U30" s="7"/>
      <c r="V30" s="7"/>
    </row>
    <row r="31" spans="1:23" x14ac:dyDescent="0.15">
      <c r="C31" s="48" t="s">
        <v>4</v>
      </c>
      <c r="D31" s="7">
        <f>COUNTIF($D$3:$D$28,"away")</f>
        <v>9</v>
      </c>
      <c r="I31" s="7" t="s">
        <v>9</v>
      </c>
      <c r="J31" s="7"/>
      <c r="K31" s="7"/>
      <c r="L31" s="7">
        <f>COUNTIF($I$3:$I$29,"won")</f>
        <v>13</v>
      </c>
    </row>
    <row r="32" spans="1:23" x14ac:dyDescent="0.15">
      <c r="C32" s="48" t="s">
        <v>3</v>
      </c>
      <c r="D32" s="7">
        <f>COUNTIF($D$3:$D$28,"home")</f>
        <v>16</v>
      </c>
      <c r="I32" s="7" t="s">
        <v>10</v>
      </c>
      <c r="J32" s="7"/>
      <c r="K32" s="7"/>
      <c r="L32" s="7">
        <f>COUNTIF($I$3:$I$29,"lost")</f>
        <v>4</v>
      </c>
    </row>
    <row r="33" spans="3:12" x14ac:dyDescent="0.15">
      <c r="C33" s="48" t="s">
        <v>169</v>
      </c>
      <c r="D33" s="7">
        <f>D31+D32</f>
        <v>25</v>
      </c>
      <c r="I33" s="7" t="s">
        <v>11</v>
      </c>
      <c r="J33" s="7"/>
      <c r="K33" s="7"/>
      <c r="L33" s="7">
        <f>COUNTIF($I$3:$I$29,"draw*")</f>
        <v>4</v>
      </c>
    </row>
    <row r="34" spans="3:12" x14ac:dyDescent="0.15">
      <c r="I34" s="7" t="s">
        <v>12</v>
      </c>
      <c r="J34" s="7"/>
      <c r="K34" s="7"/>
      <c r="L34" s="7">
        <f>COUNTIF($I$3:$I$29,"tie")</f>
        <v>0</v>
      </c>
    </row>
    <row r="35" spans="3:12" x14ac:dyDescent="0.15">
      <c r="I35" s="7" t="s">
        <v>98</v>
      </c>
      <c r="J35" s="7"/>
      <c r="K35" s="7"/>
      <c r="L35" s="7">
        <f>COUNTIF($I$3:$I$29,"abandoned")</f>
        <v>1</v>
      </c>
    </row>
    <row r="36" spans="3:12" x14ac:dyDescent="0.15">
      <c r="I36" s="7" t="s">
        <v>13</v>
      </c>
      <c r="J36" s="7"/>
      <c r="K36" s="7"/>
      <c r="L36" s="7">
        <f>COUNTIF($I$4:$I$29,"cancelled")</f>
        <v>3</v>
      </c>
    </row>
  </sheetData>
  <pageMargins left="0.41" right="0.51181102362204722" top="0.51181102362204722" bottom="0.51181102362204722" header="0.16" footer="0"/>
  <pageSetup paperSize="9" scale="51" orientation="landscape" verticalDpi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5"/>
  <sheetViews>
    <sheetView tabSelected="1" workbookViewId="0">
      <selection activeCell="D1" sqref="D1"/>
    </sheetView>
  </sheetViews>
  <sheetFormatPr defaultColWidth="9.6640625" defaultRowHeight="14.25" x14ac:dyDescent="0.15"/>
  <cols>
    <col min="1" max="1" width="10.8984375" style="1" customWidth="1"/>
    <col min="2" max="2" width="10.5625" style="1" bestFit="1" customWidth="1"/>
    <col min="3" max="4" width="8.08984375" style="1" customWidth="1"/>
    <col min="5" max="5" width="9.6640625" style="1" customWidth="1"/>
    <col min="6" max="7" width="6.7421875" style="1" customWidth="1"/>
    <col min="8" max="8" width="9.6640625" style="1" customWidth="1"/>
    <col min="9" max="9" width="7.75390625" style="1" customWidth="1"/>
    <col min="10" max="10" width="8.76171875" style="1" customWidth="1"/>
    <col min="11" max="12" width="6.7421875" style="1" customWidth="1"/>
    <col min="13" max="14" width="8.76171875" style="1" customWidth="1"/>
    <col min="15" max="16384" width="9.6640625" style="1"/>
  </cols>
  <sheetData>
    <row r="1" spans="1:254" ht="23.1" customHeight="1" x14ac:dyDescent="0.2">
      <c r="A1" s="2" t="s">
        <v>121</v>
      </c>
      <c r="D1" s="33">
        <f>'Match Summary'!D1</f>
        <v>2015</v>
      </c>
    </row>
    <row r="2" spans="1:254" ht="31.5" customHeight="1" x14ac:dyDescent="0.15">
      <c r="A2" s="8" t="s">
        <v>24</v>
      </c>
      <c r="B2" s="8"/>
      <c r="C2" s="4" t="s">
        <v>53</v>
      </c>
      <c r="D2" s="4" t="s">
        <v>54</v>
      </c>
      <c r="E2" s="4" t="s">
        <v>55</v>
      </c>
      <c r="F2" s="4" t="s">
        <v>56</v>
      </c>
      <c r="G2" s="4" t="s">
        <v>57</v>
      </c>
      <c r="H2" s="4" t="s">
        <v>58</v>
      </c>
      <c r="I2" s="4" t="s">
        <v>59</v>
      </c>
      <c r="J2" s="4" t="s">
        <v>60</v>
      </c>
      <c r="K2" s="4" t="s">
        <v>61</v>
      </c>
      <c r="L2" s="4" t="s">
        <v>62</v>
      </c>
      <c r="M2" s="4" t="s">
        <v>87</v>
      </c>
      <c r="N2" s="4" t="s">
        <v>97</v>
      </c>
      <c r="O2" s="4" t="s">
        <v>63</v>
      </c>
      <c r="P2" s="4" t="s">
        <v>64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x14ac:dyDescent="0.15">
      <c r="A3" s="120" t="s">
        <v>220</v>
      </c>
      <c r="B3" s="120" t="s">
        <v>186</v>
      </c>
      <c r="C3" s="121">
        <v>11</v>
      </c>
      <c r="D3" s="121">
        <v>11</v>
      </c>
      <c r="E3" s="120">
        <v>474</v>
      </c>
      <c r="F3" s="120">
        <v>3</v>
      </c>
      <c r="G3" s="120">
        <v>0</v>
      </c>
      <c r="H3" s="120">
        <v>509</v>
      </c>
      <c r="I3" s="120">
        <v>579</v>
      </c>
      <c r="J3" s="127">
        <v>105</v>
      </c>
      <c r="K3" s="120">
        <v>1</v>
      </c>
      <c r="L3" s="120">
        <v>3</v>
      </c>
      <c r="M3" s="120">
        <v>60</v>
      </c>
      <c r="N3" s="120">
        <v>7</v>
      </c>
      <c r="O3" s="125">
        <f>IF((D3-F3)=0,"--",E3/(D3-F3))</f>
        <v>59.25</v>
      </c>
      <c r="P3" s="125">
        <f>IF(H3=0,"--",E3/H3*100)</f>
        <v>93.123772102161098</v>
      </c>
      <c r="Q3" s="17"/>
    </row>
    <row r="4" spans="1:254" x14ac:dyDescent="0.15">
      <c r="A4" s="1" t="s">
        <v>30</v>
      </c>
      <c r="B4" s="67" t="s">
        <v>48</v>
      </c>
      <c r="C4" s="1">
        <v>15</v>
      </c>
      <c r="D4" s="1">
        <v>12</v>
      </c>
      <c r="E4" s="1">
        <v>470</v>
      </c>
      <c r="F4" s="1">
        <v>3</v>
      </c>
      <c r="G4" s="1">
        <v>0</v>
      </c>
      <c r="H4" s="1">
        <v>443</v>
      </c>
      <c r="I4" s="1">
        <v>540</v>
      </c>
      <c r="J4" s="63">
        <v>104</v>
      </c>
      <c r="K4" s="1">
        <v>1</v>
      </c>
      <c r="L4" s="1">
        <v>3</v>
      </c>
      <c r="M4" s="1">
        <v>67</v>
      </c>
      <c r="N4" s="1">
        <v>2</v>
      </c>
      <c r="O4" s="18">
        <f>IF((D4-F4)=0,"--",E4/(D4-F4))</f>
        <v>52.222222222222221</v>
      </c>
      <c r="P4" s="18">
        <f>IF(H4=0,"--",E4/H4*100)</f>
        <v>106.09480812641084</v>
      </c>
      <c r="Q4" s="17"/>
    </row>
    <row r="5" spans="1:254" x14ac:dyDescent="0.15">
      <c r="A5" s="17" t="s">
        <v>112</v>
      </c>
      <c r="B5" s="17" t="s">
        <v>111</v>
      </c>
      <c r="C5" s="1">
        <v>15</v>
      </c>
      <c r="D5" s="1">
        <v>14</v>
      </c>
      <c r="E5" s="1">
        <v>418</v>
      </c>
      <c r="F5" s="1">
        <v>2</v>
      </c>
      <c r="G5" s="1">
        <v>2</v>
      </c>
      <c r="H5" s="1">
        <v>586</v>
      </c>
      <c r="I5" s="1">
        <v>680</v>
      </c>
      <c r="J5" s="63">
        <v>89</v>
      </c>
      <c r="K5" s="1">
        <v>0</v>
      </c>
      <c r="L5" s="1">
        <v>3</v>
      </c>
      <c r="M5" s="1">
        <v>69</v>
      </c>
      <c r="N5" s="1">
        <v>0</v>
      </c>
      <c r="O5" s="18">
        <f>IF((D5-F5)=0,"--",E5/(D5-F5))</f>
        <v>34.833333333333336</v>
      </c>
      <c r="P5" s="18">
        <f>IF(H5=0,"--",E5/H5*100)</f>
        <v>71.331058020477812</v>
      </c>
    </row>
    <row r="6" spans="1:254" x14ac:dyDescent="0.15">
      <c r="A6" s="17" t="s">
        <v>159</v>
      </c>
      <c r="B6" s="17" t="s">
        <v>160</v>
      </c>
      <c r="C6" s="1">
        <v>15</v>
      </c>
      <c r="D6" s="1">
        <v>13</v>
      </c>
      <c r="E6" s="1">
        <v>393</v>
      </c>
      <c r="F6" s="1">
        <v>0</v>
      </c>
      <c r="G6" s="1">
        <v>1</v>
      </c>
      <c r="H6" s="1">
        <v>598</v>
      </c>
      <c r="I6" s="1">
        <v>638</v>
      </c>
      <c r="J6" s="63">
        <v>96</v>
      </c>
      <c r="K6" s="1">
        <v>0</v>
      </c>
      <c r="L6" s="1">
        <v>2</v>
      </c>
      <c r="M6" s="1">
        <v>68</v>
      </c>
      <c r="N6" s="1">
        <v>0</v>
      </c>
      <c r="O6" s="18">
        <f>IF((D6-F6)=0,"--",E6/(D6-F6))</f>
        <v>30.23076923076923</v>
      </c>
      <c r="P6" s="18">
        <f>IF(H6=0,"--",E6/H6*100)</f>
        <v>65.719063545150505</v>
      </c>
    </row>
    <row r="7" spans="1:254" x14ac:dyDescent="0.15">
      <c r="A7" s="1" t="s">
        <v>33</v>
      </c>
      <c r="B7" s="17" t="s">
        <v>156</v>
      </c>
      <c r="C7" s="1">
        <v>19</v>
      </c>
      <c r="D7" s="1">
        <v>16</v>
      </c>
      <c r="E7" s="1">
        <v>444</v>
      </c>
      <c r="F7" s="1">
        <v>0</v>
      </c>
      <c r="G7" s="1">
        <v>1</v>
      </c>
      <c r="H7" s="1">
        <v>446</v>
      </c>
      <c r="I7" s="1">
        <v>496</v>
      </c>
      <c r="J7" s="63">
        <v>96</v>
      </c>
      <c r="K7" s="1">
        <v>0</v>
      </c>
      <c r="L7" s="1">
        <v>1</v>
      </c>
      <c r="M7" s="1">
        <v>61</v>
      </c>
      <c r="N7" s="1">
        <v>11</v>
      </c>
      <c r="O7" s="18">
        <f>IF((D7-F7)=0,"--",E7/(D7-F7))</f>
        <v>27.75</v>
      </c>
      <c r="P7" s="18">
        <f>IF(H7=0,"--",E7/H7*100)</f>
        <v>99.551569506726452</v>
      </c>
    </row>
    <row r="8" spans="1:254" x14ac:dyDescent="0.15">
      <c r="A8" s="1" t="s">
        <v>26</v>
      </c>
      <c r="B8" s="1" t="s">
        <v>40</v>
      </c>
      <c r="C8" s="1">
        <v>9</v>
      </c>
      <c r="D8" s="1">
        <v>9</v>
      </c>
      <c r="E8" s="1">
        <v>222</v>
      </c>
      <c r="F8" s="1">
        <v>1</v>
      </c>
      <c r="G8" s="1">
        <v>0</v>
      </c>
      <c r="H8" s="1">
        <v>376</v>
      </c>
      <c r="I8" s="1">
        <v>393</v>
      </c>
      <c r="J8" s="63">
        <v>100</v>
      </c>
      <c r="K8" s="1">
        <v>1</v>
      </c>
      <c r="L8" s="1">
        <v>0</v>
      </c>
      <c r="M8" s="1">
        <v>30</v>
      </c>
      <c r="N8" s="1">
        <v>3</v>
      </c>
      <c r="O8" s="18">
        <f>IF((D8-F8)=0,"--",E8/(D8-F8))</f>
        <v>27.75</v>
      </c>
      <c r="P8" s="18">
        <f>IF(H8=0,"--",E8/H8*100)</f>
        <v>59.042553191489368</v>
      </c>
    </row>
    <row r="9" spans="1:254" x14ac:dyDescent="0.15">
      <c r="A9" s="1" t="s">
        <v>32</v>
      </c>
      <c r="B9" s="1" t="s">
        <v>47</v>
      </c>
      <c r="C9" s="1">
        <v>21</v>
      </c>
      <c r="D9" s="1">
        <v>21</v>
      </c>
      <c r="E9" s="1">
        <v>526</v>
      </c>
      <c r="F9" s="1">
        <v>2</v>
      </c>
      <c r="G9" s="1">
        <v>1</v>
      </c>
      <c r="H9" s="1">
        <v>724</v>
      </c>
      <c r="I9" s="1">
        <v>738</v>
      </c>
      <c r="J9" s="63">
        <v>85</v>
      </c>
      <c r="K9" s="1">
        <v>0</v>
      </c>
      <c r="L9" s="1">
        <v>4</v>
      </c>
      <c r="M9" s="1">
        <v>76</v>
      </c>
      <c r="N9" s="1">
        <v>7</v>
      </c>
      <c r="O9" s="18">
        <f>IF((D9-F9)=0,"--",E9/(D9-F9))</f>
        <v>27.684210526315791</v>
      </c>
      <c r="P9" s="18">
        <f>IF(H9=0,"--",E9/H9*100)</f>
        <v>72.651933701657455</v>
      </c>
    </row>
    <row r="10" spans="1:254" x14ac:dyDescent="0.15">
      <c r="A10" s="17" t="s">
        <v>187</v>
      </c>
      <c r="B10" s="17" t="s">
        <v>185</v>
      </c>
      <c r="C10" s="1">
        <v>11</v>
      </c>
      <c r="D10" s="1">
        <v>8</v>
      </c>
      <c r="E10" s="17">
        <v>85</v>
      </c>
      <c r="F10" s="17">
        <v>1</v>
      </c>
      <c r="G10" s="17">
        <v>1</v>
      </c>
      <c r="H10" s="17">
        <v>179</v>
      </c>
      <c r="I10" s="17">
        <v>220</v>
      </c>
      <c r="J10" s="63">
        <v>27</v>
      </c>
      <c r="K10" s="17">
        <v>0</v>
      </c>
      <c r="L10" s="17">
        <v>0</v>
      </c>
      <c r="M10" s="17">
        <v>15</v>
      </c>
      <c r="N10" s="17">
        <v>0</v>
      </c>
      <c r="O10" s="18">
        <f>IF((D10-F10)=0,"--",E10/(D10-F10))</f>
        <v>12.142857142857142</v>
      </c>
      <c r="P10" s="18">
        <f>IF(H10=0,"--",E10/H10*100)</f>
        <v>47.486033519553075</v>
      </c>
    </row>
    <row r="11" spans="1:254" x14ac:dyDescent="0.15">
      <c r="A11" s="1" t="s">
        <v>28</v>
      </c>
      <c r="B11" s="1" t="s">
        <v>50</v>
      </c>
      <c r="C11" s="1">
        <v>10</v>
      </c>
      <c r="D11" s="1">
        <v>6</v>
      </c>
      <c r="E11" s="1">
        <v>27</v>
      </c>
      <c r="F11" s="1">
        <v>3</v>
      </c>
      <c r="G11" s="1">
        <v>0</v>
      </c>
      <c r="H11" s="1">
        <v>62</v>
      </c>
      <c r="I11" s="1">
        <v>57</v>
      </c>
      <c r="J11" s="63">
        <v>9</v>
      </c>
      <c r="K11" s="1">
        <v>0</v>
      </c>
      <c r="L11" s="1">
        <v>0</v>
      </c>
      <c r="M11" s="1">
        <v>2</v>
      </c>
      <c r="N11" s="1">
        <v>0</v>
      </c>
      <c r="O11" s="18">
        <f>IF((D11-F11)=0,"--",E11/(D11-F11))</f>
        <v>9</v>
      </c>
      <c r="P11" s="18">
        <f>IF(H11=0,"--",E11/H11*100)</f>
        <v>43.548387096774192</v>
      </c>
    </row>
    <row r="12" spans="1:254" x14ac:dyDescent="0.15">
      <c r="A12" s="1" t="s">
        <v>31</v>
      </c>
      <c r="B12" s="1" t="s">
        <v>45</v>
      </c>
      <c r="C12" s="1">
        <v>11</v>
      </c>
      <c r="D12" s="1">
        <v>6</v>
      </c>
      <c r="E12" s="1">
        <v>43</v>
      </c>
      <c r="F12" s="1">
        <v>1</v>
      </c>
      <c r="G12" s="1">
        <v>1</v>
      </c>
      <c r="H12" s="1">
        <v>47</v>
      </c>
      <c r="I12" s="1">
        <v>79</v>
      </c>
      <c r="J12" s="63">
        <v>14</v>
      </c>
      <c r="K12" s="1">
        <v>0</v>
      </c>
      <c r="L12" s="1">
        <v>0</v>
      </c>
      <c r="M12" s="1">
        <v>6</v>
      </c>
      <c r="N12" s="1">
        <v>0</v>
      </c>
      <c r="O12" s="18">
        <f>IF((D12-F12)=0,"--",E12/(D12-F12))</f>
        <v>8.6</v>
      </c>
      <c r="P12" s="18">
        <f>IF(H12=0,"--",E12/H12*100)</f>
        <v>91.489361702127653</v>
      </c>
    </row>
    <row r="13" spans="1:254" x14ac:dyDescent="0.15">
      <c r="A13" s="1" t="s">
        <v>34</v>
      </c>
      <c r="B13" s="1" t="s">
        <v>49</v>
      </c>
      <c r="C13" s="1">
        <v>19</v>
      </c>
      <c r="D13" s="1">
        <v>9</v>
      </c>
      <c r="E13" s="1">
        <v>30</v>
      </c>
      <c r="F13" s="1">
        <v>5</v>
      </c>
      <c r="G13" s="1">
        <v>2</v>
      </c>
      <c r="H13" s="1">
        <v>51</v>
      </c>
      <c r="I13" s="1">
        <v>76</v>
      </c>
      <c r="J13" s="63">
        <v>11</v>
      </c>
      <c r="K13" s="1">
        <v>0</v>
      </c>
      <c r="L13" s="1">
        <v>0</v>
      </c>
      <c r="M13" s="1">
        <v>5</v>
      </c>
      <c r="N13" s="1">
        <v>0</v>
      </c>
      <c r="O13" s="18">
        <f>IF((D13-F13)=0,"--",E13/(D13-F13))</f>
        <v>7.5</v>
      </c>
      <c r="P13" s="18">
        <f>IF(H13=0,"--",E13/H13*100)</f>
        <v>58.82352941176471</v>
      </c>
    </row>
    <row r="14" spans="1:254" x14ac:dyDescent="0.15">
      <c r="A14" s="17" t="s">
        <v>276</v>
      </c>
      <c r="B14" s="17" t="s">
        <v>268</v>
      </c>
      <c r="C14" s="1">
        <v>7</v>
      </c>
      <c r="D14" s="1">
        <v>6</v>
      </c>
      <c r="E14" s="17">
        <v>30</v>
      </c>
      <c r="F14" s="17">
        <v>1</v>
      </c>
      <c r="G14" s="17">
        <v>0</v>
      </c>
      <c r="H14" s="17">
        <v>72</v>
      </c>
      <c r="I14" s="17">
        <v>72</v>
      </c>
      <c r="J14" s="63">
        <v>12</v>
      </c>
      <c r="K14" s="17">
        <v>0</v>
      </c>
      <c r="L14" s="17">
        <v>0</v>
      </c>
      <c r="M14" s="17">
        <v>4</v>
      </c>
      <c r="N14" s="17">
        <v>0</v>
      </c>
      <c r="O14" s="18">
        <f>IF((D14-F14)=0,"--",E14/(D14-F14))</f>
        <v>6</v>
      </c>
      <c r="P14" s="18">
        <f>IF(H14=0,"--",E14/H14*100)</f>
        <v>41.666666666666671</v>
      </c>
    </row>
    <row r="15" spans="1:254" x14ac:dyDescent="0.15">
      <c r="A15" s="1" t="s">
        <v>30</v>
      </c>
      <c r="B15" s="1" t="s">
        <v>44</v>
      </c>
      <c r="C15" s="1">
        <v>21</v>
      </c>
      <c r="D15" s="1">
        <v>6</v>
      </c>
      <c r="E15" s="1">
        <v>13</v>
      </c>
      <c r="F15" s="1">
        <v>2</v>
      </c>
      <c r="G15" s="1">
        <v>2</v>
      </c>
      <c r="H15" s="1">
        <v>58</v>
      </c>
      <c r="I15" s="1">
        <v>63</v>
      </c>
      <c r="J15" s="63">
        <v>10</v>
      </c>
      <c r="K15" s="1">
        <v>0</v>
      </c>
      <c r="L15" s="1">
        <v>0</v>
      </c>
      <c r="M15" s="1">
        <v>1</v>
      </c>
      <c r="N15" s="1">
        <v>0</v>
      </c>
      <c r="O15" s="18">
        <f>IF((D15-F15)=0,"--",E15/(D15-F15))</f>
        <v>3.25</v>
      </c>
      <c r="P15" s="18">
        <f>IF(H15=0,"--",E15/H15*100)</f>
        <v>22.413793103448278</v>
      </c>
    </row>
    <row r="16" spans="1:254" x14ac:dyDescent="0.15">
      <c r="A16" s="1" t="s">
        <v>35</v>
      </c>
      <c r="B16" s="1" t="s">
        <v>103</v>
      </c>
      <c r="C16" s="1">
        <v>8</v>
      </c>
      <c r="D16" s="1">
        <v>7</v>
      </c>
      <c r="E16" s="1">
        <v>17</v>
      </c>
      <c r="F16" s="1">
        <v>1</v>
      </c>
      <c r="G16" s="1">
        <v>3</v>
      </c>
      <c r="H16" s="1">
        <v>60</v>
      </c>
      <c r="I16" s="1">
        <v>74</v>
      </c>
      <c r="J16" s="63">
        <v>6</v>
      </c>
      <c r="K16" s="1">
        <v>0</v>
      </c>
      <c r="L16" s="1">
        <v>0</v>
      </c>
      <c r="M16" s="1">
        <v>2</v>
      </c>
      <c r="N16" s="1">
        <v>0</v>
      </c>
      <c r="O16" s="18">
        <f>IF((D16-F16)=0,"--",E16/(D16-F16))</f>
        <v>2.8333333333333335</v>
      </c>
      <c r="P16" s="18">
        <f>IF(H16=0,"--",E16/H16*100)</f>
        <v>28.333333333333332</v>
      </c>
    </row>
    <row r="17" spans="1:16" x14ac:dyDescent="0.15">
      <c r="A17" s="1" t="s">
        <v>38</v>
      </c>
      <c r="B17" s="17" t="s">
        <v>117</v>
      </c>
      <c r="C17" s="1">
        <v>14</v>
      </c>
      <c r="D17" s="1">
        <v>8</v>
      </c>
      <c r="E17" s="1">
        <v>9</v>
      </c>
      <c r="F17" s="1">
        <v>1</v>
      </c>
      <c r="G17" s="1">
        <v>2</v>
      </c>
      <c r="H17" s="1">
        <v>69</v>
      </c>
      <c r="I17" s="1">
        <v>68</v>
      </c>
      <c r="J17" s="63">
        <v>5</v>
      </c>
      <c r="K17" s="1">
        <v>0</v>
      </c>
      <c r="L17" s="1">
        <v>0</v>
      </c>
      <c r="M17" s="1">
        <v>1</v>
      </c>
      <c r="N17" s="1">
        <v>0</v>
      </c>
      <c r="O17" s="18">
        <f>IF((D17-F17)=0,"--",E17/(D17-F17))</f>
        <v>1.2857142857142858</v>
      </c>
      <c r="P17" s="18">
        <f>IF(H17=0,"--",E17/H17*100)</f>
        <v>13.043478260869565</v>
      </c>
    </row>
    <row r="18" spans="1:16" x14ac:dyDescent="0.15">
      <c r="J18" s="63"/>
      <c r="O18" s="18"/>
      <c r="P18" s="18"/>
    </row>
    <row r="19" spans="1:16" x14ac:dyDescent="0.15">
      <c r="A19" s="1" t="s">
        <v>107</v>
      </c>
      <c r="B19" s="17" t="s">
        <v>96</v>
      </c>
      <c r="J19" s="63"/>
      <c r="O19" s="18"/>
      <c r="P19" s="18"/>
    </row>
    <row r="20" spans="1:16" x14ac:dyDescent="0.15">
      <c r="A20" s="17" t="s">
        <v>318</v>
      </c>
      <c r="B20" s="17" t="s">
        <v>319</v>
      </c>
      <c r="J20" s="63"/>
      <c r="O20" s="18"/>
      <c r="P20" s="18"/>
    </row>
    <row r="21" spans="1:16" x14ac:dyDescent="0.15">
      <c r="A21" s="17"/>
      <c r="B21" s="17"/>
      <c r="J21" s="63"/>
      <c r="O21" s="18"/>
      <c r="P21" s="18"/>
    </row>
    <row r="22" spans="1:16" x14ac:dyDescent="0.15">
      <c r="A22" s="17" t="s">
        <v>320</v>
      </c>
      <c r="B22" s="17"/>
      <c r="J22" s="63"/>
      <c r="O22" s="18"/>
      <c r="P22" s="18"/>
    </row>
    <row r="23" spans="1:16" x14ac:dyDescent="0.15">
      <c r="A23" s="1" t="s">
        <v>99</v>
      </c>
      <c r="B23" s="1" t="s">
        <v>100</v>
      </c>
      <c r="C23" s="1">
        <v>3</v>
      </c>
      <c r="D23" s="1">
        <v>3</v>
      </c>
      <c r="E23" s="1">
        <v>64</v>
      </c>
      <c r="F23" s="1">
        <v>2</v>
      </c>
      <c r="G23" s="1">
        <v>0</v>
      </c>
      <c r="H23" s="1">
        <v>56</v>
      </c>
      <c r="I23" s="1">
        <v>69</v>
      </c>
      <c r="J23" s="63">
        <v>32</v>
      </c>
      <c r="K23" s="1">
        <v>0</v>
      </c>
      <c r="L23" s="1">
        <v>0</v>
      </c>
      <c r="M23" s="1">
        <v>7</v>
      </c>
      <c r="N23" s="1">
        <v>2</v>
      </c>
      <c r="O23" s="18">
        <f>IF((D23-F23)=0,"--",E23/(D23-F23))</f>
        <v>64</v>
      </c>
      <c r="P23" s="18">
        <f>IF(H23=0,"--",E23/H23*100)</f>
        <v>114.28571428571428</v>
      </c>
    </row>
    <row r="24" spans="1:16" x14ac:dyDescent="0.15">
      <c r="A24" s="1" t="s">
        <v>27</v>
      </c>
      <c r="B24" s="1" t="s">
        <v>41</v>
      </c>
      <c r="C24" s="1">
        <v>4</v>
      </c>
      <c r="D24" s="1">
        <v>4</v>
      </c>
      <c r="E24" s="1">
        <v>176</v>
      </c>
      <c r="F24" s="1">
        <v>1</v>
      </c>
      <c r="G24" s="1">
        <v>0</v>
      </c>
      <c r="H24" s="1">
        <v>161</v>
      </c>
      <c r="I24" s="1">
        <v>80</v>
      </c>
      <c r="J24" s="63">
        <v>109</v>
      </c>
      <c r="K24" s="1">
        <v>1</v>
      </c>
      <c r="L24" s="1">
        <v>0</v>
      </c>
      <c r="M24" s="1">
        <v>23</v>
      </c>
      <c r="N24" s="1">
        <v>3</v>
      </c>
      <c r="O24" s="18">
        <f>IF((D24-F24)=0,"--",E24/(D24-F24))</f>
        <v>58.666666666666664</v>
      </c>
      <c r="P24" s="18">
        <f>IF(H24=0,"--",E24/H24*100)</f>
        <v>109.3167701863354</v>
      </c>
    </row>
    <row r="25" spans="1:16" x14ac:dyDescent="0.15">
      <c r="A25" s="1" t="s">
        <v>37</v>
      </c>
      <c r="B25" s="1" t="s">
        <v>52</v>
      </c>
      <c r="C25" s="1">
        <v>1</v>
      </c>
      <c r="D25" s="1">
        <v>1</v>
      </c>
      <c r="E25" s="1">
        <v>39</v>
      </c>
      <c r="F25" s="1">
        <v>0</v>
      </c>
      <c r="G25" s="1">
        <v>0</v>
      </c>
      <c r="H25" s="1">
        <v>46</v>
      </c>
      <c r="I25" s="1">
        <v>42</v>
      </c>
      <c r="J25" s="63">
        <v>39</v>
      </c>
      <c r="K25" s="1">
        <v>0</v>
      </c>
      <c r="L25" s="1">
        <v>0</v>
      </c>
      <c r="M25" s="1">
        <v>4</v>
      </c>
      <c r="N25" s="1">
        <v>0</v>
      </c>
      <c r="O25" s="18">
        <f>IF((D25-F25)=0,"--",E25/(D25-F25))</f>
        <v>39</v>
      </c>
      <c r="P25" s="18">
        <f>IF(H25=0,"--",E25/H25*100)</f>
        <v>84.782608695652172</v>
      </c>
    </row>
    <row r="26" spans="1:16" x14ac:dyDescent="0.15">
      <c r="A26" s="17" t="s">
        <v>276</v>
      </c>
      <c r="B26" s="17" t="s">
        <v>301</v>
      </c>
      <c r="C26" s="1">
        <v>3</v>
      </c>
      <c r="D26" s="1">
        <v>3</v>
      </c>
      <c r="E26" s="17">
        <v>53</v>
      </c>
      <c r="F26" s="17">
        <v>1</v>
      </c>
      <c r="G26" s="17">
        <v>0</v>
      </c>
      <c r="H26" s="17">
        <v>101</v>
      </c>
      <c r="I26" s="17">
        <v>120</v>
      </c>
      <c r="J26" s="63"/>
      <c r="K26" s="17">
        <v>0</v>
      </c>
      <c r="L26" s="17">
        <v>0</v>
      </c>
      <c r="M26" s="17">
        <v>7</v>
      </c>
      <c r="N26" s="17">
        <v>0</v>
      </c>
      <c r="O26" s="18">
        <f>IF((D26-F26)=0,"--",E26/(D26-F26))</f>
        <v>26.5</v>
      </c>
      <c r="P26" s="18">
        <f>IF(H26=0,"--",E26/H26*100)</f>
        <v>52.475247524752476</v>
      </c>
    </row>
    <row r="27" spans="1:16" x14ac:dyDescent="0.15">
      <c r="A27" s="1" t="s">
        <v>29</v>
      </c>
      <c r="B27" s="1" t="s">
        <v>43</v>
      </c>
      <c r="C27" s="1">
        <v>3</v>
      </c>
      <c r="D27" s="1">
        <v>3</v>
      </c>
      <c r="E27" s="1">
        <v>37</v>
      </c>
      <c r="F27" s="1">
        <v>1</v>
      </c>
      <c r="G27" s="1">
        <v>0</v>
      </c>
      <c r="H27" s="1">
        <v>29</v>
      </c>
      <c r="I27" s="1">
        <v>26</v>
      </c>
      <c r="J27" s="63">
        <v>27</v>
      </c>
      <c r="K27" s="1">
        <v>0</v>
      </c>
      <c r="L27" s="1">
        <v>0</v>
      </c>
      <c r="M27" s="1">
        <v>8</v>
      </c>
      <c r="N27" s="1">
        <v>0</v>
      </c>
      <c r="O27" s="18">
        <f>IF((D27-F27)=0,"--",E27/(D27-F27))</f>
        <v>18.5</v>
      </c>
      <c r="P27" s="18">
        <f>IF(H27=0,"--",E27/H27*100)</f>
        <v>127.58620689655173</v>
      </c>
    </row>
    <row r="28" spans="1:16" x14ac:dyDescent="0.15">
      <c r="A28" s="1" t="s">
        <v>28</v>
      </c>
      <c r="B28" s="1" t="s">
        <v>42</v>
      </c>
      <c r="C28" s="1">
        <v>4</v>
      </c>
      <c r="D28" s="1">
        <v>4</v>
      </c>
      <c r="E28" s="1">
        <v>48</v>
      </c>
      <c r="F28" s="1">
        <v>1</v>
      </c>
      <c r="G28" s="1">
        <v>0</v>
      </c>
      <c r="H28" s="1">
        <v>92</v>
      </c>
      <c r="I28" s="1">
        <v>101</v>
      </c>
      <c r="J28" s="63">
        <v>33</v>
      </c>
      <c r="K28" s="1">
        <v>0</v>
      </c>
      <c r="L28" s="1">
        <v>0</v>
      </c>
      <c r="M28" s="1">
        <v>7</v>
      </c>
      <c r="N28" s="1">
        <v>0</v>
      </c>
      <c r="O28" s="18">
        <f>IF((D28-F28)=0,"--",E28/(D28-F28))</f>
        <v>16</v>
      </c>
      <c r="P28" s="18">
        <f>IF(H28=0,"--",E28/H28*100)</f>
        <v>52.173913043478258</v>
      </c>
    </row>
    <row r="29" spans="1:16" x14ac:dyDescent="0.15">
      <c r="A29" s="1" t="s">
        <v>25</v>
      </c>
      <c r="B29" s="1" t="s">
        <v>39</v>
      </c>
      <c r="C29" s="1">
        <v>1</v>
      </c>
      <c r="D29" s="1">
        <v>1</v>
      </c>
      <c r="E29" s="1">
        <v>14</v>
      </c>
      <c r="F29" s="1">
        <v>0</v>
      </c>
      <c r="G29" s="1">
        <v>0</v>
      </c>
      <c r="H29" s="1">
        <v>20</v>
      </c>
      <c r="I29" s="1">
        <v>42</v>
      </c>
      <c r="J29" s="63">
        <v>14</v>
      </c>
      <c r="K29" s="1">
        <v>0</v>
      </c>
      <c r="L29" s="1">
        <v>0</v>
      </c>
      <c r="M29" s="1">
        <v>1</v>
      </c>
      <c r="N29" s="1">
        <v>0</v>
      </c>
      <c r="O29" s="18">
        <f>IF((D29-F29)=0,"--",E29/(D29-F29))</f>
        <v>14</v>
      </c>
      <c r="P29" s="18">
        <f>IF(H29=0,"--",E29/H29*100)</f>
        <v>70</v>
      </c>
    </row>
    <row r="30" spans="1:16" x14ac:dyDescent="0.15">
      <c r="A30" s="17"/>
      <c r="B30" s="17" t="s">
        <v>223</v>
      </c>
      <c r="C30" s="1">
        <v>1</v>
      </c>
      <c r="D30" s="1">
        <v>1</v>
      </c>
      <c r="E30" s="17">
        <v>13</v>
      </c>
      <c r="F30" s="17">
        <v>0</v>
      </c>
      <c r="G30" s="17">
        <v>0</v>
      </c>
      <c r="H30" s="17">
        <v>17</v>
      </c>
      <c r="I30" s="17">
        <v>23</v>
      </c>
      <c r="J30" s="63"/>
      <c r="K30" s="17">
        <v>0</v>
      </c>
      <c r="L30" s="17">
        <v>0</v>
      </c>
      <c r="M30" s="17">
        <v>0</v>
      </c>
      <c r="N30" s="17">
        <v>1</v>
      </c>
      <c r="O30" s="18">
        <f>IF((D30-F30)=0,"--",E30/(D30-F30))</f>
        <v>13</v>
      </c>
      <c r="P30" s="18">
        <f>IF(H30=0,"--",E30/H30*100)</f>
        <v>76.470588235294116</v>
      </c>
    </row>
    <row r="31" spans="1:16" x14ac:dyDescent="0.15">
      <c r="A31" s="17" t="s">
        <v>30</v>
      </c>
      <c r="B31" s="17" t="s">
        <v>239</v>
      </c>
      <c r="C31" s="1">
        <v>1</v>
      </c>
      <c r="D31" s="1">
        <v>1</v>
      </c>
      <c r="E31" s="17">
        <v>12</v>
      </c>
      <c r="F31" s="17">
        <v>0</v>
      </c>
      <c r="G31" s="17">
        <v>0</v>
      </c>
      <c r="H31" s="17">
        <v>36</v>
      </c>
      <c r="I31" s="17">
        <v>45</v>
      </c>
      <c r="J31" s="63">
        <v>12</v>
      </c>
      <c r="K31" s="17">
        <v>0</v>
      </c>
      <c r="L31" s="17">
        <v>0</v>
      </c>
      <c r="M31" s="17">
        <v>1</v>
      </c>
      <c r="N31" s="17">
        <v>0</v>
      </c>
      <c r="O31" s="18">
        <f>IF((D31-F31)=0,"--",E31/(D31-F31))</f>
        <v>12</v>
      </c>
      <c r="P31" s="18">
        <f>IF(H31=0,"--",E31/H31*100)</f>
        <v>33.333333333333329</v>
      </c>
    </row>
    <row r="32" spans="1:16" x14ac:dyDescent="0.15">
      <c r="A32" s="17" t="s">
        <v>104</v>
      </c>
      <c r="B32" s="17" t="s">
        <v>214</v>
      </c>
      <c r="C32" s="1">
        <v>7</v>
      </c>
      <c r="D32" s="1">
        <v>4</v>
      </c>
      <c r="E32" s="1">
        <v>19</v>
      </c>
      <c r="F32" s="1">
        <v>2</v>
      </c>
      <c r="G32" s="1">
        <v>2</v>
      </c>
      <c r="H32" s="1">
        <v>55</v>
      </c>
      <c r="I32" s="1">
        <v>61</v>
      </c>
      <c r="J32" s="63">
        <v>15</v>
      </c>
      <c r="K32" s="1">
        <v>0</v>
      </c>
      <c r="L32" s="1">
        <v>0</v>
      </c>
      <c r="M32" s="1">
        <v>2</v>
      </c>
      <c r="N32" s="1">
        <v>1</v>
      </c>
      <c r="O32" s="18">
        <f>IF((D32-F32)=0,"--",E32/(D32-F32))</f>
        <v>9.5</v>
      </c>
      <c r="P32" s="18">
        <f>IF(H32=0,"--",E32/H32*100)</f>
        <v>34.545454545454547</v>
      </c>
    </row>
    <row r="33" spans="1:16" x14ac:dyDescent="0.15">
      <c r="A33" s="17" t="s">
        <v>129</v>
      </c>
      <c r="B33" s="17" t="s">
        <v>128</v>
      </c>
      <c r="C33" s="1">
        <v>1</v>
      </c>
      <c r="D33" s="1">
        <v>1</v>
      </c>
      <c r="E33" s="1">
        <v>1</v>
      </c>
      <c r="F33" s="1">
        <v>0</v>
      </c>
      <c r="G33" s="1">
        <v>0</v>
      </c>
      <c r="H33" s="1">
        <v>3</v>
      </c>
      <c r="I33" s="1">
        <v>4</v>
      </c>
      <c r="J33" s="63">
        <v>1</v>
      </c>
      <c r="K33" s="1">
        <v>0</v>
      </c>
      <c r="L33" s="1">
        <v>0</v>
      </c>
      <c r="M33" s="1">
        <v>0</v>
      </c>
      <c r="N33" s="1">
        <v>0</v>
      </c>
      <c r="O33" s="18">
        <f>IF((D33-F33)=0,"--",E33/(D33-F33))</f>
        <v>1</v>
      </c>
      <c r="P33" s="18">
        <f>IF(H33=0,"--",E33/H33*100)</f>
        <v>33.333333333333329</v>
      </c>
    </row>
    <row r="34" spans="1:16" x14ac:dyDescent="0.15">
      <c r="A34" s="17" t="s">
        <v>295</v>
      </c>
      <c r="B34" s="67" t="s">
        <v>291</v>
      </c>
      <c r="C34" s="1">
        <v>2</v>
      </c>
      <c r="D34" s="1">
        <v>2</v>
      </c>
      <c r="E34" s="1">
        <v>1</v>
      </c>
      <c r="F34" s="1">
        <v>0</v>
      </c>
      <c r="G34" s="1">
        <v>1</v>
      </c>
      <c r="H34" s="1">
        <v>17</v>
      </c>
      <c r="I34" s="1">
        <v>18</v>
      </c>
      <c r="J34" s="63">
        <v>1</v>
      </c>
      <c r="K34" s="1">
        <v>0</v>
      </c>
      <c r="L34" s="1">
        <v>0</v>
      </c>
      <c r="M34" s="1">
        <v>0</v>
      </c>
      <c r="N34" s="1">
        <v>0</v>
      </c>
      <c r="O34" s="18">
        <f>IF((D34-F34)=0,"--",E34/(D34-F34))</f>
        <v>0.5</v>
      </c>
      <c r="P34" s="18">
        <f>IF(H34=0,"--",E34/H34*100)</f>
        <v>5.8823529411764701</v>
      </c>
    </row>
    <row r="35" spans="1:16" x14ac:dyDescent="0.15">
      <c r="A35" s="17" t="s">
        <v>300</v>
      </c>
      <c r="B35" s="17" t="s">
        <v>177</v>
      </c>
      <c r="C35" s="1">
        <v>1</v>
      </c>
      <c r="D35" s="1">
        <v>1</v>
      </c>
      <c r="E35" s="17">
        <v>0</v>
      </c>
      <c r="F35" s="17">
        <v>0</v>
      </c>
      <c r="G35" s="17">
        <v>1</v>
      </c>
      <c r="H35" s="17">
        <v>4</v>
      </c>
      <c r="I35" s="17">
        <v>7</v>
      </c>
      <c r="J35" s="63">
        <v>0</v>
      </c>
      <c r="K35" s="17">
        <v>0</v>
      </c>
      <c r="L35" s="17">
        <v>0</v>
      </c>
      <c r="M35" s="17">
        <v>0</v>
      </c>
      <c r="N35" s="17">
        <v>0</v>
      </c>
      <c r="O35" s="18">
        <f>IF((D35-F35)=0,"--",E35/(D35-F35))</f>
        <v>0</v>
      </c>
      <c r="P35" s="18">
        <f>IF(H35=0,"--",E35/H35*100)</f>
        <v>0</v>
      </c>
    </row>
    <row r="36" spans="1:16" x14ac:dyDescent="0.15">
      <c r="A36" s="17" t="s">
        <v>332</v>
      </c>
      <c r="B36" s="17" t="s">
        <v>284</v>
      </c>
      <c r="C36" s="1">
        <v>1</v>
      </c>
      <c r="D36" s="1">
        <v>1</v>
      </c>
      <c r="E36" s="17">
        <v>119</v>
      </c>
      <c r="F36" s="17">
        <v>1</v>
      </c>
      <c r="G36" s="17">
        <v>0</v>
      </c>
      <c r="H36" s="17">
        <v>74</v>
      </c>
      <c r="I36" s="17">
        <v>97</v>
      </c>
      <c r="J36" s="63">
        <v>119</v>
      </c>
      <c r="K36" s="17">
        <v>1</v>
      </c>
      <c r="L36" s="17">
        <v>0</v>
      </c>
      <c r="M36" s="17">
        <v>15</v>
      </c>
      <c r="N36" s="17">
        <v>3</v>
      </c>
      <c r="O36" s="18" t="str">
        <f>IF((D36-F36)=0,"--",E36/(D36-F36))</f>
        <v>--</v>
      </c>
      <c r="P36" s="18">
        <f>IF(H36=0,"--",E36/H36*100)</f>
        <v>160.81081081081081</v>
      </c>
    </row>
    <row r="37" spans="1:16" x14ac:dyDescent="0.15">
      <c r="A37" s="17" t="s">
        <v>333</v>
      </c>
      <c r="B37" s="17" t="s">
        <v>287</v>
      </c>
      <c r="C37" s="1">
        <v>1</v>
      </c>
      <c r="D37" s="1">
        <v>1</v>
      </c>
      <c r="E37" s="17">
        <v>37</v>
      </c>
      <c r="F37" s="17">
        <v>1</v>
      </c>
      <c r="G37" s="17">
        <v>0</v>
      </c>
      <c r="H37" s="17">
        <v>23</v>
      </c>
      <c r="I37" s="17">
        <v>34</v>
      </c>
      <c r="J37" s="63">
        <v>0</v>
      </c>
      <c r="K37" s="17">
        <v>0</v>
      </c>
      <c r="L37" s="17">
        <v>0</v>
      </c>
      <c r="M37" s="17">
        <v>7</v>
      </c>
      <c r="N37" s="17">
        <v>0</v>
      </c>
      <c r="O37" s="18" t="str">
        <f>IF((D37-F37)=0,"--",E37/(D37-F37))</f>
        <v>--</v>
      </c>
      <c r="P37" s="18">
        <f>IF(H37=0,"--",E37/H37*100)</f>
        <v>160.86956521739131</v>
      </c>
    </row>
    <row r="38" spans="1:16" x14ac:dyDescent="0.15">
      <c r="A38" s="17" t="s">
        <v>119</v>
      </c>
      <c r="B38" s="17" t="s">
        <v>118</v>
      </c>
      <c r="C38" s="1">
        <v>1</v>
      </c>
      <c r="D38" s="1">
        <v>1</v>
      </c>
      <c r="E38" s="1">
        <v>9</v>
      </c>
      <c r="F38" s="1">
        <v>1</v>
      </c>
      <c r="G38" s="1">
        <v>0</v>
      </c>
      <c r="H38" s="1">
        <v>6</v>
      </c>
      <c r="I38" s="1">
        <v>9</v>
      </c>
      <c r="J38" s="63">
        <v>9</v>
      </c>
      <c r="K38" s="1">
        <v>0</v>
      </c>
      <c r="L38" s="1">
        <v>0</v>
      </c>
      <c r="M38" s="1">
        <v>2</v>
      </c>
      <c r="N38" s="1">
        <v>0</v>
      </c>
      <c r="O38" s="18" t="str">
        <f>IF((D38-F38)=0,"--",E38/(D38-F38))</f>
        <v>--</v>
      </c>
      <c r="P38" s="18">
        <f>IF(H38=0,"--",E38/H38*100)</f>
        <v>150</v>
      </c>
    </row>
    <row r="39" spans="1:16" x14ac:dyDescent="0.15">
      <c r="A39" s="1" t="s">
        <v>101</v>
      </c>
      <c r="B39" s="1" t="s">
        <v>102</v>
      </c>
      <c r="C39" s="1">
        <v>5</v>
      </c>
      <c r="D39" s="1">
        <v>2</v>
      </c>
      <c r="E39" s="1">
        <v>0</v>
      </c>
      <c r="F39" s="1">
        <v>2</v>
      </c>
      <c r="G39" s="1">
        <v>0</v>
      </c>
      <c r="H39" s="1">
        <v>7</v>
      </c>
      <c r="I39" s="1">
        <v>9</v>
      </c>
      <c r="J39" s="63">
        <v>0</v>
      </c>
      <c r="K39" s="1">
        <v>0</v>
      </c>
      <c r="L39" s="1">
        <v>0</v>
      </c>
      <c r="M39" s="1">
        <v>0</v>
      </c>
      <c r="N39" s="1">
        <v>0</v>
      </c>
      <c r="O39" s="18" t="str">
        <f>IF((D39-F39)=0,"--",E39/(D39-F39))</f>
        <v>--</v>
      </c>
      <c r="P39" s="18">
        <f>IF(H39=0,"--",E39/H39*100)</f>
        <v>0</v>
      </c>
    </row>
    <row r="40" spans="1:16" hidden="1" x14ac:dyDescent="0.15">
      <c r="A40" s="1" t="s">
        <v>36</v>
      </c>
      <c r="B40" s="1" t="s">
        <v>51</v>
      </c>
      <c r="C40" s="1">
        <f>VLOOKUP(B40,'Team Sheet'!$A$2:AC$55,28,FALSE)</f>
        <v>3</v>
      </c>
      <c r="D40" s="1">
        <f>VLOOKUP($B40,'Team Sheet'!$A$2:$AC$55,29,FALSE)</f>
        <v>0</v>
      </c>
      <c r="E40" s="1">
        <f ca="1">SUMIF(team_name,$B40,bat_run)</f>
        <v>0</v>
      </c>
      <c r="F40" s="1">
        <f ca="1">SUMIF(team_name,$B40,bat_no)</f>
        <v>0</v>
      </c>
      <c r="G40" s="1">
        <f ca="1">SUMIF(team_name,$B40,bat_duck)</f>
        <v>0</v>
      </c>
      <c r="H40" s="1">
        <f ca="1">SUMIF(team_name,$B40,bat_balls)</f>
        <v>0</v>
      </c>
      <c r="I40" s="1">
        <f ca="1">SUMIF(team_name,$B40,bat_mins)</f>
        <v>0</v>
      </c>
      <c r="J40" s="63">
        <f>DMAX(team_data_all,"bat_run",Russell_T)</f>
        <v>0</v>
      </c>
      <c r="K40" s="1">
        <f ca="1">SUMIF(team_name,$B40,bat_100)</f>
        <v>0</v>
      </c>
      <c r="L40" s="1">
        <f ca="1">SUMIF(team_name,$B40,bat_50)</f>
        <v>0</v>
      </c>
      <c r="M40" s="1">
        <f ca="1">SUMIF(team_name,$B40,bat_4s)</f>
        <v>0</v>
      </c>
      <c r="N40" s="1">
        <f ca="1">SUMIF(team_name,$B40,bat_6s)</f>
        <v>0</v>
      </c>
      <c r="O40" s="18" t="str">
        <f ca="1">IF((D40-F40)=0,"--",E40/(D40-F40))</f>
        <v>--</v>
      </c>
      <c r="P40" s="18" t="str">
        <f ca="1">IF(H40=0,"--",E40/H40*100)</f>
        <v>--</v>
      </c>
    </row>
    <row r="41" spans="1:16" hidden="1" x14ac:dyDescent="0.15">
      <c r="A41" s="17" t="s">
        <v>194</v>
      </c>
      <c r="B41" s="17" t="s">
        <v>198</v>
      </c>
      <c r="C41" s="1">
        <f>VLOOKUP(B41,'Team Sheet'!$A$2:AC$55,28,FALSE)</f>
        <v>1</v>
      </c>
      <c r="D41" s="1">
        <f>VLOOKUP($B41,'Team Sheet'!$A$2:$AC$55,29,FALSE)</f>
        <v>0</v>
      </c>
      <c r="E41" s="1">
        <f ca="1">SUMIF(team_name,$B41,bat_run)</f>
        <v>0</v>
      </c>
      <c r="F41" s="17">
        <f ca="1">SUMIF(team_name,$B41,bat_no)</f>
        <v>0</v>
      </c>
      <c r="G41" s="17">
        <f ca="1">SUMIF(team_name,$B41,bat_duck)</f>
        <v>0</v>
      </c>
      <c r="H41" s="17">
        <f ca="1">SUMIF(team_name,$B41,bat_balls)</f>
        <v>0</v>
      </c>
      <c r="I41" s="17">
        <f ca="1">SUMIF(team_name,$B41,bat_mins)</f>
        <v>0</v>
      </c>
      <c r="J41" s="63">
        <f>DMAX(team_data_all,"bat_run",McClos_F)</f>
        <v>0</v>
      </c>
      <c r="K41" s="17">
        <f ca="1">SUMIF(team_name,$B41,bat_100)</f>
        <v>0</v>
      </c>
      <c r="L41" s="17">
        <f ca="1">SUMIF(team_name,$B41,bat_50)</f>
        <v>0</v>
      </c>
      <c r="M41" s="17">
        <f ca="1">SUMIF(team_name,$B41,bat_4s)</f>
        <v>0</v>
      </c>
      <c r="N41" s="17">
        <f ca="1">SUMIF(team_name,$B41,bat_6s)</f>
        <v>0</v>
      </c>
      <c r="O41" s="18" t="str">
        <f ca="1">IF((D41-F41)=0,"--",E41/(D41-F41))</f>
        <v>--</v>
      </c>
      <c r="P41" s="18" t="str">
        <f ca="1">IF(H41=0,"--",E41/H41*100)</f>
        <v>--</v>
      </c>
    </row>
    <row r="42" spans="1:16" x14ac:dyDescent="0.15">
      <c r="A42" s="17"/>
      <c r="B42" s="17" t="s">
        <v>174</v>
      </c>
      <c r="E42" s="1">
        <f ca="1">SUMIF(team_name,$B42,bat_run)</f>
        <v>385</v>
      </c>
      <c r="F42" s="17"/>
      <c r="G42" s="17"/>
      <c r="H42" s="17"/>
      <c r="I42" s="17"/>
      <c r="J42" s="63"/>
      <c r="K42" s="17"/>
      <c r="L42" s="17"/>
      <c r="M42" s="17"/>
      <c r="N42" s="17"/>
      <c r="O42" s="18"/>
      <c r="P42" s="18"/>
    </row>
    <row r="43" spans="1:16" x14ac:dyDescent="0.15">
      <c r="E43" s="17">
        <f ca="1">SUM(E3:E42)</f>
        <v>4228</v>
      </c>
      <c r="F43" s="17">
        <f ca="1">SUM(F3:F42)</f>
        <v>39</v>
      </c>
      <c r="G43" s="17">
        <f ca="1">SUM(G3:G42)</f>
        <v>20</v>
      </c>
      <c r="H43" s="17">
        <f ca="1">SUM(H3:H42)</f>
        <v>5027</v>
      </c>
      <c r="I43" s="17">
        <f ca="1">SUM(I3:I42)</f>
        <v>5560</v>
      </c>
      <c r="J43" s="17">
        <f>MAX(J3:J42)</f>
        <v>119</v>
      </c>
      <c r="K43" s="17">
        <f ca="1">SUM(K3:K42)</f>
        <v>5</v>
      </c>
      <c r="L43" s="17">
        <f ca="1">SUM(L3:L42)</f>
        <v>16</v>
      </c>
      <c r="M43" s="17">
        <f ca="1">SUM(M3:M42)</f>
        <v>551</v>
      </c>
      <c r="N43" s="17">
        <f ca="1">SUM(N3:N42)</f>
        <v>40</v>
      </c>
      <c r="O43" s="18"/>
      <c r="P43" s="18"/>
    </row>
    <row r="44" spans="1:16" x14ac:dyDescent="0.15">
      <c r="M44" s="9"/>
      <c r="N44" s="9"/>
      <c r="P44" s="16"/>
    </row>
    <row r="45" spans="1:16" x14ac:dyDescent="0.15">
      <c r="M45" s="10"/>
      <c r="N45" s="9"/>
      <c r="P45" s="16"/>
    </row>
  </sheetData>
  <sortState xmlns:xlrd2="http://schemas.microsoft.com/office/spreadsheetml/2017/richdata2" ref="A36:P39">
    <sortCondition descending="1" ref="E36:E39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ignoredErrors>
    <ignoredError sqref="J4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43"/>
  <sheetViews>
    <sheetView workbookViewId="0">
      <selection activeCell="D1" sqref="D1"/>
    </sheetView>
  </sheetViews>
  <sheetFormatPr defaultColWidth="8.76171875" defaultRowHeight="14.25" x14ac:dyDescent="0.15"/>
  <cols>
    <col min="1" max="2" width="11.01171875" style="1" customWidth="1"/>
    <col min="3" max="13" width="8.76171875" style="1"/>
    <col min="14" max="14" width="7.75390625" style="1" customWidth="1"/>
    <col min="15" max="255" width="8.76171875" style="1"/>
  </cols>
  <sheetData>
    <row r="1" spans="1:255" ht="24.95" customHeight="1" x14ac:dyDescent="0.2">
      <c r="A1" s="2" t="s">
        <v>122</v>
      </c>
      <c r="D1" s="33">
        <f>'Match Summary'!D1</f>
        <v>2015</v>
      </c>
    </row>
    <row r="2" spans="1:255" ht="18" x14ac:dyDescent="0.15">
      <c r="I2" s="11" t="s">
        <v>14</v>
      </c>
      <c r="J2" s="12"/>
      <c r="K2" s="12"/>
      <c r="L2" s="12"/>
      <c r="M2" s="12"/>
      <c r="R2" s="20" t="s">
        <v>105</v>
      </c>
    </row>
    <row r="3" spans="1:255" ht="28.5" x14ac:dyDescent="0.15">
      <c r="A3" s="5" t="s">
        <v>24</v>
      </c>
      <c r="B3" s="5"/>
      <c r="C3" s="4" t="s">
        <v>53</v>
      </c>
      <c r="D3" s="4" t="s">
        <v>65</v>
      </c>
      <c r="E3" s="13" t="s">
        <v>66</v>
      </c>
      <c r="F3" s="13" t="s">
        <v>67</v>
      </c>
      <c r="G3" s="13" t="s">
        <v>68</v>
      </c>
      <c r="H3" s="4" t="s">
        <v>69</v>
      </c>
      <c r="I3" s="13" t="s">
        <v>70</v>
      </c>
      <c r="J3" s="13" t="s">
        <v>71</v>
      </c>
      <c r="K3" s="13" t="s">
        <v>72</v>
      </c>
      <c r="L3" s="13" t="s">
        <v>73</v>
      </c>
      <c r="M3" s="13" t="s">
        <v>74</v>
      </c>
      <c r="N3" s="13" t="s">
        <v>76</v>
      </c>
      <c r="O3" s="4" t="s">
        <v>75</v>
      </c>
      <c r="P3" s="4" t="s">
        <v>77</v>
      </c>
      <c r="Q3" s="4" t="s">
        <v>78</v>
      </c>
      <c r="R3" s="4" t="s">
        <v>64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x14ac:dyDescent="0.15">
      <c r="A4" s="120" t="s">
        <v>220</v>
      </c>
      <c r="B4" s="120" t="s">
        <v>186</v>
      </c>
      <c r="C4" s="121">
        <v>11</v>
      </c>
      <c r="D4" s="120">
        <v>43</v>
      </c>
      <c r="E4" s="120">
        <v>18</v>
      </c>
      <c r="F4" s="120">
        <v>0</v>
      </c>
      <c r="G4" s="120">
        <v>6</v>
      </c>
      <c r="H4" s="120">
        <v>191</v>
      </c>
      <c r="I4" s="120">
        <v>8</v>
      </c>
      <c r="J4" s="120">
        <v>7</v>
      </c>
      <c r="K4" s="120">
        <v>0</v>
      </c>
      <c r="L4" s="120">
        <v>0</v>
      </c>
      <c r="M4" s="120">
        <v>1</v>
      </c>
      <c r="N4" s="120">
        <v>0</v>
      </c>
      <c r="O4" s="124">
        <v>16</v>
      </c>
      <c r="P4" s="125">
        <v>4.441860465116279</v>
      </c>
      <c r="Q4" s="125">
        <v>11.9375</v>
      </c>
      <c r="R4" s="126">
        <v>16.125</v>
      </c>
      <c r="S4" s="16"/>
    </row>
    <row r="5" spans="1:255" x14ac:dyDescent="0.15">
      <c r="A5" s="1" t="s">
        <v>30</v>
      </c>
      <c r="B5" s="1" t="s">
        <v>44</v>
      </c>
      <c r="C5" s="1">
        <v>21</v>
      </c>
      <c r="D5" s="1">
        <v>168.60000000000002</v>
      </c>
      <c r="E5" s="1">
        <v>41</v>
      </c>
      <c r="F5" s="1">
        <v>3</v>
      </c>
      <c r="G5" s="1">
        <v>0</v>
      </c>
      <c r="H5" s="1">
        <v>487</v>
      </c>
      <c r="I5" s="1">
        <v>10</v>
      </c>
      <c r="J5" s="1">
        <v>20</v>
      </c>
      <c r="K5" s="1">
        <v>7</v>
      </c>
      <c r="L5" s="1">
        <v>0</v>
      </c>
      <c r="M5" s="1">
        <v>0</v>
      </c>
      <c r="N5" s="1">
        <v>2</v>
      </c>
      <c r="O5" s="28">
        <v>37</v>
      </c>
      <c r="P5" s="18">
        <v>2.8884934756820875</v>
      </c>
      <c r="Q5" s="18">
        <v>13.162162162162161</v>
      </c>
      <c r="R5" s="19">
        <v>27.340540540540545</v>
      </c>
      <c r="S5" s="16"/>
    </row>
    <row r="6" spans="1:255" x14ac:dyDescent="0.15">
      <c r="A6" s="1" t="s">
        <v>30</v>
      </c>
      <c r="B6" s="1" t="s">
        <v>48</v>
      </c>
      <c r="C6" s="1">
        <v>15</v>
      </c>
      <c r="D6" s="1">
        <v>81.099999999999994</v>
      </c>
      <c r="E6" s="1">
        <v>18</v>
      </c>
      <c r="F6" s="1">
        <v>10</v>
      </c>
      <c r="G6" s="1">
        <v>1</v>
      </c>
      <c r="H6" s="1">
        <v>344</v>
      </c>
      <c r="I6" s="1">
        <v>6</v>
      </c>
      <c r="J6" s="1">
        <v>14</v>
      </c>
      <c r="K6" s="1">
        <v>1</v>
      </c>
      <c r="L6" s="1">
        <v>0</v>
      </c>
      <c r="M6" s="1">
        <v>1</v>
      </c>
      <c r="N6" s="1">
        <v>1</v>
      </c>
      <c r="O6" s="28">
        <v>22</v>
      </c>
      <c r="P6" s="18">
        <v>4.2416769420468556</v>
      </c>
      <c r="Q6" s="18">
        <v>15.636363636363637</v>
      </c>
      <c r="R6" s="19">
        <v>22.118181818181817</v>
      </c>
      <c r="S6" s="16"/>
    </row>
    <row r="7" spans="1:255" x14ac:dyDescent="0.15">
      <c r="A7" s="1" t="s">
        <v>31</v>
      </c>
      <c r="B7" s="1" t="s">
        <v>45</v>
      </c>
      <c r="C7" s="1">
        <v>11</v>
      </c>
      <c r="D7" s="1">
        <v>71</v>
      </c>
      <c r="E7" s="1">
        <v>10</v>
      </c>
      <c r="F7" s="1">
        <v>5</v>
      </c>
      <c r="G7" s="1">
        <v>1</v>
      </c>
      <c r="H7" s="1">
        <v>336</v>
      </c>
      <c r="I7" s="1">
        <v>6</v>
      </c>
      <c r="J7" s="1">
        <v>11</v>
      </c>
      <c r="K7" s="1">
        <v>0</v>
      </c>
      <c r="L7" s="1">
        <v>0</v>
      </c>
      <c r="M7" s="1">
        <v>0</v>
      </c>
      <c r="N7" s="1">
        <v>0</v>
      </c>
      <c r="O7" s="28">
        <v>17</v>
      </c>
      <c r="P7" s="18">
        <v>4.732394366197183</v>
      </c>
      <c r="Q7" s="18">
        <v>19.764705882352942</v>
      </c>
      <c r="R7" s="19">
        <v>25.058823529411764</v>
      </c>
      <c r="S7" s="16"/>
    </row>
    <row r="8" spans="1:255" x14ac:dyDescent="0.15">
      <c r="A8" s="1" t="s">
        <v>26</v>
      </c>
      <c r="B8" s="1" t="s">
        <v>40</v>
      </c>
      <c r="C8" s="1">
        <v>9</v>
      </c>
      <c r="D8" s="1">
        <v>62</v>
      </c>
      <c r="E8" s="1">
        <v>10</v>
      </c>
      <c r="F8" s="1">
        <v>13</v>
      </c>
      <c r="G8" s="1">
        <v>4</v>
      </c>
      <c r="H8" s="1">
        <v>299</v>
      </c>
      <c r="I8" s="1">
        <v>8</v>
      </c>
      <c r="J8" s="1">
        <v>3</v>
      </c>
      <c r="K8" s="1">
        <v>1</v>
      </c>
      <c r="L8" s="1">
        <v>0</v>
      </c>
      <c r="M8" s="1">
        <v>0</v>
      </c>
      <c r="N8" s="1">
        <v>0</v>
      </c>
      <c r="O8" s="28">
        <v>12</v>
      </c>
      <c r="P8" s="18">
        <v>4.82258064516129</v>
      </c>
      <c r="Q8" s="18">
        <v>24.916666666666668</v>
      </c>
      <c r="R8" s="19">
        <v>31</v>
      </c>
      <c r="S8" s="16"/>
    </row>
    <row r="9" spans="1:255" x14ac:dyDescent="0.15">
      <c r="A9" s="1" t="s">
        <v>32</v>
      </c>
      <c r="B9" s="1" t="s">
        <v>47</v>
      </c>
      <c r="C9" s="1">
        <v>21</v>
      </c>
      <c r="D9" s="1">
        <v>170.2</v>
      </c>
      <c r="E9" s="1">
        <v>37</v>
      </c>
      <c r="F9" s="1">
        <v>35</v>
      </c>
      <c r="G9" s="1">
        <v>2</v>
      </c>
      <c r="H9" s="1">
        <v>745</v>
      </c>
      <c r="I9" s="1">
        <v>10</v>
      </c>
      <c r="J9" s="1">
        <v>15</v>
      </c>
      <c r="K9" s="1">
        <v>0</v>
      </c>
      <c r="L9" s="1">
        <v>0</v>
      </c>
      <c r="M9" s="1">
        <v>0</v>
      </c>
      <c r="N9" s="1">
        <v>0</v>
      </c>
      <c r="O9" s="28">
        <v>25</v>
      </c>
      <c r="P9" s="18">
        <v>4.3772032902467686</v>
      </c>
      <c r="Q9" s="18">
        <v>29.8</v>
      </c>
      <c r="R9" s="19">
        <v>40.847999999999999</v>
      </c>
      <c r="S9" s="16"/>
    </row>
    <row r="10" spans="1:255" x14ac:dyDescent="0.15">
      <c r="A10" s="1" t="s">
        <v>28</v>
      </c>
      <c r="B10" s="1" t="s">
        <v>50</v>
      </c>
      <c r="C10" s="1">
        <v>10</v>
      </c>
      <c r="D10" s="1">
        <v>30</v>
      </c>
      <c r="E10" s="1">
        <v>2</v>
      </c>
      <c r="F10" s="1">
        <v>8</v>
      </c>
      <c r="G10" s="1">
        <v>0</v>
      </c>
      <c r="H10" s="1">
        <v>189</v>
      </c>
      <c r="I10" s="1">
        <v>0</v>
      </c>
      <c r="J10" s="1">
        <v>5</v>
      </c>
      <c r="K10" s="1">
        <v>0</v>
      </c>
      <c r="L10" s="1">
        <v>0</v>
      </c>
      <c r="M10" s="1">
        <v>1</v>
      </c>
      <c r="N10" s="1">
        <v>0</v>
      </c>
      <c r="O10" s="28">
        <v>6</v>
      </c>
      <c r="P10" s="18">
        <v>6.3</v>
      </c>
      <c r="Q10" s="18">
        <v>31.5</v>
      </c>
      <c r="R10" s="19">
        <v>30</v>
      </c>
      <c r="S10" s="16"/>
    </row>
    <row r="11" spans="1:255" x14ac:dyDescent="0.15">
      <c r="A11" s="1" t="s">
        <v>99</v>
      </c>
      <c r="B11" s="1" t="s">
        <v>100</v>
      </c>
      <c r="C11" s="1">
        <v>3</v>
      </c>
      <c r="D11" s="1">
        <v>22</v>
      </c>
      <c r="E11" s="1">
        <v>1</v>
      </c>
      <c r="F11" s="1">
        <v>2</v>
      </c>
      <c r="G11" s="1">
        <v>5</v>
      </c>
      <c r="H11" s="1">
        <v>106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28">
        <v>2</v>
      </c>
      <c r="P11" s="18">
        <v>4.8181818181818183</v>
      </c>
      <c r="Q11" s="18">
        <v>53</v>
      </c>
      <c r="R11" s="19">
        <v>66</v>
      </c>
      <c r="S11" s="16"/>
    </row>
    <row r="12" spans="1:255" x14ac:dyDescent="0.15">
      <c r="A12" s="17" t="s">
        <v>187</v>
      </c>
      <c r="B12" s="17" t="s">
        <v>185</v>
      </c>
      <c r="C12" s="1">
        <v>11</v>
      </c>
      <c r="D12" s="1">
        <v>23</v>
      </c>
      <c r="E12" s="1">
        <v>1</v>
      </c>
      <c r="F12" s="1">
        <v>11</v>
      </c>
      <c r="G12" s="1">
        <v>5</v>
      </c>
      <c r="H12" s="1">
        <v>109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28">
        <v>2</v>
      </c>
      <c r="P12" s="18">
        <v>4.7391304347826084</v>
      </c>
      <c r="Q12" s="18">
        <v>54.5</v>
      </c>
      <c r="R12" s="19">
        <v>69</v>
      </c>
      <c r="S12" s="16"/>
    </row>
    <row r="13" spans="1:255" x14ac:dyDescent="0.15">
      <c r="A13" s="17" t="s">
        <v>112</v>
      </c>
      <c r="B13" s="17" t="s">
        <v>111</v>
      </c>
      <c r="C13" s="1">
        <v>15</v>
      </c>
      <c r="D13" s="1">
        <v>22.3</v>
      </c>
      <c r="E13" s="1">
        <v>0</v>
      </c>
      <c r="F13" s="1">
        <v>21</v>
      </c>
      <c r="G13" s="1">
        <v>1</v>
      </c>
      <c r="H13" s="1">
        <v>127</v>
      </c>
      <c r="I13" s="1">
        <v>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8">
        <v>2</v>
      </c>
      <c r="P13" s="18">
        <v>5.695067264573991</v>
      </c>
      <c r="Q13" s="18">
        <v>63.5</v>
      </c>
      <c r="R13" s="19">
        <v>66.900000000000006</v>
      </c>
      <c r="S13" s="16"/>
    </row>
    <row r="14" spans="1:255" x14ac:dyDescent="0.15">
      <c r="O14" s="28"/>
      <c r="P14" s="18"/>
      <c r="Q14" s="18"/>
      <c r="R14" s="19"/>
      <c r="S14" s="16"/>
    </row>
    <row r="15" spans="1:255" x14ac:dyDescent="0.15">
      <c r="A15" s="17" t="s">
        <v>321</v>
      </c>
      <c r="B15" s="1" t="s">
        <v>322</v>
      </c>
      <c r="O15" s="28"/>
      <c r="P15" s="18"/>
      <c r="Q15" s="18"/>
      <c r="R15" s="19"/>
      <c r="S15" s="16"/>
    </row>
    <row r="16" spans="1:255" x14ac:dyDescent="0.15">
      <c r="A16" s="17" t="s">
        <v>323</v>
      </c>
      <c r="B16" s="17" t="s">
        <v>324</v>
      </c>
      <c r="O16" s="28"/>
      <c r="P16" s="18"/>
      <c r="Q16" s="18"/>
      <c r="R16" s="19"/>
      <c r="S16" s="16"/>
    </row>
    <row r="17" spans="1:19" x14ac:dyDescent="0.15">
      <c r="A17" s="17"/>
      <c r="B17" s="17"/>
      <c r="O17" s="28"/>
      <c r="P17" s="18"/>
      <c r="Q17" s="18"/>
      <c r="R17" s="19"/>
      <c r="S17" s="16"/>
    </row>
    <row r="18" spans="1:19" x14ac:dyDescent="0.15">
      <c r="A18" s="17" t="s">
        <v>325</v>
      </c>
      <c r="B18" s="17"/>
      <c r="O18" s="28"/>
      <c r="P18" s="18"/>
      <c r="Q18" s="18"/>
      <c r="R18" s="19"/>
      <c r="S18" s="16"/>
    </row>
    <row r="19" spans="1:19" x14ac:dyDescent="0.15">
      <c r="A19" s="1" t="s">
        <v>25</v>
      </c>
      <c r="B19" s="1" t="s">
        <v>39</v>
      </c>
      <c r="C19" s="1">
        <v>1</v>
      </c>
      <c r="D19" s="1">
        <v>4</v>
      </c>
      <c r="E19" s="1">
        <v>2</v>
      </c>
      <c r="F19" s="1">
        <v>0</v>
      </c>
      <c r="G19" s="1">
        <v>0</v>
      </c>
      <c r="H19" s="1">
        <v>3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28">
        <v>1</v>
      </c>
      <c r="P19" s="18">
        <v>0.75</v>
      </c>
      <c r="Q19" s="18">
        <v>3</v>
      </c>
      <c r="R19" s="19">
        <v>24</v>
      </c>
      <c r="S19" s="16"/>
    </row>
    <row r="20" spans="1:19" x14ac:dyDescent="0.15">
      <c r="A20" s="17" t="s">
        <v>295</v>
      </c>
      <c r="B20" s="67" t="s">
        <v>291</v>
      </c>
      <c r="C20" s="1">
        <v>2</v>
      </c>
      <c r="D20" s="1">
        <v>3</v>
      </c>
      <c r="E20" s="1">
        <v>1</v>
      </c>
      <c r="F20" s="1">
        <v>2</v>
      </c>
      <c r="G20" s="1">
        <v>0</v>
      </c>
      <c r="H20" s="1">
        <v>10</v>
      </c>
      <c r="I20" s="1">
        <v>1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28">
        <v>2</v>
      </c>
      <c r="P20" s="18">
        <v>3.3333333333333335</v>
      </c>
      <c r="Q20" s="18">
        <v>5</v>
      </c>
      <c r="R20" s="19">
        <v>9</v>
      </c>
      <c r="S20" s="16"/>
    </row>
    <row r="21" spans="1:19" x14ac:dyDescent="0.15">
      <c r="A21" s="1" t="s">
        <v>36</v>
      </c>
      <c r="B21" s="1" t="s">
        <v>51</v>
      </c>
      <c r="C21" s="1">
        <v>3</v>
      </c>
      <c r="D21" s="1">
        <v>13.4</v>
      </c>
      <c r="E21" s="1">
        <v>3</v>
      </c>
      <c r="F21" s="1">
        <v>1</v>
      </c>
      <c r="G21" s="1">
        <v>0</v>
      </c>
      <c r="H21" s="1">
        <v>44</v>
      </c>
      <c r="I21" s="1">
        <v>1</v>
      </c>
      <c r="J21" s="1">
        <v>5</v>
      </c>
      <c r="K21" s="1">
        <v>0</v>
      </c>
      <c r="L21" s="1">
        <v>0</v>
      </c>
      <c r="M21" s="1">
        <v>0</v>
      </c>
      <c r="N21" s="1">
        <v>0</v>
      </c>
      <c r="O21" s="28">
        <v>6</v>
      </c>
      <c r="P21" s="18">
        <v>3.2835820895522385</v>
      </c>
      <c r="Q21" s="18">
        <v>7.333333333333333</v>
      </c>
      <c r="R21" s="19">
        <v>13.4</v>
      </c>
      <c r="S21" s="16"/>
    </row>
    <row r="22" spans="1:19" x14ac:dyDescent="0.15">
      <c r="A22" s="17" t="s">
        <v>119</v>
      </c>
      <c r="B22" s="17" t="s">
        <v>118</v>
      </c>
      <c r="C22" s="1">
        <v>1</v>
      </c>
      <c r="D22" s="1">
        <v>4</v>
      </c>
      <c r="E22" s="1">
        <v>2</v>
      </c>
      <c r="F22" s="1">
        <v>0</v>
      </c>
      <c r="G22" s="1">
        <v>0</v>
      </c>
      <c r="H22" s="1">
        <v>9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28">
        <v>1</v>
      </c>
      <c r="P22" s="18">
        <v>2.25</v>
      </c>
      <c r="Q22" s="18">
        <v>9</v>
      </c>
      <c r="R22" s="19">
        <v>24</v>
      </c>
      <c r="S22" s="16"/>
    </row>
    <row r="23" spans="1:19" x14ac:dyDescent="0.15">
      <c r="A23" s="17" t="s">
        <v>333</v>
      </c>
      <c r="B23" s="17" t="s">
        <v>287</v>
      </c>
      <c r="C23" s="1">
        <v>1</v>
      </c>
      <c r="D23" s="17">
        <v>4</v>
      </c>
      <c r="E23" s="17">
        <v>0</v>
      </c>
      <c r="F23" s="17">
        <v>0</v>
      </c>
      <c r="G23" s="17">
        <v>0</v>
      </c>
      <c r="H23" s="17">
        <v>9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28">
        <v>1</v>
      </c>
      <c r="P23" s="18">
        <v>2.25</v>
      </c>
      <c r="Q23" s="18">
        <v>9</v>
      </c>
      <c r="R23" s="19">
        <v>24</v>
      </c>
      <c r="S23" s="16"/>
    </row>
    <row r="24" spans="1:19" x14ac:dyDescent="0.15">
      <c r="A24" s="1" t="s">
        <v>101</v>
      </c>
      <c r="B24" s="1" t="s">
        <v>102</v>
      </c>
      <c r="C24" s="1">
        <v>5</v>
      </c>
      <c r="D24" s="1">
        <v>11.5</v>
      </c>
      <c r="E24" s="1">
        <v>2</v>
      </c>
      <c r="F24" s="1">
        <v>0</v>
      </c>
      <c r="G24" s="1">
        <v>0</v>
      </c>
      <c r="H24" s="1">
        <v>58</v>
      </c>
      <c r="I24" s="1">
        <v>1</v>
      </c>
      <c r="J24" s="1">
        <v>3</v>
      </c>
      <c r="K24" s="1">
        <v>0</v>
      </c>
      <c r="L24" s="1">
        <v>0</v>
      </c>
      <c r="M24" s="1">
        <v>1</v>
      </c>
      <c r="N24" s="1">
        <v>0</v>
      </c>
      <c r="O24" s="28">
        <v>5</v>
      </c>
      <c r="P24" s="18">
        <v>5.0434782608695654</v>
      </c>
      <c r="Q24" s="18">
        <v>11.6</v>
      </c>
      <c r="R24" s="19">
        <v>13.8</v>
      </c>
      <c r="S24" s="16"/>
    </row>
    <row r="25" spans="1:19" x14ac:dyDescent="0.15">
      <c r="A25" s="17" t="s">
        <v>194</v>
      </c>
      <c r="B25" s="17" t="s">
        <v>198</v>
      </c>
      <c r="C25" s="1">
        <v>1</v>
      </c>
      <c r="D25" s="1">
        <v>6</v>
      </c>
      <c r="E25" s="1">
        <v>2</v>
      </c>
      <c r="F25" s="1">
        <v>0</v>
      </c>
      <c r="G25" s="1">
        <v>0</v>
      </c>
      <c r="H25" s="1">
        <v>12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28">
        <v>1</v>
      </c>
      <c r="P25" s="18">
        <v>2</v>
      </c>
      <c r="Q25" s="18">
        <v>12</v>
      </c>
      <c r="R25" s="19">
        <v>36</v>
      </c>
      <c r="S25" s="16"/>
    </row>
    <row r="26" spans="1:19" x14ac:dyDescent="0.15">
      <c r="A26" s="1" t="s">
        <v>27</v>
      </c>
      <c r="B26" s="1" t="s">
        <v>41</v>
      </c>
      <c r="C26" s="1">
        <v>4</v>
      </c>
      <c r="D26" s="1">
        <v>11.2</v>
      </c>
      <c r="E26" s="1">
        <v>1</v>
      </c>
      <c r="F26" s="1">
        <v>0</v>
      </c>
      <c r="G26" s="1">
        <v>0</v>
      </c>
      <c r="H26" s="1">
        <v>61</v>
      </c>
      <c r="I26" s="1">
        <v>1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28">
        <v>2</v>
      </c>
      <c r="P26" s="18">
        <v>5.4464285714285721</v>
      </c>
      <c r="Q26" s="18">
        <v>30.5</v>
      </c>
      <c r="R26" s="19">
        <v>33.599999999999994</v>
      </c>
      <c r="S26" s="16"/>
    </row>
    <row r="27" spans="1:19" x14ac:dyDescent="0.15">
      <c r="A27" s="1" t="s">
        <v>37</v>
      </c>
      <c r="B27" s="1" t="s">
        <v>52</v>
      </c>
      <c r="C27" s="1">
        <v>1</v>
      </c>
      <c r="D27" s="1">
        <v>9</v>
      </c>
      <c r="E27" s="1">
        <v>0</v>
      </c>
      <c r="F27" s="1">
        <v>5</v>
      </c>
      <c r="G27" s="1">
        <v>0</v>
      </c>
      <c r="H27" s="1">
        <v>61</v>
      </c>
      <c r="I27" s="1">
        <v>0</v>
      </c>
      <c r="J27" s="1">
        <v>2</v>
      </c>
      <c r="K27" s="1">
        <v>0</v>
      </c>
      <c r="L27" s="1">
        <v>0</v>
      </c>
      <c r="M27" s="1">
        <v>0</v>
      </c>
      <c r="N27" s="1">
        <v>0</v>
      </c>
      <c r="O27" s="28">
        <v>2</v>
      </c>
      <c r="P27" s="18">
        <v>6.7777777777777777</v>
      </c>
      <c r="Q27" s="18">
        <v>30.5</v>
      </c>
      <c r="R27" s="19">
        <v>27</v>
      </c>
    </row>
    <row r="28" spans="1:19" x14ac:dyDescent="0.15">
      <c r="A28" s="17" t="s">
        <v>129</v>
      </c>
      <c r="B28" s="17" t="s">
        <v>128</v>
      </c>
      <c r="C28" s="1">
        <v>1</v>
      </c>
      <c r="D28" s="1">
        <v>4</v>
      </c>
      <c r="E28" s="1">
        <v>0</v>
      </c>
      <c r="F28" s="1">
        <v>5</v>
      </c>
      <c r="G28" s="1">
        <v>0</v>
      </c>
      <c r="H28" s="1">
        <v>31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8">
        <v>1</v>
      </c>
      <c r="P28" s="18">
        <v>7.75</v>
      </c>
      <c r="Q28" s="18">
        <v>31</v>
      </c>
      <c r="R28" s="19">
        <v>24</v>
      </c>
    </row>
    <row r="29" spans="1:19" x14ac:dyDescent="0.15">
      <c r="A29" s="17" t="s">
        <v>332</v>
      </c>
      <c r="B29" s="17" t="s">
        <v>284</v>
      </c>
      <c r="C29" s="1">
        <v>1</v>
      </c>
      <c r="D29" s="17">
        <v>11</v>
      </c>
      <c r="E29" s="17">
        <v>2</v>
      </c>
      <c r="F29" s="17">
        <v>0</v>
      </c>
      <c r="G29" s="17">
        <v>0</v>
      </c>
      <c r="H29" s="17">
        <v>36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0</v>
      </c>
      <c r="O29" s="28">
        <v>1</v>
      </c>
      <c r="P29" s="18">
        <v>3.2727272727272729</v>
      </c>
      <c r="Q29" s="18">
        <v>36</v>
      </c>
      <c r="R29" s="19">
        <v>66</v>
      </c>
    </row>
    <row r="30" spans="1:19" x14ac:dyDescent="0.15">
      <c r="A30" s="17" t="s">
        <v>276</v>
      </c>
      <c r="B30" s="17" t="s">
        <v>268</v>
      </c>
      <c r="C30" s="1">
        <v>7</v>
      </c>
      <c r="D30" s="1">
        <v>9</v>
      </c>
      <c r="E30" s="17">
        <v>1</v>
      </c>
      <c r="F30" s="17">
        <v>1</v>
      </c>
      <c r="G30" s="17">
        <v>0</v>
      </c>
      <c r="H30" s="17">
        <v>63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28">
        <v>1</v>
      </c>
      <c r="P30" s="18">
        <v>7</v>
      </c>
      <c r="Q30" s="18">
        <v>63</v>
      </c>
      <c r="R30" s="19">
        <v>54</v>
      </c>
    </row>
    <row r="31" spans="1:19" x14ac:dyDescent="0.15">
      <c r="A31" s="17" t="s">
        <v>276</v>
      </c>
      <c r="B31" s="17" t="s">
        <v>301</v>
      </c>
      <c r="C31" s="1">
        <v>3</v>
      </c>
      <c r="D31" s="17">
        <v>9</v>
      </c>
      <c r="E31" s="17">
        <v>0</v>
      </c>
      <c r="F31" s="17">
        <v>1</v>
      </c>
      <c r="G31" s="17">
        <v>2</v>
      </c>
      <c r="H31" s="17">
        <v>84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28">
        <v>0</v>
      </c>
      <c r="P31" s="18">
        <v>9.3333333333333339</v>
      </c>
      <c r="Q31" s="18" t="s">
        <v>335</v>
      </c>
      <c r="R31" s="19" t="s">
        <v>335</v>
      </c>
      <c r="S31" s="16"/>
    </row>
    <row r="32" spans="1:19" x14ac:dyDescent="0.15">
      <c r="A32" s="17" t="s">
        <v>104</v>
      </c>
      <c r="B32" s="17" t="s">
        <v>214</v>
      </c>
      <c r="C32" s="1">
        <v>7</v>
      </c>
      <c r="D32" s="1">
        <v>2</v>
      </c>
      <c r="E32" s="1">
        <v>0</v>
      </c>
      <c r="F32" s="1">
        <v>0</v>
      </c>
      <c r="G32" s="1">
        <v>0</v>
      </c>
      <c r="H32" s="1">
        <v>14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28">
        <v>0</v>
      </c>
      <c r="P32" s="18">
        <v>7</v>
      </c>
      <c r="Q32" s="18" t="s">
        <v>335</v>
      </c>
      <c r="R32" s="19" t="s">
        <v>335</v>
      </c>
      <c r="S32" s="16"/>
    </row>
    <row r="33" spans="1:19" x14ac:dyDescent="0.15">
      <c r="A33" s="17"/>
      <c r="B33" s="17"/>
      <c r="O33" s="28"/>
      <c r="P33" s="18"/>
      <c r="Q33" s="18"/>
      <c r="R33" s="19"/>
      <c r="S33" s="16"/>
    </row>
    <row r="34" spans="1:19" hidden="1" x14ac:dyDescent="0.15">
      <c r="A34" s="1" t="s">
        <v>34</v>
      </c>
      <c r="B34" s="1" t="s">
        <v>49</v>
      </c>
      <c r="C34" s="1">
        <f>VLOOKUP(B34,'Team Sheet'!$A$2:$AB$55,28,FALSE)</f>
        <v>19</v>
      </c>
      <c r="D34" s="1">
        <f ca="1">SUMIF(team_name,$B34,bowl_over)</f>
        <v>0</v>
      </c>
      <c r="E34" s="1">
        <f ca="1">SUMIF(team_name,$B34,bowl_mdn)</f>
        <v>0</v>
      </c>
      <c r="F34" s="1">
        <f ca="1">SUMIF(team_name,$B34,bowl_wide)</f>
        <v>0</v>
      </c>
      <c r="G34" s="1">
        <f ca="1">SUMIF(team_name,$B34,bowl_nball)</f>
        <v>0</v>
      </c>
      <c r="H34" s="1">
        <f ca="1">SUMIF(team_name,$B34,bowl_run)</f>
        <v>0</v>
      </c>
      <c r="I34" s="1">
        <f ca="1">SUMIF(team_name,$B34,bowl_wktb)</f>
        <v>0</v>
      </c>
      <c r="J34" s="1">
        <f ca="1">SUMIF(team_name,$B34,bowl_wktct)</f>
        <v>0</v>
      </c>
      <c r="K34" s="1">
        <f ca="1">SUMIF(team_name,$B34,bowl_wktlbw)</f>
        <v>0</v>
      </c>
      <c r="L34" s="1">
        <f ca="1">SUMIF(team_name,$B34,bowl_wkthw)</f>
        <v>0</v>
      </c>
      <c r="M34" s="1">
        <f ca="1">SUMIF(team_name,$B34,bowl_wktst)</f>
        <v>0</v>
      </c>
      <c r="N34" s="1">
        <f ca="1">SUMIF(team_name,$B34,bowl_5wkts)</f>
        <v>0</v>
      </c>
      <c r="O34" s="28">
        <f ca="1">IF(SUM(I34:M34)=0,0,SUM(I34:M34))</f>
        <v>0</v>
      </c>
      <c r="P34" s="18" t="str">
        <f ca="1">IF(D34=0,"--",H34/D34)</f>
        <v>--</v>
      </c>
      <c r="Q34" s="18" t="str">
        <f ca="1">IF(ISERROR(H34/O34),"--",H34/O34)</f>
        <v>--</v>
      </c>
      <c r="R34" s="19" t="str">
        <f ca="1">IF(ISERROR(D34/O34),"--",(D34*6)/O34)</f>
        <v>--</v>
      </c>
      <c r="S34" s="16"/>
    </row>
    <row r="35" spans="1:19" hidden="1" x14ac:dyDescent="0.15">
      <c r="A35" s="1" t="s">
        <v>33</v>
      </c>
      <c r="B35" s="17" t="s">
        <v>156</v>
      </c>
      <c r="C35" s="1">
        <f>VLOOKUP(B35,'Team Sheet'!$A$2:$AB$55,28,FALSE)</f>
        <v>19</v>
      </c>
      <c r="D35" s="1">
        <f ca="1">SUMIF(team_name,$B35,bowl_over)</f>
        <v>0</v>
      </c>
      <c r="E35" s="1">
        <f ca="1">SUMIF(team_name,$B35,bowl_mdn)</f>
        <v>0</v>
      </c>
      <c r="F35" s="1">
        <f ca="1">SUMIF(team_name,$B35,bowl_wide)</f>
        <v>0</v>
      </c>
      <c r="G35" s="1">
        <f ca="1">SUMIF(team_name,$B35,bowl_nball)</f>
        <v>0</v>
      </c>
      <c r="H35" s="1">
        <f ca="1">SUMIF(team_name,$B35,bowl_run)</f>
        <v>0</v>
      </c>
      <c r="I35" s="1">
        <f ca="1">SUMIF(team_name,$B35,bowl_wktb)</f>
        <v>0</v>
      </c>
      <c r="J35" s="1">
        <f ca="1">SUMIF(team_name,$B35,bowl_wktct)</f>
        <v>0</v>
      </c>
      <c r="K35" s="1">
        <f ca="1">SUMIF(team_name,$B35,bowl_wktlbw)</f>
        <v>0</v>
      </c>
      <c r="L35" s="1">
        <f ca="1">SUMIF(team_name,$B35,bowl_wkthw)</f>
        <v>0</v>
      </c>
      <c r="M35" s="1">
        <f ca="1">SUMIF(team_name,$B35,bowl_wktst)</f>
        <v>0</v>
      </c>
      <c r="N35" s="1">
        <f ca="1">SUMIF(team_name,$B35,bowl_5wkts)</f>
        <v>0</v>
      </c>
      <c r="O35" s="28">
        <f ca="1">IF(SUM(I35:M35)=0,0,SUM(I35:M35))</f>
        <v>0</v>
      </c>
      <c r="P35" s="18" t="str">
        <f ca="1">IF(D35=0,"--",H35/D35)</f>
        <v>--</v>
      </c>
      <c r="Q35" s="18" t="str">
        <f ca="1">IF(ISERROR(H35/O35),"--",H35/O35)</f>
        <v>--</v>
      </c>
      <c r="R35" s="19" t="str">
        <f ca="1">IF(ISERROR(D35/O35),"--",(D35*6)/O35)</f>
        <v>--</v>
      </c>
      <c r="S35" s="16"/>
    </row>
    <row r="36" spans="1:19" hidden="1" x14ac:dyDescent="0.15">
      <c r="A36" s="17" t="s">
        <v>159</v>
      </c>
      <c r="B36" s="17" t="s">
        <v>160</v>
      </c>
      <c r="C36" s="1">
        <f>VLOOKUP(B36,'Team Sheet'!$A$2:$AB$55,28,FALSE)</f>
        <v>15</v>
      </c>
      <c r="D36" s="1">
        <f ca="1">SUMIF(team_name,$B36,bowl_over)</f>
        <v>0</v>
      </c>
      <c r="E36" s="1">
        <f ca="1">SUMIF(team_name,$B36,bowl_mdn)</f>
        <v>0</v>
      </c>
      <c r="F36" s="1">
        <f ca="1">SUMIF(team_name,$B36,bowl_wide)</f>
        <v>0</v>
      </c>
      <c r="G36" s="1">
        <f ca="1">SUMIF(team_name,$B36,bowl_nball)</f>
        <v>0</v>
      </c>
      <c r="H36" s="1">
        <f ca="1">SUMIF(team_name,$B36,bowl_run)</f>
        <v>0</v>
      </c>
      <c r="I36" s="1">
        <f ca="1">SUMIF(team_name,$B36,bowl_wktb)</f>
        <v>0</v>
      </c>
      <c r="J36" s="1">
        <f ca="1">SUMIF(team_name,$B36,bowl_wktct)</f>
        <v>0</v>
      </c>
      <c r="K36" s="1">
        <f ca="1">SUMIF(team_name,$B36,bowl_wktlbw)</f>
        <v>0</v>
      </c>
      <c r="L36" s="1">
        <f ca="1">SUMIF(team_name,$B36,bowl_wkthw)</f>
        <v>0</v>
      </c>
      <c r="M36" s="1">
        <f ca="1">SUMIF(team_name,$B36,bowl_wktst)</f>
        <v>0</v>
      </c>
      <c r="N36" s="1">
        <f ca="1">SUMIF(team_name,$B36,bowl_5wkts)</f>
        <v>0</v>
      </c>
      <c r="O36" s="28">
        <f ca="1">IF(SUM(I36:M36)=0,0,SUM(I36:M36))</f>
        <v>0</v>
      </c>
      <c r="P36" s="18" t="str">
        <f ca="1">IF(D36=0,"--",H36/D36)</f>
        <v>--</v>
      </c>
      <c r="Q36" s="18" t="str">
        <f ca="1">IF(ISERROR(H36/O36),"--",H36/O36)</f>
        <v>--</v>
      </c>
      <c r="R36" s="19" t="str">
        <f ca="1">IF(ISERROR(D36/O36),"--",(D36*6)/O36)</f>
        <v>--</v>
      </c>
      <c r="S36" s="10"/>
    </row>
    <row r="37" spans="1:19" hidden="1" x14ac:dyDescent="0.15">
      <c r="A37" s="1" t="s">
        <v>38</v>
      </c>
      <c r="B37" s="17" t="s">
        <v>117</v>
      </c>
      <c r="C37" s="1">
        <f>VLOOKUP(B37,'Team Sheet'!$A$2:$AB$55,28,FALSE)</f>
        <v>14</v>
      </c>
      <c r="D37" s="1">
        <f ca="1">SUMIF(team_name,$B37,bowl_over)</f>
        <v>0</v>
      </c>
      <c r="E37" s="1">
        <f ca="1">SUMIF(team_name,$B37,bowl_mdn)</f>
        <v>0</v>
      </c>
      <c r="F37" s="1">
        <f ca="1">SUMIF(team_name,$B37,bowl_wide)</f>
        <v>0</v>
      </c>
      <c r="G37" s="1">
        <f ca="1">SUMIF(team_name,$B37,bowl_nball)</f>
        <v>0</v>
      </c>
      <c r="H37" s="1">
        <f ca="1">SUMIF(team_name,$B37,bowl_run)</f>
        <v>0</v>
      </c>
      <c r="I37" s="1">
        <f ca="1">SUMIF(team_name,$B37,bowl_wktb)</f>
        <v>0</v>
      </c>
      <c r="J37" s="1">
        <f ca="1">SUMIF(team_name,$B37,bowl_wktct)</f>
        <v>0</v>
      </c>
      <c r="K37" s="1">
        <f ca="1">SUMIF(team_name,$B37,bowl_wktlbw)</f>
        <v>0</v>
      </c>
      <c r="L37" s="1">
        <f ca="1">SUMIF(team_name,$B37,bowl_wkthw)</f>
        <v>0</v>
      </c>
      <c r="M37" s="1">
        <f ca="1">SUMIF(team_name,$B37,bowl_wktst)</f>
        <v>0</v>
      </c>
      <c r="N37" s="1">
        <f ca="1">SUMIF(team_name,$B37,bowl_5wkts)</f>
        <v>0</v>
      </c>
      <c r="O37" s="28">
        <f ca="1">IF(SUM(I37:M37)=0,0,SUM(I37:M37))</f>
        <v>0</v>
      </c>
      <c r="P37" s="18" t="str">
        <f ca="1">IF(D37=0,"--",H37/D37)</f>
        <v>--</v>
      </c>
      <c r="Q37" s="18" t="str">
        <f ca="1">IF(ISERROR(H37/O37),"--",H37/O37)</f>
        <v>--</v>
      </c>
      <c r="R37" s="19" t="str">
        <f ca="1">IF(ISERROR(D37/O37),"--",(D37*6)/O37)</f>
        <v>--</v>
      </c>
    </row>
    <row r="38" spans="1:19" hidden="1" x14ac:dyDescent="0.15">
      <c r="A38" s="1" t="s">
        <v>35</v>
      </c>
      <c r="B38" s="1" t="s">
        <v>103</v>
      </c>
      <c r="C38" s="1">
        <f>VLOOKUP(B38,'Team Sheet'!$A$2:$AB$55,28,FALSE)</f>
        <v>8</v>
      </c>
      <c r="D38" s="1">
        <f ca="1">SUMIF(team_name,$B38,bowl_over)</f>
        <v>0</v>
      </c>
      <c r="E38" s="1">
        <f ca="1">SUMIF(team_name,$B38,bowl_mdn)</f>
        <v>0</v>
      </c>
      <c r="F38" s="1">
        <f ca="1">SUMIF(team_name,$B38,bowl_wide)</f>
        <v>0</v>
      </c>
      <c r="G38" s="1">
        <f ca="1">SUMIF(team_name,$B38,bowl_nball)</f>
        <v>0</v>
      </c>
      <c r="H38" s="1">
        <f ca="1">SUMIF(team_name,$B38,bowl_run)</f>
        <v>0</v>
      </c>
      <c r="I38" s="1">
        <f ca="1">SUMIF(team_name,$B38,bowl_wktb)</f>
        <v>0</v>
      </c>
      <c r="J38" s="1">
        <f ca="1">SUMIF(team_name,$B38,bowl_wktct)</f>
        <v>0</v>
      </c>
      <c r="K38" s="1">
        <f ca="1">SUMIF(team_name,$B38,bowl_wktlbw)</f>
        <v>0</v>
      </c>
      <c r="L38" s="1">
        <f ca="1">SUMIF(team_name,$B38,bowl_wkthw)</f>
        <v>0</v>
      </c>
      <c r="M38" s="1">
        <f ca="1">SUMIF(team_name,$B38,bowl_wktst)</f>
        <v>0</v>
      </c>
      <c r="N38" s="1">
        <f ca="1">SUMIF(team_name,$B38,bowl_5wkts)</f>
        <v>0</v>
      </c>
      <c r="O38" s="28">
        <f ca="1">IF(SUM(I38:M38)=0,0,SUM(I38:M38))</f>
        <v>0</v>
      </c>
      <c r="P38" s="18" t="str">
        <f ca="1">IF(D38=0,"--",H38/D38)</f>
        <v>--</v>
      </c>
      <c r="Q38" s="18" t="str">
        <f ca="1">IF(ISERROR(H38/O38),"--",H38/O38)</f>
        <v>--</v>
      </c>
      <c r="R38" s="19" t="str">
        <f ca="1">IF(ISERROR(D38/O38),"--",(D38*6)/O38)</f>
        <v>--</v>
      </c>
    </row>
    <row r="39" spans="1:19" hidden="1" x14ac:dyDescent="0.15">
      <c r="A39" s="1" t="s">
        <v>28</v>
      </c>
      <c r="B39" s="1" t="s">
        <v>42</v>
      </c>
      <c r="C39" s="1">
        <f>VLOOKUP(B39,'Team Sheet'!$A$2:$AB$55,28,FALSE)</f>
        <v>4</v>
      </c>
      <c r="D39" s="1">
        <f ca="1">SUMIF(team_name,$B39,bowl_over)</f>
        <v>0</v>
      </c>
      <c r="E39" s="1">
        <f ca="1">SUMIF(team_name,$B39,bowl_mdn)</f>
        <v>0</v>
      </c>
      <c r="F39" s="1">
        <f ca="1">SUMIF(team_name,$B39,bowl_wide)</f>
        <v>0</v>
      </c>
      <c r="G39" s="1">
        <f ca="1">SUMIF(team_name,$B39,bowl_nball)</f>
        <v>0</v>
      </c>
      <c r="H39" s="1">
        <f ca="1">SUMIF(team_name,$B39,bowl_run)</f>
        <v>0</v>
      </c>
      <c r="I39" s="1">
        <f ca="1">SUMIF(team_name,$B39,bowl_wktb)</f>
        <v>0</v>
      </c>
      <c r="J39" s="1">
        <f ca="1">SUMIF(team_name,$B39,bowl_wktct)</f>
        <v>0</v>
      </c>
      <c r="K39" s="1">
        <f ca="1">SUMIF(team_name,$B39,bowl_wktlbw)</f>
        <v>0</v>
      </c>
      <c r="L39" s="1">
        <f ca="1">SUMIF(team_name,$B39,bowl_wkthw)</f>
        <v>0</v>
      </c>
      <c r="M39" s="1">
        <f ca="1">SUMIF(team_name,$B39,bowl_wktst)</f>
        <v>0</v>
      </c>
      <c r="N39" s="1">
        <f ca="1">SUMIF(team_name,$B39,bowl_5wkts)</f>
        <v>0</v>
      </c>
      <c r="O39" s="28">
        <f ca="1">IF(SUM(I39:M39)=0,0,SUM(I39:M39))</f>
        <v>0</v>
      </c>
      <c r="P39" s="18" t="str">
        <f ca="1">IF(D39=0,"--",H39/D39)</f>
        <v>--</v>
      </c>
      <c r="Q39" s="18" t="str">
        <f ca="1">IF(ISERROR(H39/O39),"--",H39/O39)</f>
        <v>--</v>
      </c>
      <c r="R39" s="19" t="str">
        <f ca="1">IF(ISERROR(D39/O39),"--",(D39*6)/O39)</f>
        <v>--</v>
      </c>
    </row>
    <row r="40" spans="1:19" hidden="1" x14ac:dyDescent="0.15">
      <c r="A40" s="1" t="s">
        <v>29</v>
      </c>
      <c r="B40" s="1" t="s">
        <v>43</v>
      </c>
      <c r="C40" s="1">
        <f>VLOOKUP(B40,'Team Sheet'!$A$2:$AB$55,28,FALSE)</f>
        <v>3</v>
      </c>
      <c r="D40" s="1">
        <f ca="1">SUMIF(team_name,$B40,bowl_over)</f>
        <v>0</v>
      </c>
      <c r="E40" s="1">
        <f ca="1">SUMIF(team_name,$B40,bowl_mdn)</f>
        <v>0</v>
      </c>
      <c r="F40" s="1">
        <f ca="1">SUMIF(team_name,$B40,bowl_wide)</f>
        <v>0</v>
      </c>
      <c r="G40" s="1">
        <f ca="1">SUMIF(team_name,$B40,bowl_nball)</f>
        <v>0</v>
      </c>
      <c r="H40" s="1">
        <f ca="1">SUMIF(team_name,$B40,bowl_run)</f>
        <v>0</v>
      </c>
      <c r="I40" s="1">
        <f ca="1">SUMIF(team_name,$B40,bowl_wktb)</f>
        <v>0</v>
      </c>
      <c r="J40" s="1">
        <f ca="1">SUMIF(team_name,$B40,bowl_wktct)</f>
        <v>0</v>
      </c>
      <c r="K40" s="1">
        <f ca="1">SUMIF(team_name,$B40,bowl_wktlbw)</f>
        <v>0</v>
      </c>
      <c r="L40" s="1">
        <f ca="1">SUMIF(team_name,$B40,bowl_wkthw)</f>
        <v>0</v>
      </c>
      <c r="M40" s="1">
        <f ca="1">SUMIF(team_name,$B40,bowl_wktst)</f>
        <v>0</v>
      </c>
      <c r="N40" s="1">
        <f ca="1">SUMIF(team_name,$B40,bowl_5wkts)</f>
        <v>0</v>
      </c>
      <c r="O40" s="28">
        <f ca="1">IF(SUM(I40:M40)=0,0,SUM(I40:M40))</f>
        <v>0</v>
      </c>
      <c r="P40" s="18" t="str">
        <f ca="1">IF(D40=0,"--",H40/D40)</f>
        <v>--</v>
      </c>
      <c r="Q40" s="18" t="str">
        <f ca="1">IF(ISERROR(H40/O40),"--",H40/O40)</f>
        <v>--</v>
      </c>
      <c r="R40" s="19" t="str">
        <f ca="1">IF(ISERROR(D40/O40),"--",(D40*6)/O40)</f>
        <v>--</v>
      </c>
    </row>
    <row r="41" spans="1:19" hidden="1" x14ac:dyDescent="0.15">
      <c r="A41" s="17" t="s">
        <v>300</v>
      </c>
      <c r="B41" s="17" t="s">
        <v>177</v>
      </c>
      <c r="C41" s="1">
        <f>VLOOKUP(B41,'Team Sheet'!$A$2:$AB$55,28,FALSE)</f>
        <v>1</v>
      </c>
      <c r="D41" s="17">
        <f ca="1">SUMIF(team_name,$B41,bowl_over)</f>
        <v>0</v>
      </c>
      <c r="E41" s="17">
        <f ca="1">SUMIF(team_name,$B41,bowl_mdn)</f>
        <v>0</v>
      </c>
      <c r="F41" s="17">
        <f ca="1">SUMIF(team_name,$B41,bowl_wide)</f>
        <v>0</v>
      </c>
      <c r="G41" s="17">
        <f ca="1">SUMIF(team_name,$B41,bowl_nball)</f>
        <v>0</v>
      </c>
      <c r="H41" s="17">
        <f ca="1">SUMIF(team_name,$B41,bowl_run)</f>
        <v>0</v>
      </c>
      <c r="I41" s="17">
        <f ca="1">SUMIF(team_name,$B41,bowl_wktb)</f>
        <v>0</v>
      </c>
      <c r="J41" s="17">
        <f ca="1">SUMIF(team_name,$B41,bowl_wktct)</f>
        <v>0</v>
      </c>
      <c r="K41" s="17">
        <f ca="1">SUMIF(team_name,$B41,bowl_wktlbw)</f>
        <v>0</v>
      </c>
      <c r="L41" s="17">
        <f ca="1">SUMIF(team_name,$B41,bowl_wkthw)</f>
        <v>0</v>
      </c>
      <c r="M41" s="17">
        <f ca="1">SUMIF(team_name,$B41,bowl_wktst)</f>
        <v>0</v>
      </c>
      <c r="N41" s="17">
        <f ca="1">SUMIF(team_name,$B41,bowl_5wkts)</f>
        <v>0</v>
      </c>
      <c r="O41" s="28">
        <f ca="1">IF(SUM(I41:M41)=0,0,SUM(I41:M41))</f>
        <v>0</v>
      </c>
      <c r="P41" s="18" t="str">
        <f ca="1">IF(D41=0,"--",H41/D41)</f>
        <v>--</v>
      </c>
      <c r="Q41" s="18" t="str">
        <f ca="1">IF(ISERROR(H41/O41),"--",H41/O41)</f>
        <v>--</v>
      </c>
      <c r="R41" s="19" t="str">
        <f ca="1">IF(ISERROR(D41/O41),"--",(D41*6)/O41)</f>
        <v>--</v>
      </c>
    </row>
    <row r="42" spans="1:19" hidden="1" x14ac:dyDescent="0.15">
      <c r="A42" s="17" t="s">
        <v>30</v>
      </c>
      <c r="B42" s="17" t="s">
        <v>239</v>
      </c>
      <c r="C42" s="1">
        <f>VLOOKUP(B42,'Team Sheet'!$A$2:$AB$55,28,FALSE)</f>
        <v>1</v>
      </c>
      <c r="D42" s="17">
        <f ca="1">SUMIF(team_name,$B42,bowl_over)</f>
        <v>0</v>
      </c>
      <c r="E42" s="17">
        <f ca="1">SUMIF(team_name,$B42,bowl_mdn)</f>
        <v>0</v>
      </c>
      <c r="F42" s="17">
        <f ca="1">SUMIF(team_name,$B42,bowl_wide)</f>
        <v>0</v>
      </c>
      <c r="G42" s="17">
        <f ca="1">SUMIF(team_name,$B42,bowl_nball)</f>
        <v>0</v>
      </c>
      <c r="H42" s="17">
        <f ca="1">SUMIF(team_name,$B42,bowl_run)</f>
        <v>0</v>
      </c>
      <c r="I42" s="17">
        <f ca="1">SUMIF(team_name,$B42,bowl_wktb)</f>
        <v>0</v>
      </c>
      <c r="J42" s="17">
        <f ca="1">SUMIF(team_name,$B42,bowl_wktct)</f>
        <v>0</v>
      </c>
      <c r="K42" s="17">
        <f ca="1">SUMIF(team_name,$B42,bowl_wktlbw)</f>
        <v>0</v>
      </c>
      <c r="L42" s="17">
        <f ca="1">SUMIF(team_name,$B42,bowl_wkthw)</f>
        <v>0</v>
      </c>
      <c r="M42" s="17">
        <f ca="1">SUMIF(team_name,$B42,bowl_wktst)</f>
        <v>0</v>
      </c>
      <c r="N42" s="17">
        <f ca="1">SUMIF(team_name,$B42,bowl_5wkts)</f>
        <v>0</v>
      </c>
      <c r="O42" s="28">
        <f ca="1">IF(SUM(I42:M42)=0,0,SUM(I42:M42))</f>
        <v>0</v>
      </c>
      <c r="P42" s="18" t="str">
        <f ca="1">IF(D42=0,"--",H42/D42)</f>
        <v>--</v>
      </c>
      <c r="Q42" s="18" t="str">
        <f ca="1">IF(ISERROR(H42/O42),"--",H42/O42)</f>
        <v>--</v>
      </c>
      <c r="R42" s="19" t="str">
        <f ca="1">IF(ISERROR(D42/O42),"--",(D42*6)/O42)</f>
        <v>--</v>
      </c>
    </row>
    <row r="43" spans="1:19" ht="15.95" customHeight="1" x14ac:dyDescent="0.15">
      <c r="D43" s="17">
        <f ca="1">SUM(D4:D42)</f>
        <v>794.30000000000007</v>
      </c>
      <c r="E43" s="17">
        <f ca="1">SUM(E4:E42)</f>
        <v>154</v>
      </c>
      <c r="F43" s="17">
        <f ca="1">SUM(F4:F42)</f>
        <v>123</v>
      </c>
      <c r="G43" s="17">
        <f ca="1">SUM(G4:G42)</f>
        <v>27</v>
      </c>
      <c r="H43" s="17">
        <f ca="1">SUM(H4:H42)</f>
        <v>3428</v>
      </c>
      <c r="I43" s="17">
        <f ca="1">SUM(I4:I42)</f>
        <v>59</v>
      </c>
      <c r="J43" s="17">
        <f ca="1">SUM(J4:J42)</f>
        <v>93</v>
      </c>
      <c r="K43" s="17">
        <f ca="1">SUM(K4:K42)</f>
        <v>9</v>
      </c>
      <c r="L43" s="17">
        <f ca="1">SUM(L4:L42)</f>
        <v>0</v>
      </c>
      <c r="M43" s="17">
        <f ca="1">SUM(M4:M42)</f>
        <v>4</v>
      </c>
      <c r="N43" s="17">
        <f ca="1">SUM(N4:N42)</f>
        <v>3</v>
      </c>
      <c r="O43" s="17">
        <f ca="1">SUM(O4:O42)</f>
        <v>165</v>
      </c>
    </row>
  </sheetData>
  <sortState xmlns:xlrd2="http://schemas.microsoft.com/office/spreadsheetml/2017/richdata2" ref="A19:R32">
    <sortCondition ref="Q19:Q32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44"/>
  <sheetViews>
    <sheetView workbookViewId="0">
      <selection activeCell="C1" sqref="C1"/>
    </sheetView>
  </sheetViews>
  <sheetFormatPr defaultColWidth="9.6640625" defaultRowHeight="14.25" x14ac:dyDescent="0.15"/>
  <cols>
    <col min="1" max="1" width="9.6640625" style="1" customWidth="1"/>
    <col min="2" max="2" width="10.5625" style="1" bestFit="1" customWidth="1"/>
    <col min="3" max="257" width="9.6640625" style="1" customWidth="1"/>
  </cols>
  <sheetData>
    <row r="1" spans="1:257" ht="29.1" customHeight="1" x14ac:dyDescent="0.2">
      <c r="A1" s="2" t="s">
        <v>123</v>
      </c>
      <c r="C1" s="33">
        <v>2015</v>
      </c>
    </row>
    <row r="2" spans="1:257" ht="28.5" x14ac:dyDescent="0.15">
      <c r="A2" s="5" t="s">
        <v>24</v>
      </c>
      <c r="B2" s="5"/>
      <c r="C2" s="4" t="s">
        <v>53</v>
      </c>
      <c r="D2" s="13" t="s">
        <v>80</v>
      </c>
      <c r="E2" s="13" t="s">
        <v>82</v>
      </c>
      <c r="F2" s="13" t="s">
        <v>81</v>
      </c>
      <c r="G2" s="13" t="s">
        <v>83</v>
      </c>
      <c r="H2" s="13" t="s">
        <v>84</v>
      </c>
      <c r="I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x14ac:dyDescent="0.15">
      <c r="A3" s="121" t="s">
        <v>34</v>
      </c>
      <c r="B3" s="121" t="s">
        <v>49</v>
      </c>
      <c r="C3" s="121">
        <v>19</v>
      </c>
      <c r="D3" s="121">
        <v>0</v>
      </c>
      <c r="E3" s="121">
        <v>0</v>
      </c>
      <c r="F3" s="121">
        <v>14</v>
      </c>
      <c r="G3" s="121">
        <v>3</v>
      </c>
      <c r="H3" s="123">
        <v>17</v>
      </c>
    </row>
    <row r="4" spans="1:257" x14ac:dyDescent="0.15">
      <c r="A4" s="1" t="s">
        <v>32</v>
      </c>
      <c r="B4" s="1" t="s">
        <v>47</v>
      </c>
      <c r="C4" s="1">
        <v>21</v>
      </c>
      <c r="D4" s="1">
        <v>16</v>
      </c>
      <c r="E4" s="1">
        <v>0</v>
      </c>
      <c r="F4" s="1">
        <v>0</v>
      </c>
      <c r="G4" s="1">
        <v>0</v>
      </c>
      <c r="H4" s="21">
        <v>16</v>
      </c>
    </row>
    <row r="5" spans="1:257" x14ac:dyDescent="0.15">
      <c r="A5" s="1" t="s">
        <v>30</v>
      </c>
      <c r="B5" s="1" t="s">
        <v>48</v>
      </c>
      <c r="C5" s="1">
        <v>15</v>
      </c>
      <c r="D5" s="1">
        <v>10</v>
      </c>
      <c r="E5" s="1">
        <v>4</v>
      </c>
      <c r="F5" s="1">
        <v>0</v>
      </c>
      <c r="G5" s="1">
        <v>0</v>
      </c>
      <c r="H5" s="21">
        <v>14</v>
      </c>
    </row>
    <row r="6" spans="1:257" x14ac:dyDescent="0.15">
      <c r="A6" s="17" t="s">
        <v>220</v>
      </c>
      <c r="B6" s="17" t="s">
        <v>186</v>
      </c>
      <c r="C6" s="1">
        <v>11</v>
      </c>
      <c r="D6" s="17">
        <v>5</v>
      </c>
      <c r="E6" s="17">
        <v>3</v>
      </c>
      <c r="F6" s="17">
        <v>0</v>
      </c>
      <c r="G6" s="17">
        <v>0</v>
      </c>
      <c r="H6" s="21">
        <v>8</v>
      </c>
    </row>
    <row r="7" spans="1:257" x14ac:dyDescent="0.15">
      <c r="A7" s="1" t="s">
        <v>33</v>
      </c>
      <c r="B7" s="17" t="s">
        <v>156</v>
      </c>
      <c r="C7" s="1">
        <v>19</v>
      </c>
      <c r="D7" s="1">
        <v>6</v>
      </c>
      <c r="E7" s="1">
        <v>2</v>
      </c>
      <c r="F7" s="1">
        <v>0</v>
      </c>
      <c r="G7" s="1">
        <v>0</v>
      </c>
      <c r="H7" s="21">
        <v>8</v>
      </c>
    </row>
    <row r="8" spans="1:257" x14ac:dyDescent="0.15">
      <c r="A8" s="1" t="s">
        <v>35</v>
      </c>
      <c r="B8" s="1" t="s">
        <v>103</v>
      </c>
      <c r="C8" s="1">
        <v>8</v>
      </c>
      <c r="D8" s="1">
        <v>6</v>
      </c>
      <c r="E8" s="1">
        <v>0</v>
      </c>
      <c r="F8" s="1">
        <v>0</v>
      </c>
      <c r="G8" s="1">
        <v>0</v>
      </c>
      <c r="H8" s="21">
        <v>6</v>
      </c>
    </row>
    <row r="9" spans="1:257" x14ac:dyDescent="0.15">
      <c r="A9" s="1" t="s">
        <v>38</v>
      </c>
      <c r="B9" s="17" t="s">
        <v>117</v>
      </c>
      <c r="C9" s="1">
        <v>14</v>
      </c>
      <c r="D9" s="1">
        <v>3</v>
      </c>
      <c r="E9" s="1">
        <v>1</v>
      </c>
      <c r="F9" s="1">
        <v>2</v>
      </c>
      <c r="G9" s="1">
        <v>0</v>
      </c>
      <c r="H9" s="21">
        <v>6</v>
      </c>
    </row>
    <row r="10" spans="1:257" x14ac:dyDescent="0.15">
      <c r="A10" s="1" t="s">
        <v>30</v>
      </c>
      <c r="B10" s="1" t="s">
        <v>44</v>
      </c>
      <c r="C10" s="1">
        <v>21</v>
      </c>
      <c r="D10" s="1">
        <v>6</v>
      </c>
      <c r="E10" s="1">
        <v>0</v>
      </c>
      <c r="F10" s="1">
        <v>0</v>
      </c>
      <c r="G10" s="1">
        <v>0</v>
      </c>
      <c r="H10" s="21">
        <v>6</v>
      </c>
    </row>
    <row r="11" spans="1:257" x14ac:dyDescent="0.15">
      <c r="A11" s="1" t="s">
        <v>27</v>
      </c>
      <c r="B11" s="1" t="s">
        <v>41</v>
      </c>
      <c r="C11" s="1">
        <v>4</v>
      </c>
      <c r="D11" s="1">
        <v>2</v>
      </c>
      <c r="E11" s="1">
        <v>0</v>
      </c>
      <c r="F11" s="1">
        <v>2</v>
      </c>
      <c r="G11" s="1">
        <v>1</v>
      </c>
      <c r="H11" s="21">
        <v>5</v>
      </c>
    </row>
    <row r="12" spans="1:257" x14ac:dyDescent="0.15">
      <c r="A12" s="1" t="s">
        <v>28</v>
      </c>
      <c r="B12" s="1" t="s">
        <v>50</v>
      </c>
      <c r="C12" s="1">
        <v>10</v>
      </c>
      <c r="D12" s="1">
        <v>5</v>
      </c>
      <c r="E12" s="1">
        <v>0</v>
      </c>
      <c r="F12" s="1">
        <v>0</v>
      </c>
      <c r="G12" s="1">
        <v>0</v>
      </c>
      <c r="H12" s="21">
        <v>5</v>
      </c>
    </row>
    <row r="13" spans="1:257" x14ac:dyDescent="0.15">
      <c r="A13" s="17" t="s">
        <v>159</v>
      </c>
      <c r="B13" s="17" t="s">
        <v>160</v>
      </c>
      <c r="C13" s="1">
        <v>15</v>
      </c>
      <c r="D13" s="1">
        <v>5</v>
      </c>
      <c r="E13" s="1">
        <v>0</v>
      </c>
      <c r="F13" s="1">
        <v>0</v>
      </c>
      <c r="G13" s="1">
        <v>0</v>
      </c>
      <c r="H13" s="21">
        <v>5</v>
      </c>
    </row>
    <row r="14" spans="1:257" x14ac:dyDescent="0.15">
      <c r="A14" s="1" t="s">
        <v>31</v>
      </c>
      <c r="B14" s="1" t="s">
        <v>45</v>
      </c>
      <c r="C14" s="1">
        <v>11</v>
      </c>
      <c r="D14" s="1">
        <v>3</v>
      </c>
      <c r="E14" s="1">
        <v>1</v>
      </c>
      <c r="F14" s="1">
        <v>0</v>
      </c>
      <c r="G14" s="1">
        <v>0</v>
      </c>
      <c r="H14" s="21">
        <v>4</v>
      </c>
    </row>
    <row r="15" spans="1:257" x14ac:dyDescent="0.15">
      <c r="A15" s="17" t="s">
        <v>187</v>
      </c>
      <c r="B15" s="17" t="s">
        <v>185</v>
      </c>
      <c r="C15" s="1">
        <v>11</v>
      </c>
      <c r="D15" s="1">
        <v>1</v>
      </c>
      <c r="E15" s="1">
        <v>1</v>
      </c>
      <c r="F15" s="1">
        <v>0</v>
      </c>
      <c r="G15" s="1">
        <v>0</v>
      </c>
      <c r="H15" s="21">
        <v>2</v>
      </c>
    </row>
    <row r="16" spans="1:257" x14ac:dyDescent="0.15">
      <c r="A16" s="17" t="s">
        <v>261</v>
      </c>
      <c r="B16" s="17" t="s">
        <v>239</v>
      </c>
      <c r="C16" s="1">
        <v>1</v>
      </c>
      <c r="D16" s="17">
        <v>1</v>
      </c>
      <c r="E16" s="17">
        <v>0</v>
      </c>
      <c r="F16" s="17">
        <v>0</v>
      </c>
      <c r="G16" s="17">
        <v>0</v>
      </c>
      <c r="H16" s="21">
        <v>1</v>
      </c>
    </row>
    <row r="17" spans="1:8" x14ac:dyDescent="0.15">
      <c r="A17" s="1" t="s">
        <v>29</v>
      </c>
      <c r="B17" s="1" t="s">
        <v>43</v>
      </c>
      <c r="C17" s="1">
        <v>3</v>
      </c>
      <c r="D17" s="1">
        <v>1</v>
      </c>
      <c r="E17" s="1">
        <v>0</v>
      </c>
      <c r="F17" s="1">
        <v>0</v>
      </c>
      <c r="G17" s="1">
        <v>0</v>
      </c>
      <c r="H17" s="21">
        <v>1</v>
      </c>
    </row>
    <row r="18" spans="1:8" x14ac:dyDescent="0.15">
      <c r="A18" s="1" t="s">
        <v>28</v>
      </c>
      <c r="B18" s="1" t="s">
        <v>42</v>
      </c>
      <c r="C18" s="1">
        <v>4</v>
      </c>
      <c r="D18" s="1">
        <v>1</v>
      </c>
      <c r="E18" s="1">
        <v>0</v>
      </c>
      <c r="F18" s="1">
        <v>0</v>
      </c>
      <c r="G18" s="1">
        <v>0</v>
      </c>
      <c r="H18" s="21">
        <v>1</v>
      </c>
    </row>
    <row r="19" spans="1:8" x14ac:dyDescent="0.15">
      <c r="A19" s="1" t="s">
        <v>101</v>
      </c>
      <c r="B19" s="1" t="s">
        <v>102</v>
      </c>
      <c r="C19" s="1">
        <v>5</v>
      </c>
      <c r="D19" s="1">
        <v>1</v>
      </c>
      <c r="E19" s="1">
        <v>0</v>
      </c>
      <c r="F19" s="1">
        <v>0</v>
      </c>
      <c r="G19" s="1">
        <v>0</v>
      </c>
      <c r="H19" s="21">
        <v>1</v>
      </c>
    </row>
    <row r="20" spans="1:8" x14ac:dyDescent="0.15">
      <c r="A20" s="1" t="s">
        <v>26</v>
      </c>
      <c r="B20" s="1" t="s">
        <v>40</v>
      </c>
      <c r="C20" s="1">
        <v>9</v>
      </c>
      <c r="D20" s="1">
        <v>0</v>
      </c>
      <c r="E20" s="1">
        <v>1</v>
      </c>
      <c r="F20" s="1">
        <v>0</v>
      </c>
      <c r="G20" s="1">
        <v>0</v>
      </c>
      <c r="H20" s="21">
        <v>1</v>
      </c>
    </row>
    <row r="21" spans="1:8" x14ac:dyDescent="0.15">
      <c r="H21" s="21"/>
    </row>
    <row r="22" spans="1:8" x14ac:dyDescent="0.15">
      <c r="A22" s="17" t="s">
        <v>321</v>
      </c>
      <c r="B22" s="1" t="s">
        <v>326</v>
      </c>
      <c r="H22" s="21"/>
    </row>
    <row r="23" spans="1:8" hidden="1" x14ac:dyDescent="0.15">
      <c r="A23" s="17" t="s">
        <v>112</v>
      </c>
      <c r="B23" s="17" t="s">
        <v>111</v>
      </c>
      <c r="C23" s="1">
        <v>15</v>
      </c>
      <c r="D23" s="1">
        <v>0</v>
      </c>
      <c r="E23" s="1">
        <v>0</v>
      </c>
      <c r="F23" s="1">
        <v>0</v>
      </c>
      <c r="G23" s="1">
        <v>0</v>
      </c>
      <c r="H23" s="21" t="s">
        <v>335</v>
      </c>
    </row>
    <row r="24" spans="1:8" hidden="1" x14ac:dyDescent="0.15">
      <c r="A24" s="17" t="s">
        <v>104</v>
      </c>
      <c r="B24" s="17" t="s">
        <v>214</v>
      </c>
      <c r="C24" s="1">
        <v>7</v>
      </c>
      <c r="D24" s="1">
        <v>0</v>
      </c>
      <c r="E24" s="1">
        <v>0</v>
      </c>
      <c r="F24" s="1">
        <v>0</v>
      </c>
      <c r="G24" s="1">
        <v>0</v>
      </c>
      <c r="H24" s="21" t="s">
        <v>335</v>
      </c>
    </row>
    <row r="25" spans="1:8" hidden="1" x14ac:dyDescent="0.15">
      <c r="A25" s="17" t="s">
        <v>276</v>
      </c>
      <c r="B25" s="17" t="s">
        <v>268</v>
      </c>
      <c r="C25" s="1">
        <v>7</v>
      </c>
      <c r="D25" s="1">
        <v>0</v>
      </c>
      <c r="E25" s="1">
        <v>0</v>
      </c>
      <c r="F25" s="1">
        <v>0</v>
      </c>
      <c r="G25" s="1">
        <v>0</v>
      </c>
      <c r="H25" s="21" t="s">
        <v>335</v>
      </c>
    </row>
    <row r="26" spans="1:8" hidden="1" x14ac:dyDescent="0.15">
      <c r="A26" s="1" t="s">
        <v>99</v>
      </c>
      <c r="B26" s="1" t="s">
        <v>100</v>
      </c>
      <c r="C26" s="1">
        <v>3</v>
      </c>
      <c r="D26" s="1">
        <v>0</v>
      </c>
      <c r="E26" s="1">
        <v>0</v>
      </c>
      <c r="F26" s="1">
        <v>0</v>
      </c>
      <c r="G26" s="1">
        <v>0</v>
      </c>
      <c r="H26" s="21" t="s">
        <v>335</v>
      </c>
    </row>
    <row r="27" spans="1:8" hidden="1" x14ac:dyDescent="0.15">
      <c r="A27" s="1" t="s">
        <v>36</v>
      </c>
      <c r="B27" s="1" t="s">
        <v>51</v>
      </c>
      <c r="C27" s="1">
        <v>3</v>
      </c>
      <c r="D27" s="1">
        <v>0</v>
      </c>
      <c r="E27" s="1">
        <v>0</v>
      </c>
      <c r="F27" s="1">
        <v>0</v>
      </c>
      <c r="G27" s="1">
        <v>0</v>
      </c>
      <c r="H27" s="21" t="s">
        <v>335</v>
      </c>
    </row>
    <row r="28" spans="1:8" hidden="1" x14ac:dyDescent="0.15">
      <c r="A28" s="17" t="s">
        <v>295</v>
      </c>
      <c r="B28" s="67" t="s">
        <v>291</v>
      </c>
      <c r="C28" s="1">
        <v>2</v>
      </c>
      <c r="D28" s="1">
        <v>0</v>
      </c>
      <c r="E28" s="1">
        <v>0</v>
      </c>
      <c r="F28" s="1">
        <v>0</v>
      </c>
      <c r="G28" s="1">
        <v>0</v>
      </c>
      <c r="H28" s="21" t="s">
        <v>335</v>
      </c>
    </row>
    <row r="29" spans="1:8" hidden="1" x14ac:dyDescent="0.15">
      <c r="A29" s="17" t="s">
        <v>129</v>
      </c>
      <c r="B29" s="17" t="s">
        <v>128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21" t="s">
        <v>335</v>
      </c>
    </row>
    <row r="30" spans="1:8" hidden="1" x14ac:dyDescent="0.15">
      <c r="A30" s="17" t="s">
        <v>119</v>
      </c>
      <c r="B30" s="17" t="s">
        <v>118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21" t="s">
        <v>335</v>
      </c>
    </row>
    <row r="31" spans="1:8" hidden="1" x14ac:dyDescent="0.15">
      <c r="A31" s="1" t="s">
        <v>25</v>
      </c>
      <c r="B31" s="1" t="s">
        <v>39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21" t="s">
        <v>335</v>
      </c>
    </row>
    <row r="32" spans="1:8" hidden="1" x14ac:dyDescent="0.15">
      <c r="A32" s="17" t="s">
        <v>334</v>
      </c>
      <c r="B32" s="17" t="s">
        <v>287</v>
      </c>
      <c r="C32" s="1">
        <v>1</v>
      </c>
      <c r="D32" s="17">
        <v>0</v>
      </c>
      <c r="E32" s="17">
        <v>0</v>
      </c>
      <c r="F32" s="17">
        <v>0</v>
      </c>
      <c r="G32" s="17">
        <v>0</v>
      </c>
      <c r="H32" s="21" t="s">
        <v>335</v>
      </c>
    </row>
    <row r="33" spans="1:8" hidden="1" x14ac:dyDescent="0.15">
      <c r="A33" s="1" t="s">
        <v>37</v>
      </c>
      <c r="B33" s="1" t="s">
        <v>52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21" t="s">
        <v>335</v>
      </c>
    </row>
    <row r="34" spans="1:8" hidden="1" x14ac:dyDescent="0.15">
      <c r="A34" s="17" t="s">
        <v>332</v>
      </c>
      <c r="B34" s="17" t="s">
        <v>284</v>
      </c>
      <c r="C34" s="1">
        <v>1</v>
      </c>
      <c r="D34" s="17">
        <v>0</v>
      </c>
      <c r="E34" s="17">
        <v>0</v>
      </c>
      <c r="F34" s="17">
        <v>0</v>
      </c>
      <c r="G34" s="17">
        <v>0</v>
      </c>
      <c r="H34" s="21" t="s">
        <v>335</v>
      </c>
    </row>
    <row r="35" spans="1:8" hidden="1" x14ac:dyDescent="0.15">
      <c r="A35" s="17" t="s">
        <v>194</v>
      </c>
      <c r="B35" s="17" t="s">
        <v>198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21" t="s">
        <v>335</v>
      </c>
    </row>
    <row r="36" spans="1:8" x14ac:dyDescent="0.15">
      <c r="D36" s="17">
        <v>72</v>
      </c>
      <c r="E36" s="17">
        <v>13</v>
      </c>
      <c r="F36" s="17">
        <v>18</v>
      </c>
      <c r="G36" s="17">
        <v>4</v>
      </c>
      <c r="H36" s="25">
        <v>107</v>
      </c>
    </row>
    <row r="38" spans="1:8" x14ac:dyDescent="0.15">
      <c r="A38" s="1" t="s">
        <v>79</v>
      </c>
    </row>
    <row r="39" spans="1:8" ht="28.5" x14ac:dyDescent="0.15">
      <c r="C39" s="4" t="s">
        <v>53</v>
      </c>
      <c r="D39" s="4" t="s">
        <v>317</v>
      </c>
      <c r="E39" s="13" t="s">
        <v>81</v>
      </c>
      <c r="F39" s="13" t="s">
        <v>83</v>
      </c>
      <c r="G39" s="4" t="s">
        <v>85</v>
      </c>
      <c r="H39" s="13" t="s">
        <v>106</v>
      </c>
    </row>
    <row r="40" spans="1:8" x14ac:dyDescent="0.15">
      <c r="A40" s="1" t="s">
        <v>34</v>
      </c>
      <c r="B40" s="1" t="s">
        <v>49</v>
      </c>
      <c r="C40" s="1">
        <v>19</v>
      </c>
      <c r="D40" s="1">
        <v>19</v>
      </c>
      <c r="E40" s="1">
        <v>14</v>
      </c>
      <c r="F40" s="1">
        <v>3</v>
      </c>
      <c r="G40" s="21">
        <v>17</v>
      </c>
      <c r="H40" s="1">
        <v>68</v>
      </c>
    </row>
    <row r="41" spans="1:8" x14ac:dyDescent="0.15">
      <c r="A41" s="17" t="s">
        <v>35</v>
      </c>
      <c r="B41" s="17" t="s">
        <v>103</v>
      </c>
      <c r="C41" s="1">
        <v>8</v>
      </c>
      <c r="D41" s="1">
        <v>1</v>
      </c>
      <c r="E41" s="1">
        <v>0</v>
      </c>
      <c r="F41" s="1">
        <v>0</v>
      </c>
      <c r="G41" s="21" t="s">
        <v>335</v>
      </c>
      <c r="H41" s="1">
        <v>4</v>
      </c>
    </row>
    <row r="42" spans="1:8" x14ac:dyDescent="0.15">
      <c r="A42" s="17" t="s">
        <v>38</v>
      </c>
      <c r="B42" s="17" t="s">
        <v>117</v>
      </c>
      <c r="C42" s="1">
        <v>14</v>
      </c>
      <c r="D42" s="1">
        <v>1</v>
      </c>
      <c r="E42" s="1">
        <v>2</v>
      </c>
      <c r="F42" s="1">
        <v>0</v>
      </c>
      <c r="G42" s="21">
        <v>2</v>
      </c>
      <c r="H42" s="1">
        <v>1</v>
      </c>
    </row>
    <row r="43" spans="1:8" x14ac:dyDescent="0.15">
      <c r="A43" s="1" t="s">
        <v>27</v>
      </c>
      <c r="B43" s="1" t="s">
        <v>41</v>
      </c>
      <c r="C43" s="1">
        <v>4</v>
      </c>
      <c r="D43" s="1">
        <v>1</v>
      </c>
      <c r="E43" s="1">
        <v>2</v>
      </c>
      <c r="F43" s="1">
        <v>1</v>
      </c>
      <c r="G43" s="21">
        <v>3</v>
      </c>
      <c r="H43" s="1">
        <v>7</v>
      </c>
    </row>
    <row r="44" spans="1:8" x14ac:dyDescent="0.15">
      <c r="A44" s="17" t="s">
        <v>276</v>
      </c>
      <c r="B44" s="17" t="s">
        <v>268</v>
      </c>
      <c r="C44" s="1">
        <v>7</v>
      </c>
      <c r="D44" s="1">
        <v>1</v>
      </c>
      <c r="E44" s="1">
        <v>0</v>
      </c>
      <c r="F44" s="1">
        <v>0</v>
      </c>
      <c r="G44" s="21" t="s">
        <v>335</v>
      </c>
      <c r="H44" s="1">
        <v>6</v>
      </c>
    </row>
  </sheetData>
  <sortState xmlns:xlrd2="http://schemas.microsoft.com/office/spreadsheetml/2017/richdata2" ref="A3:H20">
    <sortCondition descending="1" ref="H3:H20"/>
    <sortCondition ref="C3:C20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C1" sqref="C1"/>
    </sheetView>
  </sheetViews>
  <sheetFormatPr defaultColWidth="9.6640625" defaultRowHeight="14.25" x14ac:dyDescent="0.15"/>
  <cols>
    <col min="1" max="1" width="11.01171875" style="1" customWidth="1"/>
    <col min="2" max="2" width="10.44921875" style="1" customWidth="1"/>
    <col min="3" max="16384" width="9.6640625" style="1"/>
  </cols>
  <sheetData>
    <row r="1" spans="1:6" ht="26.1" customHeight="1" x14ac:dyDescent="0.2">
      <c r="A1" s="2" t="s">
        <v>124</v>
      </c>
      <c r="C1" s="2">
        <v>2015</v>
      </c>
    </row>
    <row r="2" spans="1:6" ht="28.5" x14ac:dyDescent="0.15">
      <c r="A2" s="8" t="s">
        <v>24</v>
      </c>
      <c r="B2" s="8"/>
      <c r="C2" s="4" t="s">
        <v>53</v>
      </c>
      <c r="D2" s="4" t="s">
        <v>54</v>
      </c>
      <c r="E2" s="4" t="s">
        <v>57</v>
      </c>
    </row>
    <row r="3" spans="1:6" x14ac:dyDescent="0.15">
      <c r="A3" s="121" t="s">
        <v>35</v>
      </c>
      <c r="B3" s="121" t="s">
        <v>103</v>
      </c>
      <c r="C3" s="121">
        <v>8</v>
      </c>
      <c r="D3" s="121">
        <v>7</v>
      </c>
      <c r="E3" s="121">
        <v>3</v>
      </c>
    </row>
    <row r="4" spans="1:6" x14ac:dyDescent="0.15">
      <c r="A4" s="1" t="s">
        <v>30</v>
      </c>
      <c r="B4" s="1" t="s">
        <v>44</v>
      </c>
      <c r="C4" s="1">
        <v>21</v>
      </c>
      <c r="D4" s="1">
        <v>6</v>
      </c>
      <c r="E4" s="1">
        <v>2</v>
      </c>
    </row>
    <row r="5" spans="1:6" x14ac:dyDescent="0.15">
      <c r="A5" s="1" t="s">
        <v>38</v>
      </c>
      <c r="B5" s="17" t="s">
        <v>117</v>
      </c>
      <c r="C5" s="1">
        <v>14</v>
      </c>
      <c r="D5" s="1">
        <v>8</v>
      </c>
      <c r="E5" s="1">
        <v>2</v>
      </c>
      <c r="F5" s="17"/>
    </row>
    <row r="6" spans="1:6" x14ac:dyDescent="0.15">
      <c r="A6" s="1" t="s">
        <v>34</v>
      </c>
      <c r="B6" s="1" t="s">
        <v>49</v>
      </c>
      <c r="C6" s="1">
        <v>19</v>
      </c>
      <c r="D6" s="1">
        <v>9</v>
      </c>
      <c r="E6" s="1">
        <v>2</v>
      </c>
      <c r="F6" s="17"/>
    </row>
    <row r="7" spans="1:6" x14ac:dyDescent="0.15">
      <c r="A7" s="17" t="s">
        <v>112</v>
      </c>
      <c r="B7" s="17" t="s">
        <v>111</v>
      </c>
      <c r="C7" s="1">
        <v>15</v>
      </c>
      <c r="D7" s="1">
        <v>14</v>
      </c>
      <c r="E7" s="1">
        <v>2</v>
      </c>
    </row>
    <row r="8" spans="1:6" x14ac:dyDescent="0.15">
      <c r="A8" s="1" t="s">
        <v>31</v>
      </c>
      <c r="B8" s="1" t="s">
        <v>45</v>
      </c>
      <c r="C8" s="1">
        <v>11</v>
      </c>
      <c r="D8" s="1">
        <v>6</v>
      </c>
      <c r="E8" s="1">
        <v>1</v>
      </c>
    </row>
    <row r="9" spans="1:6" x14ac:dyDescent="0.15">
      <c r="A9" s="17" t="s">
        <v>187</v>
      </c>
      <c r="B9" s="17" t="s">
        <v>185</v>
      </c>
      <c r="C9" s="1">
        <v>11</v>
      </c>
      <c r="D9" s="1">
        <v>8</v>
      </c>
      <c r="E9" s="1">
        <v>1</v>
      </c>
      <c r="F9" s="17"/>
    </row>
    <row r="10" spans="1:6" x14ac:dyDescent="0.15">
      <c r="A10" s="17" t="s">
        <v>159</v>
      </c>
      <c r="B10" s="17" t="s">
        <v>160</v>
      </c>
      <c r="C10" s="1">
        <v>15</v>
      </c>
      <c r="D10" s="1">
        <v>13</v>
      </c>
      <c r="E10" s="1">
        <v>1</v>
      </c>
    </row>
    <row r="11" spans="1:6" x14ac:dyDescent="0.15">
      <c r="A11" s="1" t="s">
        <v>33</v>
      </c>
      <c r="B11" s="17" t="s">
        <v>156</v>
      </c>
      <c r="C11" s="1">
        <v>19</v>
      </c>
      <c r="D11" s="1">
        <v>16</v>
      </c>
      <c r="E11" s="1">
        <v>1</v>
      </c>
    </row>
    <row r="12" spans="1:6" x14ac:dyDescent="0.15">
      <c r="A12" s="1" t="s">
        <v>32</v>
      </c>
      <c r="B12" s="1" t="s">
        <v>47</v>
      </c>
      <c r="C12" s="1">
        <v>21</v>
      </c>
      <c r="D12" s="1">
        <v>21</v>
      </c>
      <c r="E12" s="1">
        <v>1</v>
      </c>
      <c r="F12" s="17"/>
    </row>
    <row r="13" spans="1:6" x14ac:dyDescent="0.15">
      <c r="F13" s="17"/>
    </row>
    <row r="14" spans="1:6" x14ac:dyDescent="0.15">
      <c r="A14" s="17" t="s">
        <v>327</v>
      </c>
      <c r="B14" s="1" t="s">
        <v>328</v>
      </c>
    </row>
    <row r="15" spans="1:6" x14ac:dyDescent="0.15">
      <c r="A15" s="17" t="s">
        <v>323</v>
      </c>
      <c r="B15" s="17" t="s">
        <v>330</v>
      </c>
    </row>
    <row r="16" spans="1:6" x14ac:dyDescent="0.15">
      <c r="A16" s="17"/>
      <c r="B16" s="17"/>
    </row>
    <row r="17" spans="1:6" x14ac:dyDescent="0.15">
      <c r="A17" s="17" t="s">
        <v>329</v>
      </c>
      <c r="B17" s="17"/>
    </row>
    <row r="18" spans="1:6" x14ac:dyDescent="0.15">
      <c r="A18" s="17" t="s">
        <v>104</v>
      </c>
      <c r="B18" s="17" t="s">
        <v>214</v>
      </c>
      <c r="C18" s="1">
        <v>7</v>
      </c>
      <c r="D18" s="1">
        <v>4</v>
      </c>
      <c r="E18" s="1">
        <v>2</v>
      </c>
    </row>
    <row r="19" spans="1:6" x14ac:dyDescent="0.15">
      <c r="A19" s="17" t="s">
        <v>295</v>
      </c>
      <c r="B19" s="67" t="s">
        <v>291</v>
      </c>
      <c r="C19" s="1">
        <v>2</v>
      </c>
      <c r="D19" s="1">
        <v>2</v>
      </c>
      <c r="E19" s="1">
        <v>1</v>
      </c>
      <c r="F19" s="17"/>
    </row>
    <row r="20" spans="1:6" x14ac:dyDescent="0.15">
      <c r="F20" s="17"/>
    </row>
    <row r="21" spans="1:6" hidden="1" x14ac:dyDescent="0.15">
      <c r="A21" s="17" t="s">
        <v>194</v>
      </c>
      <c r="B21" s="17" t="s">
        <v>198</v>
      </c>
      <c r="C21" s="1">
        <v>1</v>
      </c>
      <c r="D21" s="1">
        <v>0</v>
      </c>
      <c r="E21" s="1">
        <v>0</v>
      </c>
      <c r="F21" s="17"/>
    </row>
    <row r="22" spans="1:6" hidden="1" x14ac:dyDescent="0.15">
      <c r="A22" s="1" t="s">
        <v>36</v>
      </c>
      <c r="B22" s="1" t="s">
        <v>51</v>
      </c>
      <c r="C22" s="1">
        <v>3</v>
      </c>
      <c r="D22" s="1">
        <v>0</v>
      </c>
      <c r="E22" s="1">
        <v>0</v>
      </c>
    </row>
    <row r="23" spans="1:6" hidden="1" x14ac:dyDescent="0.15">
      <c r="A23" s="17" t="s">
        <v>129</v>
      </c>
      <c r="B23" s="17" t="s">
        <v>128</v>
      </c>
      <c r="C23" s="1">
        <v>1</v>
      </c>
      <c r="D23" s="1">
        <v>1</v>
      </c>
      <c r="E23" s="1">
        <v>0</v>
      </c>
    </row>
    <row r="24" spans="1:6" hidden="1" x14ac:dyDescent="0.15">
      <c r="A24" s="17" t="s">
        <v>119</v>
      </c>
      <c r="B24" s="17" t="s">
        <v>118</v>
      </c>
      <c r="C24" s="1">
        <v>1</v>
      </c>
      <c r="D24" s="1">
        <v>1</v>
      </c>
      <c r="E24" s="1">
        <v>0</v>
      </c>
      <c r="F24" s="17"/>
    </row>
    <row r="25" spans="1:6" hidden="1" x14ac:dyDescent="0.15">
      <c r="A25" s="1" t="s">
        <v>25</v>
      </c>
      <c r="B25" s="1" t="s">
        <v>39</v>
      </c>
      <c r="C25" s="1">
        <v>1</v>
      </c>
      <c r="D25" s="1">
        <v>1</v>
      </c>
      <c r="E25" s="1">
        <v>0</v>
      </c>
    </row>
    <row r="26" spans="1:6" hidden="1" x14ac:dyDescent="0.15">
      <c r="A26" s="1" t="s">
        <v>37</v>
      </c>
      <c r="B26" s="1" t="s">
        <v>52</v>
      </c>
      <c r="C26" s="1">
        <v>1</v>
      </c>
      <c r="D26" s="1">
        <v>1</v>
      </c>
      <c r="E26" s="1">
        <v>0</v>
      </c>
    </row>
    <row r="27" spans="1:6" hidden="1" x14ac:dyDescent="0.15">
      <c r="A27" s="1" t="s">
        <v>101</v>
      </c>
      <c r="B27" s="1" t="s">
        <v>102</v>
      </c>
      <c r="C27" s="1">
        <v>5</v>
      </c>
      <c r="D27" s="1">
        <v>2</v>
      </c>
      <c r="E27" s="1">
        <v>0</v>
      </c>
      <c r="F27" s="17"/>
    </row>
    <row r="28" spans="1:6" hidden="1" x14ac:dyDescent="0.15">
      <c r="A28" s="1" t="s">
        <v>29</v>
      </c>
      <c r="B28" s="1" t="s">
        <v>43</v>
      </c>
      <c r="C28" s="1">
        <v>3</v>
      </c>
      <c r="D28" s="1">
        <v>3</v>
      </c>
      <c r="E28" s="1">
        <v>0</v>
      </c>
      <c r="F28" s="17"/>
    </row>
    <row r="29" spans="1:6" hidden="1" x14ac:dyDescent="0.15">
      <c r="A29" s="1" t="s">
        <v>99</v>
      </c>
      <c r="B29" s="1" t="s">
        <v>100</v>
      </c>
      <c r="C29" s="1">
        <v>3</v>
      </c>
      <c r="D29" s="1">
        <v>3</v>
      </c>
      <c r="E29" s="1">
        <v>0</v>
      </c>
      <c r="F29" s="17"/>
    </row>
    <row r="30" spans="1:6" hidden="1" x14ac:dyDescent="0.15">
      <c r="A30" s="1" t="s">
        <v>27</v>
      </c>
      <c r="B30" s="1" t="s">
        <v>41</v>
      </c>
      <c r="C30" s="1">
        <v>4</v>
      </c>
      <c r="D30" s="1">
        <v>4</v>
      </c>
      <c r="E30" s="1">
        <v>0</v>
      </c>
    </row>
    <row r="31" spans="1:6" hidden="1" x14ac:dyDescent="0.15">
      <c r="A31" s="1" t="s">
        <v>28</v>
      </c>
      <c r="B31" s="1" t="s">
        <v>42</v>
      </c>
      <c r="C31" s="1">
        <v>4</v>
      </c>
      <c r="D31" s="1">
        <v>4</v>
      </c>
      <c r="E31" s="1">
        <v>0</v>
      </c>
      <c r="F31" s="17"/>
    </row>
    <row r="32" spans="1:6" hidden="1" x14ac:dyDescent="0.15">
      <c r="A32" s="17" t="s">
        <v>276</v>
      </c>
      <c r="B32" s="17" t="s">
        <v>268</v>
      </c>
      <c r="C32" s="1">
        <v>7</v>
      </c>
      <c r="D32" s="1">
        <v>6</v>
      </c>
      <c r="E32" s="1">
        <v>0</v>
      </c>
      <c r="F32" s="17"/>
    </row>
    <row r="33" spans="1:6" hidden="1" x14ac:dyDescent="0.15">
      <c r="A33" s="1" t="s">
        <v>28</v>
      </c>
      <c r="B33" s="1" t="s">
        <v>50</v>
      </c>
      <c r="C33" s="1">
        <v>10</v>
      </c>
      <c r="D33" s="1">
        <v>6</v>
      </c>
      <c r="E33" s="1">
        <v>0</v>
      </c>
    </row>
    <row r="34" spans="1:6" hidden="1" x14ac:dyDescent="0.15">
      <c r="A34" s="1" t="s">
        <v>26</v>
      </c>
      <c r="B34" s="1" t="s">
        <v>40</v>
      </c>
      <c r="C34" s="1">
        <v>9</v>
      </c>
      <c r="D34" s="1">
        <v>9</v>
      </c>
      <c r="E34" s="1">
        <v>0</v>
      </c>
    </row>
    <row r="35" spans="1:6" hidden="1" x14ac:dyDescent="0.15">
      <c r="A35" s="17" t="s">
        <v>220</v>
      </c>
      <c r="B35" s="17" t="s">
        <v>186</v>
      </c>
      <c r="C35" s="1">
        <v>11</v>
      </c>
      <c r="D35" s="1">
        <v>11</v>
      </c>
      <c r="E35" s="1">
        <v>0</v>
      </c>
      <c r="F35" s="17"/>
    </row>
    <row r="36" spans="1:6" hidden="1" x14ac:dyDescent="0.15">
      <c r="A36" s="1" t="s">
        <v>30</v>
      </c>
      <c r="B36" s="1" t="s">
        <v>48</v>
      </c>
      <c r="C36" s="1">
        <v>15</v>
      </c>
      <c r="D36" s="1">
        <v>12</v>
      </c>
      <c r="E36" s="1">
        <v>0</v>
      </c>
      <c r="F36" s="17"/>
    </row>
    <row r="37" spans="1:6" x14ac:dyDescent="0.15">
      <c r="A37" s="17"/>
      <c r="B37" s="17"/>
      <c r="F37" s="17"/>
    </row>
  </sheetData>
  <sortState xmlns:xlrd2="http://schemas.microsoft.com/office/spreadsheetml/2017/richdata2" ref="A3:E12">
    <sortCondition descending="1" ref="E3:E12"/>
    <sortCondition ref="D3:D12"/>
    <sortCondition ref="C3:C12"/>
  </sortState>
  <phoneticPr fontId="8" type="noConversion"/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47"/>
  <sheetViews>
    <sheetView workbookViewId="0">
      <selection activeCell="D1" sqref="D1"/>
    </sheetView>
  </sheetViews>
  <sheetFormatPr defaultColWidth="9.6640625" defaultRowHeight="14.25" x14ac:dyDescent="0.15"/>
  <cols>
    <col min="1" max="1" width="11.125" style="1" customWidth="1"/>
    <col min="2" max="2" width="11.4609375" style="1" customWidth="1"/>
    <col min="3" max="3" width="9.6640625" style="1" customWidth="1"/>
    <col min="4" max="5" width="7.75390625" style="1" customWidth="1"/>
    <col min="6" max="11" width="6.7421875" style="1" customWidth="1"/>
    <col min="12" max="12" width="7.86328125" style="1" customWidth="1"/>
    <col min="13" max="14" width="7.75390625" style="1" customWidth="1"/>
    <col min="15" max="15" width="7.9765625" style="1" bestFit="1" customWidth="1"/>
    <col min="16" max="16" width="7.30078125" style="1" customWidth="1"/>
    <col min="17" max="17" width="6.515625" style="1" bestFit="1" customWidth="1"/>
    <col min="18" max="18" width="8.08984375" style="1" customWidth="1"/>
    <col min="19" max="255" width="9.6640625" style="1" customWidth="1"/>
  </cols>
  <sheetData>
    <row r="1" spans="1:254" ht="24.95" customHeight="1" x14ac:dyDescent="0.2">
      <c r="A1" s="2" t="s">
        <v>125</v>
      </c>
      <c r="D1" s="33">
        <f>'Match Summary'!D1</f>
        <v>2015</v>
      </c>
    </row>
    <row r="2" spans="1:254" x14ac:dyDescent="0.15">
      <c r="A2" s="17" t="s">
        <v>155</v>
      </c>
      <c r="E2" s="1">
        <v>1</v>
      </c>
      <c r="F2" s="1">
        <v>50</v>
      </c>
      <c r="G2" s="1">
        <v>50</v>
      </c>
      <c r="H2" s="1">
        <v>2</v>
      </c>
      <c r="I2" s="1">
        <v>5</v>
      </c>
      <c r="J2" s="1">
        <v>-5</v>
      </c>
      <c r="L2" s="1">
        <v>10</v>
      </c>
      <c r="M2" s="1">
        <v>50</v>
      </c>
      <c r="N2" s="1">
        <v>20</v>
      </c>
      <c r="O2" s="1">
        <v>20</v>
      </c>
      <c r="P2" s="1">
        <v>20</v>
      </c>
      <c r="Q2" s="1">
        <v>20</v>
      </c>
    </row>
    <row r="3" spans="1:254" ht="30.75" customHeight="1" x14ac:dyDescent="0.15">
      <c r="A3" s="5" t="s">
        <v>24</v>
      </c>
      <c r="B3" s="14"/>
      <c r="C3" s="4" t="s">
        <v>53</v>
      </c>
      <c r="D3" s="4" t="s">
        <v>54</v>
      </c>
      <c r="E3" s="4" t="s">
        <v>55</v>
      </c>
      <c r="F3" s="13" t="s">
        <v>61</v>
      </c>
      <c r="G3" s="13" t="s">
        <v>62</v>
      </c>
      <c r="H3" s="13" t="s">
        <v>87</v>
      </c>
      <c r="I3" s="13" t="s">
        <v>88</v>
      </c>
      <c r="J3" s="13" t="s">
        <v>57</v>
      </c>
      <c r="K3" s="13" t="s">
        <v>89</v>
      </c>
      <c r="L3" s="13" t="s">
        <v>14</v>
      </c>
      <c r="M3" s="13" t="s">
        <v>90</v>
      </c>
      <c r="N3" s="13" t="s">
        <v>91</v>
      </c>
      <c r="O3" s="13" t="s">
        <v>92</v>
      </c>
      <c r="P3" s="13" t="s">
        <v>93</v>
      </c>
      <c r="Q3" s="13" t="s">
        <v>94</v>
      </c>
      <c r="R3" s="4" t="s">
        <v>95</v>
      </c>
      <c r="S3" s="13" t="s">
        <v>96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x14ac:dyDescent="0.15">
      <c r="A4" s="120" t="s">
        <v>220</v>
      </c>
      <c r="B4" s="120" t="s">
        <v>186</v>
      </c>
      <c r="C4" s="121">
        <v>11</v>
      </c>
      <c r="D4" s="121">
        <v>11</v>
      </c>
      <c r="E4" s="121">
        <v>474</v>
      </c>
      <c r="F4" s="121">
        <v>1</v>
      </c>
      <c r="G4" s="121">
        <v>3</v>
      </c>
      <c r="H4" s="121">
        <v>60</v>
      </c>
      <c r="I4" s="121">
        <v>7</v>
      </c>
      <c r="J4" s="121">
        <v>0</v>
      </c>
      <c r="K4" s="121">
        <v>43</v>
      </c>
      <c r="L4" s="121">
        <v>16</v>
      </c>
      <c r="M4" s="121">
        <v>0</v>
      </c>
      <c r="N4" s="121">
        <v>5</v>
      </c>
      <c r="O4" s="121">
        <v>3</v>
      </c>
      <c r="P4" s="121">
        <v>0</v>
      </c>
      <c r="Q4" s="121">
        <v>0</v>
      </c>
      <c r="R4" s="121">
        <v>1149</v>
      </c>
      <c r="S4" s="122">
        <v>104.45454545454545</v>
      </c>
    </row>
    <row r="5" spans="1:254" x14ac:dyDescent="0.15">
      <c r="A5" s="1" t="s">
        <v>30</v>
      </c>
      <c r="B5" s="1" t="s">
        <v>48</v>
      </c>
      <c r="C5" s="1">
        <v>15</v>
      </c>
      <c r="D5" s="1">
        <v>12</v>
      </c>
      <c r="E5" s="1">
        <v>470</v>
      </c>
      <c r="F5" s="1">
        <v>1</v>
      </c>
      <c r="G5" s="1">
        <v>3</v>
      </c>
      <c r="H5" s="1">
        <v>67</v>
      </c>
      <c r="I5" s="1">
        <v>2</v>
      </c>
      <c r="J5" s="1">
        <v>0</v>
      </c>
      <c r="K5" s="1">
        <v>81.099999999999994</v>
      </c>
      <c r="L5" s="1">
        <v>22</v>
      </c>
      <c r="M5" s="1">
        <v>1</v>
      </c>
      <c r="N5" s="1">
        <v>10</v>
      </c>
      <c r="O5" s="1">
        <v>4</v>
      </c>
      <c r="P5" s="1">
        <v>0</v>
      </c>
      <c r="Q5" s="1">
        <v>0</v>
      </c>
      <c r="R5" s="1">
        <v>1364</v>
      </c>
      <c r="S5" s="9">
        <v>90.933333333333337</v>
      </c>
    </row>
    <row r="6" spans="1:254" x14ac:dyDescent="0.15">
      <c r="A6" s="1" t="s">
        <v>32</v>
      </c>
      <c r="B6" s="1" t="s">
        <v>47</v>
      </c>
      <c r="C6" s="1">
        <v>21</v>
      </c>
      <c r="D6" s="1">
        <v>21</v>
      </c>
      <c r="E6" s="1">
        <v>526</v>
      </c>
      <c r="F6" s="1">
        <v>0</v>
      </c>
      <c r="G6" s="1">
        <v>4</v>
      </c>
      <c r="H6" s="1">
        <v>76</v>
      </c>
      <c r="I6" s="1">
        <v>7</v>
      </c>
      <c r="J6" s="1">
        <v>1</v>
      </c>
      <c r="K6" s="1">
        <v>170.2</v>
      </c>
      <c r="L6" s="1">
        <v>25</v>
      </c>
      <c r="M6" s="1">
        <v>0</v>
      </c>
      <c r="N6" s="1">
        <v>16</v>
      </c>
      <c r="O6" s="1">
        <v>0</v>
      </c>
      <c r="P6" s="1">
        <v>0</v>
      </c>
      <c r="Q6" s="1">
        <v>0</v>
      </c>
      <c r="R6" s="1">
        <v>1478</v>
      </c>
      <c r="S6" s="9">
        <v>70.38095238095238</v>
      </c>
    </row>
    <row r="7" spans="1:254" x14ac:dyDescent="0.15">
      <c r="A7" s="1" t="s">
        <v>26</v>
      </c>
      <c r="B7" s="1" t="s">
        <v>40</v>
      </c>
      <c r="C7" s="1">
        <v>9</v>
      </c>
      <c r="D7" s="1">
        <v>9</v>
      </c>
      <c r="E7" s="1">
        <v>222</v>
      </c>
      <c r="F7" s="1">
        <v>1</v>
      </c>
      <c r="G7" s="1">
        <v>0</v>
      </c>
      <c r="H7" s="1">
        <v>30</v>
      </c>
      <c r="I7" s="1">
        <v>3</v>
      </c>
      <c r="J7" s="1">
        <v>0</v>
      </c>
      <c r="K7" s="1">
        <v>62</v>
      </c>
      <c r="L7" s="1">
        <v>12</v>
      </c>
      <c r="M7" s="1">
        <v>0</v>
      </c>
      <c r="N7" s="1">
        <v>0</v>
      </c>
      <c r="O7" s="1">
        <v>1</v>
      </c>
      <c r="P7" s="1">
        <v>0</v>
      </c>
      <c r="Q7" s="1">
        <v>0</v>
      </c>
      <c r="R7" s="1">
        <v>487</v>
      </c>
      <c r="S7" s="9">
        <v>54.111111111111114</v>
      </c>
    </row>
    <row r="8" spans="1:254" x14ac:dyDescent="0.15">
      <c r="A8" s="17" t="s">
        <v>159</v>
      </c>
      <c r="B8" s="17" t="s">
        <v>160</v>
      </c>
      <c r="C8" s="1">
        <v>15</v>
      </c>
      <c r="D8" s="1">
        <v>13</v>
      </c>
      <c r="E8" s="1">
        <v>393</v>
      </c>
      <c r="F8" s="1">
        <v>0</v>
      </c>
      <c r="G8" s="1">
        <v>2</v>
      </c>
      <c r="H8" s="1">
        <v>68</v>
      </c>
      <c r="I8" s="1">
        <v>0</v>
      </c>
      <c r="J8" s="1">
        <v>1</v>
      </c>
      <c r="K8" s="1">
        <v>0</v>
      </c>
      <c r="L8" s="1">
        <v>0</v>
      </c>
      <c r="M8" s="1">
        <v>0</v>
      </c>
      <c r="N8" s="1">
        <v>5</v>
      </c>
      <c r="O8" s="1">
        <v>0</v>
      </c>
      <c r="P8" s="1">
        <v>0</v>
      </c>
      <c r="Q8" s="1">
        <v>0</v>
      </c>
      <c r="R8" s="1">
        <v>724</v>
      </c>
      <c r="S8" s="9">
        <v>48.266666666666666</v>
      </c>
    </row>
    <row r="9" spans="1:254" x14ac:dyDescent="0.15">
      <c r="A9" s="17" t="s">
        <v>112</v>
      </c>
      <c r="B9" s="17" t="s">
        <v>111</v>
      </c>
      <c r="C9" s="1">
        <v>15</v>
      </c>
      <c r="D9" s="1">
        <v>14</v>
      </c>
      <c r="E9" s="1">
        <v>418</v>
      </c>
      <c r="F9" s="1">
        <v>0</v>
      </c>
      <c r="G9" s="1">
        <v>3</v>
      </c>
      <c r="H9" s="1">
        <v>69</v>
      </c>
      <c r="I9" s="1">
        <v>0</v>
      </c>
      <c r="J9" s="1">
        <v>2</v>
      </c>
      <c r="K9" s="1">
        <v>22.3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716</v>
      </c>
      <c r="S9" s="9">
        <v>47.733333333333334</v>
      </c>
    </row>
    <row r="10" spans="1:254" x14ac:dyDescent="0.15">
      <c r="A10" s="1" t="s">
        <v>33</v>
      </c>
      <c r="B10" s="17" t="s">
        <v>156</v>
      </c>
      <c r="C10" s="1">
        <v>19</v>
      </c>
      <c r="D10" s="1">
        <v>16</v>
      </c>
      <c r="E10" s="1">
        <v>444</v>
      </c>
      <c r="F10" s="1">
        <v>0</v>
      </c>
      <c r="G10" s="1">
        <v>1</v>
      </c>
      <c r="H10" s="1">
        <v>61</v>
      </c>
      <c r="I10" s="1">
        <v>11</v>
      </c>
      <c r="J10" s="1">
        <v>1</v>
      </c>
      <c r="K10" s="1">
        <v>0</v>
      </c>
      <c r="L10" s="1">
        <v>0</v>
      </c>
      <c r="M10" s="1">
        <v>0</v>
      </c>
      <c r="N10" s="1">
        <v>6</v>
      </c>
      <c r="O10" s="1">
        <v>2</v>
      </c>
      <c r="P10" s="1">
        <v>0</v>
      </c>
      <c r="Q10" s="1">
        <v>0</v>
      </c>
      <c r="R10" s="1">
        <v>826</v>
      </c>
      <c r="S10" s="9">
        <v>43.473684210526315</v>
      </c>
    </row>
    <row r="11" spans="1:254" x14ac:dyDescent="0.15">
      <c r="A11" s="1" t="s">
        <v>30</v>
      </c>
      <c r="B11" s="1" t="s">
        <v>44</v>
      </c>
      <c r="C11" s="1">
        <v>21</v>
      </c>
      <c r="D11" s="1">
        <v>6</v>
      </c>
      <c r="E11" s="1">
        <v>13</v>
      </c>
      <c r="F11" s="1">
        <v>0</v>
      </c>
      <c r="G11" s="1">
        <v>0</v>
      </c>
      <c r="H11" s="1">
        <v>1</v>
      </c>
      <c r="I11" s="1">
        <v>0</v>
      </c>
      <c r="J11" s="1">
        <v>2</v>
      </c>
      <c r="K11" s="1">
        <v>168.60000000000002</v>
      </c>
      <c r="L11" s="1">
        <v>37</v>
      </c>
      <c r="M11" s="1">
        <v>2</v>
      </c>
      <c r="N11" s="1">
        <v>6</v>
      </c>
      <c r="O11" s="1">
        <v>0</v>
      </c>
      <c r="P11" s="1">
        <v>0</v>
      </c>
      <c r="Q11" s="1">
        <v>0</v>
      </c>
      <c r="R11" s="1">
        <v>595</v>
      </c>
      <c r="S11" s="9">
        <v>28.333333333333332</v>
      </c>
    </row>
    <row r="12" spans="1:254" x14ac:dyDescent="0.15">
      <c r="A12" s="1" t="s">
        <v>31</v>
      </c>
      <c r="B12" s="1" t="s">
        <v>45</v>
      </c>
      <c r="C12" s="1">
        <v>11</v>
      </c>
      <c r="D12" s="1">
        <v>6</v>
      </c>
      <c r="E12" s="1">
        <v>43</v>
      </c>
      <c r="F12" s="1">
        <v>0</v>
      </c>
      <c r="G12" s="1">
        <v>0</v>
      </c>
      <c r="H12" s="1">
        <v>6</v>
      </c>
      <c r="I12" s="1">
        <v>0</v>
      </c>
      <c r="J12" s="1">
        <v>1</v>
      </c>
      <c r="K12" s="1">
        <v>71</v>
      </c>
      <c r="L12" s="1">
        <v>17</v>
      </c>
      <c r="M12" s="1">
        <v>0</v>
      </c>
      <c r="N12" s="1">
        <v>3</v>
      </c>
      <c r="O12" s="1">
        <v>1</v>
      </c>
      <c r="P12" s="1">
        <v>0</v>
      </c>
      <c r="Q12" s="1">
        <v>0</v>
      </c>
      <c r="R12" s="1">
        <v>300</v>
      </c>
      <c r="S12" s="9">
        <v>27.272727272727273</v>
      </c>
    </row>
    <row r="13" spans="1:254" x14ac:dyDescent="0.15">
      <c r="A13" s="1" t="s">
        <v>34</v>
      </c>
      <c r="B13" s="1" t="s">
        <v>49</v>
      </c>
      <c r="C13" s="1">
        <v>19</v>
      </c>
      <c r="D13" s="1">
        <v>9</v>
      </c>
      <c r="E13" s="1">
        <v>30</v>
      </c>
      <c r="F13" s="1">
        <v>0</v>
      </c>
      <c r="G13" s="1">
        <v>0</v>
      </c>
      <c r="H13" s="1">
        <v>5</v>
      </c>
      <c r="I13" s="1">
        <v>0</v>
      </c>
      <c r="J13" s="1">
        <v>2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14</v>
      </c>
      <c r="Q13" s="1">
        <v>3</v>
      </c>
      <c r="R13" s="1">
        <v>370</v>
      </c>
      <c r="S13" s="9">
        <v>19.473684210526315</v>
      </c>
    </row>
    <row r="14" spans="1:254" x14ac:dyDescent="0.15">
      <c r="A14" s="1" t="s">
        <v>28</v>
      </c>
      <c r="B14" s="1" t="s">
        <v>50</v>
      </c>
      <c r="C14" s="1">
        <v>10</v>
      </c>
      <c r="D14" s="1">
        <v>6</v>
      </c>
      <c r="E14" s="1">
        <v>27</v>
      </c>
      <c r="F14" s="1">
        <v>0</v>
      </c>
      <c r="G14" s="1">
        <v>0</v>
      </c>
      <c r="H14" s="1">
        <v>2</v>
      </c>
      <c r="I14" s="1">
        <v>0</v>
      </c>
      <c r="J14" s="1">
        <v>0</v>
      </c>
      <c r="K14" s="1">
        <v>30</v>
      </c>
      <c r="L14" s="1">
        <v>6</v>
      </c>
      <c r="M14" s="1">
        <v>0</v>
      </c>
      <c r="N14" s="1">
        <v>5</v>
      </c>
      <c r="O14" s="1">
        <v>0</v>
      </c>
      <c r="P14" s="1">
        <v>0</v>
      </c>
      <c r="Q14" s="1">
        <v>0</v>
      </c>
      <c r="R14" s="1">
        <v>191</v>
      </c>
      <c r="S14" s="9">
        <v>19.100000000000001</v>
      </c>
    </row>
    <row r="15" spans="1:254" x14ac:dyDescent="0.15">
      <c r="A15" s="1" t="s">
        <v>35</v>
      </c>
      <c r="B15" s="1" t="s">
        <v>103</v>
      </c>
      <c r="C15" s="1">
        <v>8</v>
      </c>
      <c r="D15" s="1">
        <v>7</v>
      </c>
      <c r="E15" s="1">
        <v>17</v>
      </c>
      <c r="F15" s="1">
        <v>0</v>
      </c>
      <c r="G15" s="1">
        <v>0</v>
      </c>
      <c r="H15" s="1">
        <v>2</v>
      </c>
      <c r="I15" s="1">
        <v>0</v>
      </c>
      <c r="J15" s="1">
        <v>3</v>
      </c>
      <c r="K15" s="1">
        <v>0</v>
      </c>
      <c r="L15" s="1">
        <v>0</v>
      </c>
      <c r="M15" s="1">
        <v>0</v>
      </c>
      <c r="N15" s="1">
        <v>6</v>
      </c>
      <c r="O15" s="1">
        <v>0</v>
      </c>
      <c r="P15" s="1">
        <v>0</v>
      </c>
      <c r="Q15" s="1">
        <v>0</v>
      </c>
      <c r="R15" s="1">
        <v>126</v>
      </c>
      <c r="S15" s="9">
        <v>15.75</v>
      </c>
    </row>
    <row r="16" spans="1:254" x14ac:dyDescent="0.15">
      <c r="A16" s="17" t="s">
        <v>187</v>
      </c>
      <c r="B16" s="17" t="s">
        <v>185</v>
      </c>
      <c r="C16" s="1">
        <v>11</v>
      </c>
      <c r="D16" s="1">
        <v>8</v>
      </c>
      <c r="E16" s="1">
        <v>85</v>
      </c>
      <c r="F16" s="1">
        <v>0</v>
      </c>
      <c r="G16" s="1">
        <v>0</v>
      </c>
      <c r="H16" s="1">
        <v>15</v>
      </c>
      <c r="I16" s="1">
        <v>0</v>
      </c>
      <c r="J16" s="1">
        <v>1</v>
      </c>
      <c r="K16" s="1">
        <v>23</v>
      </c>
      <c r="L16" s="1">
        <v>2</v>
      </c>
      <c r="M16" s="1">
        <v>0</v>
      </c>
      <c r="N16" s="1">
        <v>1</v>
      </c>
      <c r="O16" s="1">
        <v>1</v>
      </c>
      <c r="P16" s="1">
        <v>0</v>
      </c>
      <c r="Q16" s="1">
        <v>0</v>
      </c>
      <c r="R16" s="1">
        <v>170</v>
      </c>
      <c r="S16" s="9">
        <v>15.454545454545455</v>
      </c>
    </row>
    <row r="17" spans="1:19" x14ac:dyDescent="0.15">
      <c r="A17" s="1" t="s">
        <v>38</v>
      </c>
      <c r="B17" s="17" t="s">
        <v>117</v>
      </c>
      <c r="C17" s="1">
        <v>14</v>
      </c>
      <c r="D17" s="1">
        <v>8</v>
      </c>
      <c r="E17" s="1">
        <v>9</v>
      </c>
      <c r="F17" s="1">
        <v>0</v>
      </c>
      <c r="G17" s="1">
        <v>0</v>
      </c>
      <c r="H17" s="1">
        <v>1</v>
      </c>
      <c r="I17" s="1">
        <v>0</v>
      </c>
      <c r="J17" s="1">
        <v>2</v>
      </c>
      <c r="K17" s="1">
        <v>0</v>
      </c>
      <c r="L17" s="1">
        <v>0</v>
      </c>
      <c r="M17" s="1">
        <v>0</v>
      </c>
      <c r="N17" s="1">
        <v>3</v>
      </c>
      <c r="O17" s="1">
        <v>1</v>
      </c>
      <c r="P17" s="1">
        <v>2</v>
      </c>
      <c r="Q17" s="1">
        <v>0</v>
      </c>
      <c r="R17" s="1">
        <v>121</v>
      </c>
      <c r="S17" s="9">
        <v>8.6428571428571423</v>
      </c>
    </row>
    <row r="18" spans="1:19" x14ac:dyDescent="0.15">
      <c r="A18" s="17" t="s">
        <v>276</v>
      </c>
      <c r="B18" s="17" t="s">
        <v>268</v>
      </c>
      <c r="C18" s="1">
        <v>7</v>
      </c>
      <c r="D18" s="1">
        <v>6</v>
      </c>
      <c r="E18" s="1">
        <v>30</v>
      </c>
      <c r="F18" s="1">
        <v>0</v>
      </c>
      <c r="G18" s="1">
        <v>0</v>
      </c>
      <c r="H18" s="1">
        <v>4</v>
      </c>
      <c r="I18" s="1">
        <v>0</v>
      </c>
      <c r="J18" s="1">
        <v>0</v>
      </c>
      <c r="K18" s="1">
        <v>9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48</v>
      </c>
      <c r="S18" s="9">
        <v>6.8571428571428568</v>
      </c>
    </row>
    <row r="19" spans="1:19" x14ac:dyDescent="0.15">
      <c r="A19" s="17" t="s">
        <v>104</v>
      </c>
      <c r="B19" s="17" t="s">
        <v>214</v>
      </c>
      <c r="C19" s="1">
        <v>7</v>
      </c>
      <c r="D19" s="1">
        <v>4</v>
      </c>
      <c r="E19" s="1">
        <v>19</v>
      </c>
      <c r="F19" s="1">
        <v>0</v>
      </c>
      <c r="G19" s="1">
        <v>0</v>
      </c>
      <c r="H19" s="1">
        <v>2</v>
      </c>
      <c r="I19" s="1">
        <v>1</v>
      </c>
      <c r="J19" s="1">
        <v>2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18</v>
      </c>
      <c r="S19" s="9">
        <v>2.5714285714285716</v>
      </c>
    </row>
    <row r="20" spans="1:19" x14ac:dyDescent="0.15">
      <c r="A20" s="17"/>
      <c r="B20" s="17"/>
      <c r="S20" s="9"/>
    </row>
    <row r="21" spans="1:19" x14ac:dyDescent="0.15">
      <c r="A21" s="17" t="s">
        <v>109</v>
      </c>
    </row>
    <row r="22" spans="1:19" x14ac:dyDescent="0.15">
      <c r="S22" s="9"/>
    </row>
    <row r="23" spans="1:19" x14ac:dyDescent="0.15">
      <c r="A23" s="17" t="s">
        <v>323</v>
      </c>
      <c r="B23" s="17" t="s">
        <v>331</v>
      </c>
      <c r="S23" s="9"/>
    </row>
    <row r="24" spans="1:19" x14ac:dyDescent="0.15">
      <c r="A24" s="1" t="s">
        <v>86</v>
      </c>
      <c r="S24" s="9"/>
    </row>
    <row r="25" spans="1:19" x14ac:dyDescent="0.15">
      <c r="A25" s="1" t="s">
        <v>27</v>
      </c>
      <c r="B25" s="1" t="s">
        <v>41</v>
      </c>
      <c r="C25" s="1">
        <v>4</v>
      </c>
      <c r="D25" s="1">
        <v>4</v>
      </c>
      <c r="E25" s="1">
        <v>176</v>
      </c>
      <c r="F25" s="1">
        <v>1</v>
      </c>
      <c r="G25" s="1">
        <v>0</v>
      </c>
      <c r="H25" s="1">
        <v>23</v>
      </c>
      <c r="I25" s="1">
        <v>3</v>
      </c>
      <c r="J25" s="1">
        <v>0</v>
      </c>
      <c r="K25" s="45">
        <v>11.2</v>
      </c>
      <c r="L25" s="1">
        <v>2</v>
      </c>
      <c r="M25" s="1">
        <v>0</v>
      </c>
      <c r="N25" s="1">
        <v>2</v>
      </c>
      <c r="O25" s="1">
        <v>0</v>
      </c>
      <c r="P25" s="1">
        <v>2</v>
      </c>
      <c r="Q25" s="1">
        <v>1</v>
      </c>
      <c r="R25" s="1">
        <v>407</v>
      </c>
      <c r="S25" s="9">
        <v>101.75</v>
      </c>
    </row>
    <row r="26" spans="1:19" x14ac:dyDescent="0.15">
      <c r="A26" s="1" t="s">
        <v>37</v>
      </c>
      <c r="B26" s="1" t="s">
        <v>52</v>
      </c>
      <c r="C26" s="1">
        <v>1</v>
      </c>
      <c r="D26" s="1">
        <v>1</v>
      </c>
      <c r="E26" s="1">
        <v>39</v>
      </c>
      <c r="F26" s="1">
        <v>0</v>
      </c>
      <c r="G26" s="1">
        <v>0</v>
      </c>
      <c r="H26" s="1">
        <v>4</v>
      </c>
      <c r="I26" s="1">
        <v>0</v>
      </c>
      <c r="J26" s="1">
        <v>0</v>
      </c>
      <c r="K26" s="1">
        <v>9</v>
      </c>
      <c r="L26" s="1">
        <v>2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67</v>
      </c>
      <c r="S26" s="9">
        <v>67</v>
      </c>
    </row>
    <row r="27" spans="1:19" x14ac:dyDescent="0.15">
      <c r="A27" s="1" t="s">
        <v>99</v>
      </c>
      <c r="B27" s="1" t="s">
        <v>100</v>
      </c>
      <c r="C27" s="1">
        <v>3</v>
      </c>
      <c r="D27" s="1">
        <v>3</v>
      </c>
      <c r="E27" s="1">
        <v>64</v>
      </c>
      <c r="F27" s="1">
        <v>0</v>
      </c>
      <c r="G27" s="1">
        <v>0</v>
      </c>
      <c r="H27" s="1">
        <v>7</v>
      </c>
      <c r="I27" s="1">
        <v>2</v>
      </c>
      <c r="J27" s="1">
        <v>0</v>
      </c>
      <c r="K27" s="1">
        <v>22</v>
      </c>
      <c r="L27" s="1">
        <v>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108</v>
      </c>
      <c r="S27" s="9">
        <v>36</v>
      </c>
    </row>
    <row r="28" spans="1:19" x14ac:dyDescent="0.15">
      <c r="A28" s="17" t="s">
        <v>30</v>
      </c>
      <c r="B28" s="17" t="s">
        <v>239</v>
      </c>
      <c r="C28" s="1">
        <v>1</v>
      </c>
      <c r="D28" s="1">
        <v>1</v>
      </c>
      <c r="E28" s="1">
        <v>12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34</v>
      </c>
      <c r="S28" s="9">
        <v>34</v>
      </c>
    </row>
    <row r="29" spans="1:19" x14ac:dyDescent="0.15">
      <c r="A29" s="1" t="s">
        <v>25</v>
      </c>
      <c r="B29" s="1" t="s">
        <v>39</v>
      </c>
      <c r="C29" s="1">
        <v>1</v>
      </c>
      <c r="D29" s="1">
        <v>1</v>
      </c>
      <c r="E29" s="1">
        <v>14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4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26</v>
      </c>
      <c r="S29" s="9">
        <v>26</v>
      </c>
    </row>
    <row r="30" spans="1:19" x14ac:dyDescent="0.15">
      <c r="A30" s="1" t="s">
        <v>29</v>
      </c>
      <c r="B30" s="1" t="s">
        <v>43</v>
      </c>
      <c r="C30" s="1">
        <v>3</v>
      </c>
      <c r="D30" s="1">
        <v>3</v>
      </c>
      <c r="E30" s="1">
        <v>37</v>
      </c>
      <c r="F30" s="1">
        <v>0</v>
      </c>
      <c r="G30" s="1">
        <v>0</v>
      </c>
      <c r="H30" s="1">
        <v>8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1">
        <v>0</v>
      </c>
      <c r="R30" s="1">
        <v>73</v>
      </c>
      <c r="S30" s="9">
        <v>24.333333333333332</v>
      </c>
    </row>
    <row r="31" spans="1:19" x14ac:dyDescent="0.15">
      <c r="A31" s="17" t="s">
        <v>119</v>
      </c>
      <c r="B31" s="17" t="s">
        <v>118</v>
      </c>
      <c r="C31" s="1">
        <v>1</v>
      </c>
      <c r="D31" s="1">
        <v>1</v>
      </c>
      <c r="E31" s="1">
        <v>9</v>
      </c>
      <c r="F31" s="1">
        <v>0</v>
      </c>
      <c r="G31" s="1">
        <v>0</v>
      </c>
      <c r="H31" s="1">
        <v>2</v>
      </c>
      <c r="I31" s="1">
        <v>0</v>
      </c>
      <c r="J31" s="1">
        <v>0</v>
      </c>
      <c r="K31" s="1">
        <v>4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23</v>
      </c>
      <c r="S31" s="9">
        <v>23</v>
      </c>
    </row>
    <row r="32" spans="1:19" x14ac:dyDescent="0.15">
      <c r="A32" s="1" t="s">
        <v>28</v>
      </c>
      <c r="B32" s="1" t="s">
        <v>42</v>
      </c>
      <c r="C32" s="1">
        <v>4</v>
      </c>
      <c r="D32" s="1">
        <v>4</v>
      </c>
      <c r="E32" s="1">
        <v>48</v>
      </c>
      <c r="F32" s="1">
        <v>0</v>
      </c>
      <c r="G32" s="1">
        <v>0</v>
      </c>
      <c r="H32" s="1">
        <v>7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82</v>
      </c>
      <c r="S32" s="9">
        <v>20.5</v>
      </c>
    </row>
    <row r="33" spans="1:19" x14ac:dyDescent="0.15">
      <c r="A33" s="1" t="s">
        <v>36</v>
      </c>
      <c r="B33" s="1" t="s">
        <v>51</v>
      </c>
      <c r="C33" s="1">
        <v>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13.4</v>
      </c>
      <c r="L33" s="1">
        <v>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60</v>
      </c>
      <c r="S33" s="9">
        <v>20</v>
      </c>
    </row>
    <row r="34" spans="1:19" x14ac:dyDescent="0.15">
      <c r="A34" s="1" t="s">
        <v>101</v>
      </c>
      <c r="B34" s="1" t="s">
        <v>102</v>
      </c>
      <c r="C34" s="1">
        <v>5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11.5</v>
      </c>
      <c r="L34" s="1">
        <v>5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1">
        <v>70</v>
      </c>
      <c r="S34" s="9">
        <v>14</v>
      </c>
    </row>
    <row r="35" spans="1:19" x14ac:dyDescent="0.15">
      <c r="A35" s="17" t="s">
        <v>129</v>
      </c>
      <c r="B35" s="17" t="s">
        <v>128</v>
      </c>
      <c r="C35" s="1">
        <v>1</v>
      </c>
      <c r="D35" s="1">
        <v>1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4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11</v>
      </c>
      <c r="S35" s="9">
        <v>11</v>
      </c>
    </row>
    <row r="36" spans="1:19" x14ac:dyDescent="0.15">
      <c r="A36" s="17" t="s">
        <v>334</v>
      </c>
      <c r="B36" s="17" t="s">
        <v>287</v>
      </c>
      <c r="C36" s="1">
        <v>1</v>
      </c>
      <c r="D36" s="1">
        <v>1</v>
      </c>
      <c r="E36" s="1">
        <v>37</v>
      </c>
      <c r="F36" s="1">
        <v>0</v>
      </c>
      <c r="G36" s="1">
        <v>0</v>
      </c>
      <c r="H36" s="1">
        <v>7</v>
      </c>
      <c r="I36" s="1">
        <v>0</v>
      </c>
      <c r="J36" s="1">
        <v>0</v>
      </c>
      <c r="K36" s="1">
        <v>4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61</v>
      </c>
      <c r="S36" s="9">
        <v>61</v>
      </c>
    </row>
    <row r="37" spans="1:19" x14ac:dyDescent="0.15">
      <c r="A37" s="17" t="s">
        <v>332</v>
      </c>
      <c r="B37" s="17" t="s">
        <v>284</v>
      </c>
      <c r="C37" s="1">
        <v>1</v>
      </c>
      <c r="D37" s="1">
        <v>1</v>
      </c>
      <c r="E37" s="1">
        <v>119</v>
      </c>
      <c r="F37" s="1">
        <v>1</v>
      </c>
      <c r="G37" s="1">
        <v>0</v>
      </c>
      <c r="H37" s="1">
        <v>15</v>
      </c>
      <c r="I37" s="1">
        <v>3</v>
      </c>
      <c r="J37" s="1">
        <v>0</v>
      </c>
      <c r="K37" s="1">
        <v>11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224</v>
      </c>
      <c r="S37" s="9">
        <v>224</v>
      </c>
    </row>
    <row r="38" spans="1:19" x14ac:dyDescent="0.15">
      <c r="A38" s="17" t="s">
        <v>194</v>
      </c>
      <c r="B38" s="17" t="s">
        <v>198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6</v>
      </c>
      <c r="L38" s="1">
        <v>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10</v>
      </c>
      <c r="S38" s="9">
        <v>10</v>
      </c>
    </row>
    <row r="39" spans="1:19" x14ac:dyDescent="0.15">
      <c r="S39" s="9"/>
    </row>
    <row r="45" spans="1:19" x14ac:dyDescent="0.15">
      <c r="S45" s="9"/>
    </row>
    <row r="46" spans="1:19" x14ac:dyDescent="0.15">
      <c r="S46" s="9"/>
    </row>
    <row r="47" spans="1:19" x14ac:dyDescent="0.15">
      <c r="S47" s="9"/>
    </row>
  </sheetData>
  <sortState xmlns:xlrd2="http://schemas.microsoft.com/office/spreadsheetml/2017/richdata2" ref="A25:S36">
    <sortCondition descending="1" ref="S25:S36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58"/>
  <sheetViews>
    <sheetView topLeftCell="A5" workbookViewId="0"/>
  </sheetViews>
  <sheetFormatPr defaultColWidth="11.57421875" defaultRowHeight="14.25" x14ac:dyDescent="0.15"/>
  <cols>
    <col min="2" max="2" width="4.04296875" customWidth="1"/>
    <col min="3" max="3" width="4.04296875" style="44" customWidth="1"/>
    <col min="4" max="27" width="4.04296875" customWidth="1"/>
    <col min="28" max="28" width="5.16796875" customWidth="1"/>
    <col min="29" max="29" width="4.37890625" customWidth="1"/>
  </cols>
  <sheetData>
    <row r="1" spans="1:29" ht="83.25" x14ac:dyDescent="0.15">
      <c r="B1" s="22" t="str">
        <f>IF('Match Summary'!$C$3="","",'Match Summary'!$C$3)</f>
        <v>Springfield_II</v>
      </c>
      <c r="C1" s="43" t="str">
        <f>IF('Match Summary'!$C4="","",'Match Summary'!$C4)</f>
        <v>Lt_Hallingbury</v>
      </c>
      <c r="D1" s="22" t="str">
        <f>IF('Match Summary'!$C$5="","",'Match Summary'!$C$5)</f>
        <v>Canfield</v>
      </c>
      <c r="E1" s="22" t="str">
        <f>IF('Match Summary'!$C$6="","",'Match Summary'!$C$6)</f>
        <v>Bures</v>
      </c>
      <c r="F1" s="22" t="str">
        <f>'Match Summary'!$C$7</f>
        <v>Hatfield_Heath</v>
      </c>
      <c r="G1" s="22" t="str">
        <f>'Match Summary'!$C$8</f>
        <v>Thaxted</v>
      </c>
      <c r="H1" s="22" t="str">
        <f>'Match Summary'!$C$9</f>
        <v>Terling</v>
      </c>
      <c r="I1" s="22" t="str">
        <f>'Match Summary'!$C$10</f>
        <v>TOUR_Alderney 1</v>
      </c>
      <c r="J1" s="22" t="str">
        <f>'Match Summary'!$C$11</f>
        <v>TOUR_Alderney 2</v>
      </c>
      <c r="K1" s="22" t="str">
        <f>'Match Summary'!$C$12</f>
        <v>Thaxted_</v>
      </c>
      <c r="L1" s="22" t="str">
        <f>'Match Summary'!$C$13</f>
        <v>Judd_St_Tigers</v>
      </c>
      <c r="M1" s="22" t="str">
        <f>'Match Summary'!$C$14</f>
        <v>Finchingfield</v>
      </c>
      <c r="N1" s="22" t="str">
        <f>'Match Summary'!$C$15</f>
        <v>Lindsell</v>
      </c>
      <c r="O1" s="22" t="str">
        <f>'Match Summary'!$C$16</f>
        <v>Abridge</v>
      </c>
      <c r="P1" s="22" t="str">
        <f>'Match Summary'!$C$17</f>
        <v>Zagreb</v>
      </c>
      <c r="Q1" s="22" t="str">
        <f>'Match Summary'!$C$18</f>
        <v>Sampford</v>
      </c>
      <c r="R1" s="22" t="str">
        <f>'Match Summary'!$C$19</f>
        <v>Cranston</v>
      </c>
      <c r="S1" s="22" t="str">
        <f>'Match Summary'!$C$20</f>
        <v>Hatfield_Heath</v>
      </c>
      <c r="T1" s="22" t="str">
        <f>'Match Summary'!$C$21</f>
        <v>Lt_Hallingbury</v>
      </c>
      <c r="U1" s="22" t="str">
        <f>'Match Summary'!$C$22</f>
        <v>Lindsell</v>
      </c>
      <c r="V1" s="22" t="str">
        <f>'Match Summary'!$C$23</f>
        <v>Canfield</v>
      </c>
      <c r="W1" s="22" t="str">
        <f>'Match Summary'!$C$24</f>
        <v>Springfield_II_D1</v>
      </c>
      <c r="X1" s="22" t="str">
        <f>'Match Summary'!$C$25</f>
        <v>Springfield_II_D2</v>
      </c>
      <c r="Y1" s="22" t="str">
        <f>'Match Summary'!$C$26</f>
        <v>Sheering</v>
      </c>
      <c r="Z1" s="22" t="str">
        <f>'Match Summary'!$C$27</f>
        <v>Bures</v>
      </c>
      <c r="AA1" s="22" t="str">
        <f>'Match Summary'!$C$28</f>
        <v>Old_Sectonians</v>
      </c>
      <c r="AB1" s="23" t="s">
        <v>53</v>
      </c>
      <c r="AC1" s="23" t="s">
        <v>54</v>
      </c>
    </row>
    <row r="2" spans="1:29" x14ac:dyDescent="0.15">
      <c r="A2" s="1" t="s">
        <v>48</v>
      </c>
      <c r="B2" s="30" t="s">
        <v>199</v>
      </c>
      <c r="D2" s="30" t="s">
        <v>200</v>
      </c>
      <c r="E2" s="30" t="s">
        <v>199</v>
      </c>
      <c r="F2" s="30"/>
      <c r="G2" s="30" t="s">
        <v>199</v>
      </c>
      <c r="H2" s="30" t="s">
        <v>199</v>
      </c>
      <c r="I2" s="30" t="s">
        <v>199</v>
      </c>
      <c r="J2" s="30" t="s">
        <v>199</v>
      </c>
      <c r="K2" s="30" t="s">
        <v>199</v>
      </c>
      <c r="L2" s="30" t="s">
        <v>199</v>
      </c>
      <c r="M2" s="30" t="s">
        <v>199</v>
      </c>
      <c r="N2" s="30" t="s">
        <v>199</v>
      </c>
      <c r="O2" s="30" t="s">
        <v>200</v>
      </c>
      <c r="P2" s="30" t="s">
        <v>199</v>
      </c>
      <c r="Q2" s="30"/>
      <c r="R2" s="119"/>
      <c r="S2" s="24"/>
      <c r="T2" s="24" t="s">
        <v>199</v>
      </c>
      <c r="U2" s="119"/>
      <c r="V2" s="24" t="s">
        <v>200</v>
      </c>
      <c r="W2" s="24"/>
      <c r="X2" s="24"/>
      <c r="Y2" s="24"/>
      <c r="Z2" s="24"/>
      <c r="AA2" s="24"/>
      <c r="AB2">
        <f t="shared" ref="AB2:AB12" si="0">COUNTA(B2:AA2)-IF(ISBLANK(X2),0,1)</f>
        <v>15</v>
      </c>
      <c r="AC2">
        <f t="shared" ref="AC2:AC35" si="1">COUNTIF(B2:AA2,"b")</f>
        <v>12</v>
      </c>
    </row>
    <row r="3" spans="1:29" x14ac:dyDescent="0.15">
      <c r="A3" s="17" t="s">
        <v>291</v>
      </c>
      <c r="B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119"/>
      <c r="S3" s="24"/>
      <c r="T3" s="24"/>
      <c r="U3" s="119"/>
      <c r="V3" s="24" t="s">
        <v>199</v>
      </c>
      <c r="W3" s="24"/>
      <c r="X3" s="24"/>
      <c r="Y3" s="24"/>
      <c r="Z3" s="24" t="s">
        <v>199</v>
      </c>
      <c r="AA3" s="24"/>
      <c r="AB3">
        <f t="shared" si="0"/>
        <v>2</v>
      </c>
      <c r="AC3">
        <f t="shared" ref="AC3" si="2">COUNTIF(B3:AA3,"b")</f>
        <v>2</v>
      </c>
    </row>
    <row r="4" spans="1:29" x14ac:dyDescent="0.15">
      <c r="A4" s="17" t="s">
        <v>110</v>
      </c>
      <c r="B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19"/>
      <c r="S4" s="24"/>
      <c r="T4" s="24"/>
      <c r="U4" s="119"/>
      <c r="V4" s="24"/>
      <c r="W4" s="24"/>
      <c r="X4" s="24"/>
      <c r="Y4" s="24"/>
      <c r="Z4" s="24"/>
      <c r="AA4" s="24"/>
      <c r="AB4">
        <f t="shared" si="0"/>
        <v>0</v>
      </c>
      <c r="AC4">
        <f t="shared" si="1"/>
        <v>0</v>
      </c>
    </row>
    <row r="5" spans="1:29" x14ac:dyDescent="0.15">
      <c r="A5" s="17" t="s">
        <v>163</v>
      </c>
      <c r="B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19"/>
      <c r="S5" s="24"/>
      <c r="T5" s="24"/>
      <c r="U5" s="119"/>
      <c r="V5" s="24"/>
      <c r="W5" s="24"/>
      <c r="X5" s="24"/>
      <c r="Y5" s="24"/>
      <c r="Z5" s="24"/>
      <c r="AA5" s="24"/>
      <c r="AB5">
        <f t="shared" si="0"/>
        <v>0</v>
      </c>
      <c r="AC5">
        <f t="shared" si="1"/>
        <v>0</v>
      </c>
    </row>
    <row r="6" spans="1:29" x14ac:dyDescent="0.15">
      <c r="A6" s="1" t="s">
        <v>47</v>
      </c>
      <c r="B6" s="30" t="s">
        <v>199</v>
      </c>
      <c r="C6" s="44" t="s">
        <v>199</v>
      </c>
      <c r="D6" s="30" t="s">
        <v>199</v>
      </c>
      <c r="E6" s="30" t="s">
        <v>199</v>
      </c>
      <c r="F6" s="30" t="s">
        <v>199</v>
      </c>
      <c r="G6" s="30" t="s">
        <v>199</v>
      </c>
      <c r="H6" s="30" t="s">
        <v>199</v>
      </c>
      <c r="I6" s="30" t="s">
        <v>199</v>
      </c>
      <c r="J6" s="30" t="s">
        <v>199</v>
      </c>
      <c r="K6" s="30" t="s">
        <v>199</v>
      </c>
      <c r="L6" s="30" t="s">
        <v>199</v>
      </c>
      <c r="M6" s="30"/>
      <c r="N6" s="30"/>
      <c r="O6" s="30" t="s">
        <v>199</v>
      </c>
      <c r="P6" s="30" t="s">
        <v>199</v>
      </c>
      <c r="Q6" s="30" t="s">
        <v>199</v>
      </c>
      <c r="R6" s="119"/>
      <c r="S6" s="24" t="s">
        <v>199</v>
      </c>
      <c r="T6" s="24" t="s">
        <v>199</v>
      </c>
      <c r="U6" s="119"/>
      <c r="V6" s="24" t="s">
        <v>199</v>
      </c>
      <c r="W6" s="24" t="s">
        <v>199</v>
      </c>
      <c r="X6" s="24"/>
      <c r="Y6" s="24" t="s">
        <v>199</v>
      </c>
      <c r="Z6" s="24" t="s">
        <v>199</v>
      </c>
      <c r="AA6" s="24" t="s">
        <v>199</v>
      </c>
      <c r="AB6">
        <f t="shared" si="0"/>
        <v>21</v>
      </c>
      <c r="AC6">
        <f t="shared" si="1"/>
        <v>21</v>
      </c>
    </row>
    <row r="7" spans="1:29" x14ac:dyDescent="0.15">
      <c r="A7" s="1" t="s">
        <v>41</v>
      </c>
      <c r="B7" s="30"/>
      <c r="D7" s="30"/>
      <c r="E7" s="30"/>
      <c r="F7" s="30" t="s">
        <v>199</v>
      </c>
      <c r="G7" s="30"/>
      <c r="H7" s="30"/>
      <c r="I7" s="30"/>
      <c r="J7" s="30"/>
      <c r="K7" s="30"/>
      <c r="L7" s="30"/>
      <c r="M7" s="30"/>
      <c r="N7" s="104" t="s">
        <v>199</v>
      </c>
      <c r="O7" s="30"/>
      <c r="P7" s="30"/>
      <c r="Q7" s="30" t="s">
        <v>199</v>
      </c>
      <c r="R7" s="119"/>
      <c r="S7" s="24"/>
      <c r="T7" s="24"/>
      <c r="U7" s="119"/>
      <c r="V7" s="24"/>
      <c r="W7" s="24" t="s">
        <v>199</v>
      </c>
      <c r="X7" s="24"/>
      <c r="Y7" s="24"/>
      <c r="Z7" s="24"/>
      <c r="AA7" s="24"/>
      <c r="AB7">
        <f t="shared" si="0"/>
        <v>4</v>
      </c>
      <c r="AC7">
        <f t="shared" si="1"/>
        <v>4</v>
      </c>
    </row>
    <row r="8" spans="1:29" x14ac:dyDescent="0.15">
      <c r="A8" s="17" t="s">
        <v>128</v>
      </c>
      <c r="B8" s="30"/>
      <c r="D8" s="30"/>
      <c r="E8" s="30"/>
      <c r="F8" s="30" t="s">
        <v>199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19"/>
      <c r="S8" s="24"/>
      <c r="T8" s="24"/>
      <c r="U8" s="119"/>
      <c r="V8" s="24"/>
      <c r="W8" s="24"/>
      <c r="X8" s="24"/>
      <c r="Y8" s="24"/>
      <c r="Z8" s="24"/>
      <c r="AA8" s="24"/>
      <c r="AB8">
        <f t="shared" si="0"/>
        <v>1</v>
      </c>
      <c r="AC8">
        <f t="shared" si="1"/>
        <v>1</v>
      </c>
    </row>
    <row r="9" spans="1:29" x14ac:dyDescent="0.15">
      <c r="A9" s="1" t="s">
        <v>46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119"/>
      <c r="S9" s="24"/>
      <c r="T9" s="24"/>
      <c r="U9" s="119"/>
      <c r="V9" s="24"/>
      <c r="W9" s="24"/>
      <c r="X9" s="24"/>
      <c r="Y9" s="24"/>
      <c r="Z9" s="24"/>
      <c r="AA9" s="24"/>
      <c r="AB9">
        <f t="shared" si="0"/>
        <v>0</v>
      </c>
      <c r="AC9">
        <f t="shared" si="1"/>
        <v>0</v>
      </c>
    </row>
    <row r="10" spans="1:29" x14ac:dyDescent="0.15">
      <c r="A10" s="1" t="s">
        <v>43</v>
      </c>
      <c r="B10" s="30"/>
      <c r="C10" s="30"/>
      <c r="D10" s="30"/>
      <c r="E10" s="30"/>
      <c r="F10" s="30"/>
      <c r="G10" s="30"/>
      <c r="H10" s="30" t="s">
        <v>199</v>
      </c>
      <c r="I10" s="30"/>
      <c r="J10" s="30"/>
      <c r="K10" s="30"/>
      <c r="L10" s="30"/>
      <c r="M10" s="30"/>
      <c r="N10" s="30"/>
      <c r="O10" s="30"/>
      <c r="P10" s="30"/>
      <c r="Q10" s="30" t="s">
        <v>199</v>
      </c>
      <c r="R10" s="119"/>
      <c r="S10" s="24"/>
      <c r="T10" s="24"/>
      <c r="U10" s="119"/>
      <c r="V10" s="24" t="s">
        <v>199</v>
      </c>
      <c r="W10" s="24"/>
      <c r="X10" s="24"/>
      <c r="Y10" s="24"/>
      <c r="Z10" s="24"/>
      <c r="AA10" s="24"/>
      <c r="AB10">
        <f t="shared" si="0"/>
        <v>3</v>
      </c>
      <c r="AC10">
        <f t="shared" si="1"/>
        <v>3</v>
      </c>
    </row>
    <row r="11" spans="1:29" x14ac:dyDescent="0.15">
      <c r="A11" s="17" t="s">
        <v>118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 t="s">
        <v>199</v>
      </c>
      <c r="N11" s="30"/>
      <c r="O11" s="30"/>
      <c r="P11" s="30"/>
      <c r="Q11" s="30"/>
      <c r="R11" s="119"/>
      <c r="S11" s="24"/>
      <c r="T11" s="24"/>
      <c r="U11" s="119"/>
      <c r="V11" s="24"/>
      <c r="W11" s="24"/>
      <c r="X11" s="24"/>
      <c r="Y11" s="24"/>
      <c r="Z11" s="24"/>
      <c r="AA11" s="24"/>
      <c r="AB11">
        <f t="shared" si="0"/>
        <v>1</v>
      </c>
      <c r="AC11">
        <f t="shared" si="1"/>
        <v>1</v>
      </c>
    </row>
    <row r="12" spans="1:29" x14ac:dyDescent="0.15">
      <c r="A12" s="17" t="s">
        <v>183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119"/>
      <c r="S12" s="24"/>
      <c r="T12" s="24"/>
      <c r="U12" s="119"/>
      <c r="V12" s="24"/>
      <c r="W12" s="24"/>
      <c r="X12" s="24"/>
      <c r="Y12" s="24"/>
      <c r="Z12" s="24"/>
      <c r="AA12" s="24"/>
      <c r="AB12">
        <f t="shared" si="0"/>
        <v>0</v>
      </c>
      <c r="AC12">
        <f t="shared" si="1"/>
        <v>0</v>
      </c>
    </row>
    <row r="13" spans="1:29" x14ac:dyDescent="0.15">
      <c r="A13" s="1" t="s">
        <v>39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119"/>
      <c r="S13" s="24"/>
      <c r="T13" s="24"/>
      <c r="U13" s="119"/>
      <c r="V13" s="24"/>
      <c r="W13" s="24" t="s">
        <v>199</v>
      </c>
      <c r="X13" s="24"/>
      <c r="Y13" s="24"/>
      <c r="Z13" s="24"/>
      <c r="AA13" s="24"/>
      <c r="AB13">
        <f>COUNTA(B13:AA13)-IF(ISBLANK(X13),0,1)</f>
        <v>1</v>
      </c>
      <c r="AC13">
        <f t="shared" si="1"/>
        <v>1</v>
      </c>
    </row>
    <row r="14" spans="1:29" x14ac:dyDescent="0.15">
      <c r="A14" s="17" t="s">
        <v>214</v>
      </c>
      <c r="B14" s="30"/>
      <c r="C14" s="30"/>
      <c r="D14" s="30" t="s">
        <v>200</v>
      </c>
      <c r="E14" s="30"/>
      <c r="F14" s="30"/>
      <c r="G14" s="30" t="s">
        <v>199</v>
      </c>
      <c r="H14" s="30"/>
      <c r="I14" s="30" t="s">
        <v>199</v>
      </c>
      <c r="J14" s="30" t="s">
        <v>199</v>
      </c>
      <c r="K14" s="30"/>
      <c r="L14" s="30"/>
      <c r="M14" s="30"/>
      <c r="N14" s="30"/>
      <c r="O14" s="30" t="s">
        <v>200</v>
      </c>
      <c r="P14" s="30"/>
      <c r="Q14" s="30"/>
      <c r="R14" s="119"/>
      <c r="S14" s="24" t="s">
        <v>200</v>
      </c>
      <c r="T14" s="24"/>
      <c r="U14" s="119"/>
      <c r="V14" s="24"/>
      <c r="W14" s="24"/>
      <c r="X14" s="24"/>
      <c r="Y14" s="24" t="s">
        <v>199</v>
      </c>
      <c r="Z14" s="24"/>
      <c r="AA14" s="24"/>
      <c r="AB14">
        <f t="shared" ref="AB14:AB56" si="3">COUNTA(B14:AA14)-IF(ISBLANK(X14),0,1)</f>
        <v>7</v>
      </c>
      <c r="AC14">
        <f t="shared" si="1"/>
        <v>4</v>
      </c>
    </row>
    <row r="15" spans="1:29" x14ac:dyDescent="0.15">
      <c r="A15" s="17" t="s">
        <v>268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 t="s">
        <v>200</v>
      </c>
      <c r="P15" s="30" t="s">
        <v>199</v>
      </c>
      <c r="Q15" s="30" t="s">
        <v>199</v>
      </c>
      <c r="R15" s="119"/>
      <c r="S15" s="24"/>
      <c r="T15" s="24" t="s">
        <v>199</v>
      </c>
      <c r="U15" s="119"/>
      <c r="V15" s="24" t="s">
        <v>199</v>
      </c>
      <c r="W15" s="24"/>
      <c r="X15" s="24"/>
      <c r="Y15" s="24"/>
      <c r="Z15" s="24" t="s">
        <v>199</v>
      </c>
      <c r="AA15" s="24" t="s">
        <v>199</v>
      </c>
      <c r="AB15">
        <f t="shared" si="3"/>
        <v>7</v>
      </c>
      <c r="AC15">
        <f t="shared" si="1"/>
        <v>6</v>
      </c>
    </row>
    <row r="16" spans="1:29" x14ac:dyDescent="0.15">
      <c r="A16" s="1" t="s">
        <v>40</v>
      </c>
      <c r="B16" s="30"/>
      <c r="C16" s="30" t="s">
        <v>199</v>
      </c>
      <c r="D16" s="30" t="s">
        <v>199</v>
      </c>
      <c r="E16" s="30"/>
      <c r="F16" s="30" t="s">
        <v>199</v>
      </c>
      <c r="G16" s="30" t="s">
        <v>199</v>
      </c>
      <c r="H16" s="30"/>
      <c r="I16" s="30" t="s">
        <v>199</v>
      </c>
      <c r="J16" s="30" t="s">
        <v>199</v>
      </c>
      <c r="K16" s="30"/>
      <c r="L16" s="30"/>
      <c r="M16" s="30"/>
      <c r="N16" s="30"/>
      <c r="O16" s="30"/>
      <c r="P16" s="30"/>
      <c r="Q16" s="30" t="s">
        <v>199</v>
      </c>
      <c r="R16" s="119"/>
      <c r="S16" s="24"/>
      <c r="T16" s="24"/>
      <c r="U16" s="119"/>
      <c r="V16" s="24"/>
      <c r="W16" s="24" t="s">
        <v>199</v>
      </c>
      <c r="X16" s="24"/>
      <c r="Y16" s="24" t="s">
        <v>199</v>
      </c>
      <c r="Z16" s="24"/>
      <c r="AA16" s="24"/>
      <c r="AB16">
        <f t="shared" si="3"/>
        <v>9</v>
      </c>
      <c r="AC16">
        <f t="shared" si="1"/>
        <v>9</v>
      </c>
    </row>
    <row r="17" spans="1:29" x14ac:dyDescent="0.15">
      <c r="A17" s="1" t="s">
        <v>100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119"/>
      <c r="S17" s="24"/>
      <c r="T17" s="24" t="s">
        <v>199</v>
      </c>
      <c r="U17" s="119"/>
      <c r="V17" s="24"/>
      <c r="W17" s="24"/>
      <c r="X17" s="24"/>
      <c r="Y17" s="24"/>
      <c r="Z17" s="24" t="s">
        <v>199</v>
      </c>
      <c r="AA17" s="24" t="s">
        <v>199</v>
      </c>
      <c r="AB17">
        <f t="shared" si="3"/>
        <v>3</v>
      </c>
      <c r="AC17">
        <f t="shared" si="1"/>
        <v>3</v>
      </c>
    </row>
    <row r="18" spans="1:29" x14ac:dyDescent="0.15">
      <c r="A18" s="17" t="s">
        <v>186</v>
      </c>
      <c r="B18" s="30"/>
      <c r="C18" s="30" t="s">
        <v>199</v>
      </c>
      <c r="D18" s="30" t="s">
        <v>199</v>
      </c>
      <c r="E18" s="30"/>
      <c r="F18" s="30" t="s">
        <v>199</v>
      </c>
      <c r="G18" s="30" t="s">
        <v>199</v>
      </c>
      <c r="H18" s="30" t="s">
        <v>199</v>
      </c>
      <c r="I18" s="30"/>
      <c r="J18" s="30"/>
      <c r="K18" s="30"/>
      <c r="L18" s="30"/>
      <c r="M18" s="30" t="s">
        <v>199</v>
      </c>
      <c r="N18" s="30" t="s">
        <v>199</v>
      </c>
      <c r="O18" s="30"/>
      <c r="P18" s="30"/>
      <c r="Q18" s="30" t="s">
        <v>199</v>
      </c>
      <c r="R18" s="119"/>
      <c r="S18" s="24"/>
      <c r="T18" s="24" t="s">
        <v>199</v>
      </c>
      <c r="U18" s="119"/>
      <c r="V18" s="24"/>
      <c r="W18" s="24"/>
      <c r="X18" s="24"/>
      <c r="Y18" s="24"/>
      <c r="Z18" s="24" t="s">
        <v>199</v>
      </c>
      <c r="AA18" s="24" t="s">
        <v>199</v>
      </c>
      <c r="AB18">
        <f t="shared" si="3"/>
        <v>11</v>
      </c>
      <c r="AC18">
        <f t="shared" si="1"/>
        <v>11</v>
      </c>
    </row>
    <row r="19" spans="1:29" x14ac:dyDescent="0.15">
      <c r="A19" s="1" t="s">
        <v>52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119"/>
      <c r="S19" s="24"/>
      <c r="T19" s="24"/>
      <c r="U19" s="119"/>
      <c r="V19" s="24"/>
      <c r="W19" s="24"/>
      <c r="X19" s="24"/>
      <c r="Y19" s="24"/>
      <c r="Z19" s="24" t="s">
        <v>199</v>
      </c>
      <c r="AA19" s="24"/>
      <c r="AB19">
        <f t="shared" si="3"/>
        <v>1</v>
      </c>
      <c r="AC19">
        <f t="shared" si="1"/>
        <v>1</v>
      </c>
    </row>
    <row r="20" spans="1:29" x14ac:dyDescent="0.15">
      <c r="A20" s="1" t="s">
        <v>49</v>
      </c>
      <c r="B20" s="30" t="s">
        <v>200</v>
      </c>
      <c r="C20" s="30" t="s">
        <v>200</v>
      </c>
      <c r="D20" s="30" t="s">
        <v>200</v>
      </c>
      <c r="E20" s="30" t="s">
        <v>200</v>
      </c>
      <c r="F20" s="30" t="s">
        <v>199</v>
      </c>
      <c r="G20" s="30" t="s">
        <v>199</v>
      </c>
      <c r="H20" s="30" t="s">
        <v>200</v>
      </c>
      <c r="I20" s="30" t="s">
        <v>199</v>
      </c>
      <c r="J20" s="30" t="s">
        <v>199</v>
      </c>
      <c r="K20" s="30" t="s">
        <v>199</v>
      </c>
      <c r="L20" s="30" t="s">
        <v>200</v>
      </c>
      <c r="M20" s="30" t="s">
        <v>200</v>
      </c>
      <c r="N20" s="30"/>
      <c r="O20" s="30" t="s">
        <v>200</v>
      </c>
      <c r="P20" s="30"/>
      <c r="Q20" s="30"/>
      <c r="R20" s="119"/>
      <c r="S20" s="24" t="s">
        <v>200</v>
      </c>
      <c r="T20" s="24"/>
      <c r="U20" s="119"/>
      <c r="V20" s="24" t="s">
        <v>199</v>
      </c>
      <c r="W20" s="24" t="s">
        <v>199</v>
      </c>
      <c r="X20" s="24"/>
      <c r="Y20" s="24" t="s">
        <v>200</v>
      </c>
      <c r="Z20" s="24" t="s">
        <v>199</v>
      </c>
      <c r="AA20" s="24" t="s">
        <v>199</v>
      </c>
      <c r="AB20">
        <f t="shared" si="3"/>
        <v>19</v>
      </c>
      <c r="AC20">
        <f t="shared" si="1"/>
        <v>9</v>
      </c>
    </row>
    <row r="21" spans="1:29" x14ac:dyDescent="0.15">
      <c r="A21" s="17" t="s">
        <v>111</v>
      </c>
      <c r="B21" s="30" t="s">
        <v>199</v>
      </c>
      <c r="C21" s="30" t="s">
        <v>199</v>
      </c>
      <c r="D21" s="30"/>
      <c r="E21" s="30" t="s">
        <v>199</v>
      </c>
      <c r="F21" s="30" t="s">
        <v>199</v>
      </c>
      <c r="G21" s="30"/>
      <c r="H21" s="30" t="s">
        <v>199</v>
      </c>
      <c r="I21" s="30" t="s">
        <v>199</v>
      </c>
      <c r="J21" s="30" t="s">
        <v>199</v>
      </c>
      <c r="K21" s="30" t="s">
        <v>199</v>
      </c>
      <c r="L21" s="30" t="s">
        <v>199</v>
      </c>
      <c r="M21" s="30" t="s">
        <v>199</v>
      </c>
      <c r="N21" s="30" t="s">
        <v>199</v>
      </c>
      <c r="O21" s="30" t="s">
        <v>199</v>
      </c>
      <c r="P21" s="30"/>
      <c r="Q21" s="30" t="s">
        <v>199</v>
      </c>
      <c r="R21" s="119"/>
      <c r="S21" s="24"/>
      <c r="T21" s="24"/>
      <c r="U21" s="119"/>
      <c r="V21" s="24" t="s">
        <v>200</v>
      </c>
      <c r="W21" s="24" t="s">
        <v>199</v>
      </c>
      <c r="X21" s="24"/>
      <c r="Y21" s="24"/>
      <c r="Z21" s="24"/>
      <c r="AA21" s="24"/>
      <c r="AB21">
        <f t="shared" si="3"/>
        <v>15</v>
      </c>
      <c r="AC21">
        <f t="shared" si="1"/>
        <v>14</v>
      </c>
    </row>
    <row r="22" spans="1:29" x14ac:dyDescent="0.15">
      <c r="A22" s="17" t="s">
        <v>177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19"/>
      <c r="S22" s="24" t="s">
        <v>199</v>
      </c>
      <c r="T22" s="24"/>
      <c r="U22" s="119"/>
      <c r="V22" s="24"/>
      <c r="W22" s="24"/>
      <c r="X22" s="24"/>
      <c r="Y22" s="24"/>
      <c r="Z22" s="24"/>
      <c r="AA22" s="24"/>
      <c r="AB22">
        <f t="shared" si="3"/>
        <v>1</v>
      </c>
      <c r="AC22">
        <f t="shared" si="1"/>
        <v>1</v>
      </c>
    </row>
    <row r="23" spans="1:29" x14ac:dyDescent="0.15">
      <c r="A23" s="17" t="s">
        <v>175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19"/>
      <c r="S23" s="24"/>
      <c r="T23" s="24"/>
      <c r="U23" s="119"/>
      <c r="V23" s="24"/>
      <c r="W23" s="24"/>
      <c r="X23" s="24"/>
      <c r="Y23" s="24"/>
      <c r="Z23" s="24"/>
      <c r="AA23" s="24"/>
      <c r="AB23">
        <f t="shared" si="3"/>
        <v>0</v>
      </c>
      <c r="AC23">
        <f t="shared" si="1"/>
        <v>0</v>
      </c>
    </row>
    <row r="24" spans="1:29" x14ac:dyDescent="0.15">
      <c r="A24" s="17" t="s">
        <v>117</v>
      </c>
      <c r="B24" s="30" t="s">
        <v>199</v>
      </c>
      <c r="C24" s="30" t="s">
        <v>200</v>
      </c>
      <c r="D24" s="30" t="s">
        <v>200</v>
      </c>
      <c r="E24" s="30" t="s">
        <v>199</v>
      </c>
      <c r="F24" s="30"/>
      <c r="G24" s="30"/>
      <c r="H24" s="30" t="s">
        <v>199</v>
      </c>
      <c r="I24" s="30" t="s">
        <v>200</v>
      </c>
      <c r="J24" s="30" t="s">
        <v>199</v>
      </c>
      <c r="K24" s="30"/>
      <c r="L24" s="30" t="s">
        <v>200</v>
      </c>
      <c r="M24" s="30"/>
      <c r="N24" s="30" t="s">
        <v>200</v>
      </c>
      <c r="O24" s="30"/>
      <c r="P24" s="30"/>
      <c r="Q24" s="30"/>
      <c r="R24" s="119"/>
      <c r="S24" s="24"/>
      <c r="T24" s="24" t="s">
        <v>200</v>
      </c>
      <c r="U24" s="119"/>
      <c r="V24" s="24" t="s">
        <v>199</v>
      </c>
      <c r="W24" s="24" t="s">
        <v>199</v>
      </c>
      <c r="X24" s="24"/>
      <c r="Y24" s="24" t="s">
        <v>199</v>
      </c>
      <c r="Z24" s="24" t="s">
        <v>199</v>
      </c>
      <c r="AA24" s="24"/>
      <c r="AB24">
        <f t="shared" si="3"/>
        <v>14</v>
      </c>
      <c r="AC24">
        <f t="shared" si="1"/>
        <v>8</v>
      </c>
    </row>
    <row r="25" spans="1:29" x14ac:dyDescent="0.15">
      <c r="A25" s="17" t="s">
        <v>113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119"/>
      <c r="S25" s="24"/>
      <c r="T25" s="24"/>
      <c r="U25" s="119"/>
      <c r="V25" s="24"/>
      <c r="W25" s="24"/>
      <c r="X25" s="24"/>
      <c r="Y25" s="24"/>
      <c r="Z25" s="24"/>
      <c r="AA25" s="24"/>
      <c r="AB25">
        <f t="shared" si="3"/>
        <v>0</v>
      </c>
      <c r="AC25">
        <f t="shared" si="1"/>
        <v>0</v>
      </c>
    </row>
    <row r="26" spans="1:29" x14ac:dyDescent="0.15">
      <c r="A26" s="17" t="s">
        <v>158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119"/>
      <c r="S26" s="24"/>
      <c r="T26" s="24"/>
      <c r="U26" s="119"/>
      <c r="V26" s="24"/>
      <c r="W26" s="24"/>
      <c r="X26" s="24"/>
      <c r="Y26" s="24"/>
      <c r="Z26" s="24"/>
      <c r="AA26" s="24"/>
      <c r="AB26">
        <f t="shared" si="3"/>
        <v>0</v>
      </c>
      <c r="AC26">
        <f t="shared" si="1"/>
        <v>0</v>
      </c>
    </row>
    <row r="27" spans="1:29" x14ac:dyDescent="0.15">
      <c r="A27" s="17" t="s">
        <v>179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119"/>
      <c r="S27" s="24"/>
      <c r="T27" s="24"/>
      <c r="U27" s="119"/>
      <c r="V27" s="24"/>
      <c r="W27" s="24"/>
      <c r="X27" s="24"/>
      <c r="Y27" s="24"/>
      <c r="Z27" s="24"/>
      <c r="AA27" s="24"/>
      <c r="AB27">
        <f t="shared" si="3"/>
        <v>0</v>
      </c>
      <c r="AC27">
        <f t="shared" si="1"/>
        <v>0</v>
      </c>
    </row>
    <row r="28" spans="1:29" x14ac:dyDescent="0.15">
      <c r="A28" s="1" t="s">
        <v>114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119"/>
      <c r="S28" s="24"/>
      <c r="T28" s="24"/>
      <c r="U28" s="119"/>
      <c r="V28" s="24"/>
      <c r="W28" s="24"/>
      <c r="X28" s="24"/>
      <c r="Y28" s="24"/>
      <c r="Z28" s="24"/>
      <c r="AA28" s="24"/>
      <c r="AB28">
        <f t="shared" si="3"/>
        <v>0</v>
      </c>
      <c r="AC28">
        <f t="shared" si="1"/>
        <v>0</v>
      </c>
    </row>
    <row r="29" spans="1:29" x14ac:dyDescent="0.15">
      <c r="A29" s="1" t="s">
        <v>115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119"/>
      <c r="S29" s="24"/>
      <c r="T29" s="24"/>
      <c r="U29" s="119"/>
      <c r="V29" s="24"/>
      <c r="W29" s="24"/>
      <c r="X29" s="24"/>
      <c r="Y29" s="24"/>
      <c r="Z29" s="24"/>
      <c r="AA29" s="24"/>
      <c r="AB29">
        <f t="shared" si="3"/>
        <v>0</v>
      </c>
      <c r="AC29">
        <f t="shared" si="1"/>
        <v>0</v>
      </c>
    </row>
    <row r="30" spans="1:29" x14ac:dyDescent="0.15">
      <c r="A30" s="17" t="s">
        <v>239</v>
      </c>
      <c r="B30" s="30"/>
      <c r="C30" s="30"/>
      <c r="D30" s="30"/>
      <c r="E30" s="30"/>
      <c r="F30" s="30"/>
      <c r="G30" s="30"/>
      <c r="H30" s="30"/>
      <c r="I30" s="30"/>
      <c r="J30" s="30"/>
      <c r="K30" s="30" t="s">
        <v>199</v>
      </c>
      <c r="L30" s="30"/>
      <c r="M30" s="30"/>
      <c r="N30" s="30"/>
      <c r="O30" s="30"/>
      <c r="P30" s="30"/>
      <c r="Q30" s="30"/>
      <c r="R30" s="119"/>
      <c r="S30" s="24"/>
      <c r="T30" s="24"/>
      <c r="U30" s="119"/>
      <c r="V30" s="24"/>
      <c r="W30" s="24"/>
      <c r="X30" s="24"/>
      <c r="Y30" s="24"/>
      <c r="Z30" s="24"/>
      <c r="AA30" s="24"/>
      <c r="AB30">
        <f t="shared" si="3"/>
        <v>1</v>
      </c>
      <c r="AC30">
        <f t="shared" si="1"/>
        <v>1</v>
      </c>
    </row>
    <row r="31" spans="1:29" x14ac:dyDescent="0.15">
      <c r="A31" s="17" t="s">
        <v>185</v>
      </c>
      <c r="B31" s="30" t="s">
        <v>199</v>
      </c>
      <c r="C31" s="30" t="s">
        <v>200</v>
      </c>
      <c r="D31" s="30"/>
      <c r="E31" s="30"/>
      <c r="F31" s="30"/>
      <c r="G31" s="30" t="s">
        <v>199</v>
      </c>
      <c r="H31" s="30" t="s">
        <v>199</v>
      </c>
      <c r="I31" s="30"/>
      <c r="J31" s="30"/>
      <c r="K31" s="30" t="s">
        <v>199</v>
      </c>
      <c r="L31" s="30" t="s">
        <v>200</v>
      </c>
      <c r="M31" s="30"/>
      <c r="N31" s="30"/>
      <c r="O31" s="30"/>
      <c r="P31" s="30" t="s">
        <v>199</v>
      </c>
      <c r="Q31" s="30"/>
      <c r="R31" s="119"/>
      <c r="S31" s="24" t="s">
        <v>199</v>
      </c>
      <c r="T31" s="24" t="s">
        <v>200</v>
      </c>
      <c r="U31" s="119"/>
      <c r="V31" s="24"/>
      <c r="W31" s="24" t="s">
        <v>199</v>
      </c>
      <c r="X31" s="24"/>
      <c r="Y31" s="24" t="s">
        <v>199</v>
      </c>
      <c r="Z31" s="24"/>
      <c r="AA31" s="24"/>
      <c r="AB31">
        <f t="shared" si="3"/>
        <v>11</v>
      </c>
      <c r="AC31">
        <f t="shared" si="1"/>
        <v>8</v>
      </c>
    </row>
    <row r="32" spans="1:29" x14ac:dyDescent="0.15">
      <c r="A32" s="17" t="s">
        <v>164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119"/>
      <c r="S32" s="24"/>
      <c r="T32" s="24"/>
      <c r="U32" s="119"/>
      <c r="V32" s="24"/>
      <c r="W32" s="24"/>
      <c r="X32" s="24"/>
      <c r="Y32" s="24"/>
      <c r="Z32" s="24"/>
      <c r="AA32" s="24"/>
      <c r="AB32">
        <f t="shared" si="3"/>
        <v>0</v>
      </c>
      <c r="AC32">
        <f t="shared" si="1"/>
        <v>0</v>
      </c>
    </row>
    <row r="33" spans="1:29" x14ac:dyDescent="0.15">
      <c r="A33" s="17" t="s">
        <v>198</v>
      </c>
      <c r="B33" s="30" t="s">
        <v>200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119"/>
      <c r="S33" s="24"/>
      <c r="T33" s="24"/>
      <c r="U33" s="119"/>
      <c r="V33" s="24"/>
      <c r="W33" s="24"/>
      <c r="X33" s="24"/>
      <c r="Y33" s="24"/>
      <c r="Z33" s="24"/>
      <c r="AA33" s="24"/>
      <c r="AB33">
        <f t="shared" si="3"/>
        <v>1</v>
      </c>
      <c r="AC33">
        <f t="shared" si="1"/>
        <v>0</v>
      </c>
    </row>
    <row r="34" spans="1:29" x14ac:dyDescent="0.15">
      <c r="A34" s="17" t="s">
        <v>287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119"/>
      <c r="S34" s="24"/>
      <c r="T34" s="24" t="s">
        <v>199</v>
      </c>
      <c r="U34" s="119"/>
      <c r="V34" s="24"/>
      <c r="W34" s="24"/>
      <c r="X34" s="24"/>
      <c r="Y34" s="24"/>
      <c r="Z34" s="24"/>
      <c r="AA34" s="24"/>
      <c r="AB34">
        <f t="shared" si="3"/>
        <v>1</v>
      </c>
      <c r="AC34">
        <f t="shared" ref="AC34" si="4">COUNTIF(B34:AA34,"b")</f>
        <v>1</v>
      </c>
    </row>
    <row r="35" spans="1:29" x14ac:dyDescent="0.15">
      <c r="A35" s="1" t="s">
        <v>44</v>
      </c>
      <c r="B35" s="30" t="s">
        <v>200</v>
      </c>
      <c r="C35" s="30" t="s">
        <v>200</v>
      </c>
      <c r="D35" s="30" t="s">
        <v>200</v>
      </c>
      <c r="E35" s="30" t="s">
        <v>199</v>
      </c>
      <c r="F35" s="30" t="s">
        <v>199</v>
      </c>
      <c r="G35" s="30" t="s">
        <v>199</v>
      </c>
      <c r="H35" s="30" t="s">
        <v>200</v>
      </c>
      <c r="I35" s="30" t="s">
        <v>200</v>
      </c>
      <c r="J35" s="30" t="s">
        <v>199</v>
      </c>
      <c r="K35" s="30" t="s">
        <v>199</v>
      </c>
      <c r="L35" s="30" t="s">
        <v>200</v>
      </c>
      <c r="M35" s="30" t="s">
        <v>200</v>
      </c>
      <c r="N35" s="30" t="s">
        <v>200</v>
      </c>
      <c r="O35" s="30" t="s">
        <v>200</v>
      </c>
      <c r="P35" s="30" t="s">
        <v>200</v>
      </c>
      <c r="Q35" s="30" t="s">
        <v>200</v>
      </c>
      <c r="R35" s="119"/>
      <c r="S35" s="24" t="s">
        <v>200</v>
      </c>
      <c r="T35" s="24" t="s">
        <v>200</v>
      </c>
      <c r="U35" s="119"/>
      <c r="V35" s="24" t="s">
        <v>200</v>
      </c>
      <c r="W35" s="24"/>
      <c r="X35" s="24"/>
      <c r="Y35" s="24" t="s">
        <v>200</v>
      </c>
      <c r="Z35" s="24"/>
      <c r="AA35" s="24" t="s">
        <v>199</v>
      </c>
      <c r="AB35">
        <f t="shared" si="3"/>
        <v>21</v>
      </c>
      <c r="AC35">
        <f t="shared" si="1"/>
        <v>6</v>
      </c>
    </row>
    <row r="36" spans="1:29" x14ac:dyDescent="0.15">
      <c r="A36" s="17" t="s">
        <v>130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119"/>
      <c r="S36" s="24"/>
      <c r="T36" s="24"/>
      <c r="U36" s="119"/>
      <c r="V36" s="24"/>
      <c r="W36" s="24"/>
      <c r="X36" s="24"/>
      <c r="Y36" s="24"/>
      <c r="Z36" s="24"/>
      <c r="AA36" s="24"/>
      <c r="AB36">
        <f t="shared" si="3"/>
        <v>0</v>
      </c>
      <c r="AC36">
        <f t="shared" ref="AC36:AC55" si="5">COUNTIF(B36:AA36,"b")</f>
        <v>0</v>
      </c>
    </row>
    <row r="37" spans="1:29" x14ac:dyDescent="0.15">
      <c r="A37" s="17" t="s">
        <v>166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119"/>
      <c r="S37" s="24"/>
      <c r="T37" s="24"/>
      <c r="U37" s="119"/>
      <c r="V37" s="24"/>
      <c r="W37" s="24"/>
      <c r="X37" s="24"/>
      <c r="Y37" s="24"/>
      <c r="Z37" s="24"/>
      <c r="AA37" s="24"/>
      <c r="AB37">
        <f t="shared" si="3"/>
        <v>0</v>
      </c>
      <c r="AC37">
        <f t="shared" si="5"/>
        <v>0</v>
      </c>
    </row>
    <row r="38" spans="1:29" x14ac:dyDescent="0.15">
      <c r="A38" s="17" t="s">
        <v>172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119"/>
      <c r="S38" s="24"/>
      <c r="T38" s="24"/>
      <c r="U38" s="119"/>
      <c r="V38" s="24"/>
      <c r="W38" s="24"/>
      <c r="X38" s="24"/>
      <c r="Y38" s="24"/>
      <c r="Z38" s="24"/>
      <c r="AA38" s="24"/>
      <c r="AB38">
        <f t="shared" si="3"/>
        <v>0</v>
      </c>
      <c r="AC38">
        <f t="shared" si="5"/>
        <v>0</v>
      </c>
    </row>
    <row r="39" spans="1:29" x14ac:dyDescent="0.15">
      <c r="A39" s="1" t="s">
        <v>51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 t="s">
        <v>200</v>
      </c>
      <c r="Q39" s="30"/>
      <c r="R39" s="119"/>
      <c r="S39" s="24"/>
      <c r="T39" s="24"/>
      <c r="U39" s="119"/>
      <c r="V39" s="24" t="s">
        <v>200</v>
      </c>
      <c r="W39" s="24"/>
      <c r="X39" s="24"/>
      <c r="Y39" s="24"/>
      <c r="Z39" s="24"/>
      <c r="AA39" s="24" t="s">
        <v>200</v>
      </c>
      <c r="AB39">
        <f t="shared" si="3"/>
        <v>3</v>
      </c>
      <c r="AC39">
        <f t="shared" si="5"/>
        <v>0</v>
      </c>
    </row>
    <row r="40" spans="1:29" x14ac:dyDescent="0.15">
      <c r="A40" s="1" t="s">
        <v>116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119"/>
      <c r="S40" s="24"/>
      <c r="T40" s="24"/>
      <c r="U40" s="119"/>
      <c r="V40" s="24"/>
      <c r="W40" s="24"/>
      <c r="X40" s="24"/>
      <c r="Y40" s="24"/>
      <c r="Z40" s="24"/>
      <c r="AA40" s="24"/>
      <c r="AB40">
        <f t="shared" si="3"/>
        <v>0</v>
      </c>
      <c r="AC40">
        <f t="shared" si="5"/>
        <v>0</v>
      </c>
    </row>
    <row r="41" spans="1:29" x14ac:dyDescent="0.15">
      <c r="A41" s="1" t="s">
        <v>103</v>
      </c>
      <c r="B41" s="30"/>
      <c r="C41" s="30"/>
      <c r="D41" s="30"/>
      <c r="E41" s="30" t="s">
        <v>199</v>
      </c>
      <c r="F41" s="30"/>
      <c r="G41" s="30"/>
      <c r="H41" s="30"/>
      <c r="I41" s="30" t="s">
        <v>199</v>
      </c>
      <c r="J41" s="30" t="s">
        <v>199</v>
      </c>
      <c r="K41" s="30"/>
      <c r="L41" s="30" t="s">
        <v>200</v>
      </c>
      <c r="M41" s="30"/>
      <c r="N41" s="30"/>
      <c r="O41" s="30"/>
      <c r="P41" s="30" t="s">
        <v>199</v>
      </c>
      <c r="Q41" s="30"/>
      <c r="R41" s="119"/>
      <c r="S41" s="24"/>
      <c r="T41" s="24"/>
      <c r="U41" s="119"/>
      <c r="V41" s="24"/>
      <c r="W41" s="24" t="s">
        <v>199</v>
      </c>
      <c r="X41" s="24"/>
      <c r="Y41" s="24"/>
      <c r="Z41" s="24" t="s">
        <v>199</v>
      </c>
      <c r="AA41" s="24" t="s">
        <v>199</v>
      </c>
      <c r="AB41">
        <f t="shared" si="3"/>
        <v>8</v>
      </c>
      <c r="AC41">
        <f t="shared" si="5"/>
        <v>7</v>
      </c>
    </row>
    <row r="42" spans="1:29" x14ac:dyDescent="0.15">
      <c r="A42" s="17" t="s">
        <v>108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119"/>
      <c r="S42" s="24"/>
      <c r="T42" s="24"/>
      <c r="U42" s="119"/>
      <c r="V42" s="24"/>
      <c r="W42" s="24"/>
      <c r="X42" s="24"/>
      <c r="Y42" s="24"/>
      <c r="Z42" s="24"/>
      <c r="AA42" s="24"/>
      <c r="AB42">
        <f t="shared" si="3"/>
        <v>0</v>
      </c>
      <c r="AC42">
        <f t="shared" si="5"/>
        <v>0</v>
      </c>
    </row>
    <row r="43" spans="1:29" x14ac:dyDescent="0.15">
      <c r="A43" s="17" t="s">
        <v>156</v>
      </c>
      <c r="B43" s="30" t="s">
        <v>199</v>
      </c>
      <c r="C43" s="30" t="s">
        <v>200</v>
      </c>
      <c r="D43" s="30" t="s">
        <v>199</v>
      </c>
      <c r="E43" s="30" t="s">
        <v>199</v>
      </c>
      <c r="F43" s="30" t="s">
        <v>199</v>
      </c>
      <c r="G43" s="30" t="s">
        <v>199</v>
      </c>
      <c r="H43" s="30"/>
      <c r="I43" s="30" t="s">
        <v>199</v>
      </c>
      <c r="J43" s="30" t="s">
        <v>199</v>
      </c>
      <c r="K43" s="30" t="s">
        <v>199</v>
      </c>
      <c r="L43" s="30" t="s">
        <v>199</v>
      </c>
      <c r="M43" s="30" t="s">
        <v>199</v>
      </c>
      <c r="N43" s="30" t="s">
        <v>200</v>
      </c>
      <c r="O43" s="30" t="s">
        <v>200</v>
      </c>
      <c r="P43" s="30" t="s">
        <v>199</v>
      </c>
      <c r="Q43" s="30" t="s">
        <v>199</v>
      </c>
      <c r="R43" s="119"/>
      <c r="S43" s="24" t="s">
        <v>199</v>
      </c>
      <c r="T43" s="24"/>
      <c r="U43" s="119"/>
      <c r="V43" s="24"/>
      <c r="W43" s="24" t="s">
        <v>199</v>
      </c>
      <c r="X43" s="24"/>
      <c r="Y43" s="24" t="s">
        <v>199</v>
      </c>
      <c r="Z43" s="24"/>
      <c r="AA43" s="24" t="s">
        <v>199</v>
      </c>
      <c r="AB43">
        <f t="shared" si="3"/>
        <v>19</v>
      </c>
      <c r="AC43">
        <f t="shared" si="5"/>
        <v>16</v>
      </c>
    </row>
    <row r="44" spans="1:29" x14ac:dyDescent="0.15">
      <c r="A44" s="17" t="s">
        <v>157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119"/>
      <c r="S44" s="24"/>
      <c r="T44" s="24"/>
      <c r="U44" s="119"/>
      <c r="V44" s="24"/>
      <c r="W44" s="24"/>
      <c r="X44" s="24"/>
      <c r="Y44" s="24"/>
      <c r="Z44" s="24"/>
      <c r="AA44" s="24"/>
      <c r="AB44">
        <f t="shared" si="3"/>
        <v>0</v>
      </c>
      <c r="AC44">
        <f t="shared" si="5"/>
        <v>0</v>
      </c>
    </row>
    <row r="45" spans="1:29" x14ac:dyDescent="0.15">
      <c r="A45" s="17" t="s">
        <v>301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119"/>
      <c r="S45" s="24"/>
      <c r="T45" s="24"/>
      <c r="U45" s="119"/>
      <c r="V45" s="24"/>
      <c r="W45" s="24"/>
      <c r="X45" s="24"/>
      <c r="Y45" s="24" t="s">
        <v>199</v>
      </c>
      <c r="Z45" s="24" t="s">
        <v>199</v>
      </c>
      <c r="AA45" s="24" t="s">
        <v>199</v>
      </c>
      <c r="AB45">
        <f t="shared" si="3"/>
        <v>3</v>
      </c>
      <c r="AC45">
        <f t="shared" ref="AC45" si="6">COUNTIF(B45:AA45,"b")</f>
        <v>3</v>
      </c>
    </row>
    <row r="46" spans="1:29" x14ac:dyDescent="0.15">
      <c r="A46" s="17" t="s">
        <v>284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119"/>
      <c r="S46" s="24" t="s">
        <v>199</v>
      </c>
      <c r="T46" s="24"/>
      <c r="U46" s="119"/>
      <c r="V46" s="24"/>
      <c r="W46" s="24"/>
      <c r="X46" s="24"/>
      <c r="Y46" s="24"/>
      <c r="Z46" s="24"/>
      <c r="AA46" s="24"/>
      <c r="AB46">
        <f t="shared" si="3"/>
        <v>1</v>
      </c>
      <c r="AC46">
        <f t="shared" si="5"/>
        <v>1</v>
      </c>
    </row>
    <row r="47" spans="1:29" x14ac:dyDescent="0.15">
      <c r="A47" s="17" t="s">
        <v>160</v>
      </c>
      <c r="B47" s="30" t="s">
        <v>199</v>
      </c>
      <c r="C47" s="30" t="s">
        <v>200</v>
      </c>
      <c r="D47" s="30" t="s">
        <v>199</v>
      </c>
      <c r="E47" s="30" t="s">
        <v>199</v>
      </c>
      <c r="F47" s="30"/>
      <c r="G47" s="30"/>
      <c r="H47" s="30"/>
      <c r="I47" s="30"/>
      <c r="J47" s="30"/>
      <c r="K47" s="30"/>
      <c r="L47" s="30" t="s">
        <v>199</v>
      </c>
      <c r="M47" s="30" t="s">
        <v>200</v>
      </c>
      <c r="N47" s="30" t="s">
        <v>199</v>
      </c>
      <c r="O47" s="30" t="s">
        <v>199</v>
      </c>
      <c r="P47" s="30" t="s">
        <v>199</v>
      </c>
      <c r="Q47" s="30"/>
      <c r="R47" s="119"/>
      <c r="S47" s="24" t="s">
        <v>199</v>
      </c>
      <c r="T47" s="24" t="s">
        <v>199</v>
      </c>
      <c r="U47" s="119"/>
      <c r="V47" s="24"/>
      <c r="W47" s="24" t="s">
        <v>199</v>
      </c>
      <c r="X47" s="24"/>
      <c r="Y47" s="24" t="s">
        <v>199</v>
      </c>
      <c r="Z47" s="24" t="s">
        <v>199</v>
      </c>
      <c r="AA47" s="24" t="s">
        <v>199</v>
      </c>
      <c r="AB47">
        <f t="shared" si="3"/>
        <v>15</v>
      </c>
      <c r="AC47">
        <f t="shared" si="5"/>
        <v>13</v>
      </c>
    </row>
    <row r="48" spans="1:29" x14ac:dyDescent="0.15">
      <c r="A48" s="17" t="s">
        <v>176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119"/>
      <c r="S48" s="24"/>
      <c r="T48" s="24"/>
      <c r="U48" s="119"/>
      <c r="V48" s="24"/>
      <c r="W48" s="24"/>
      <c r="X48" s="24"/>
      <c r="Y48" s="24"/>
      <c r="Z48" s="24"/>
      <c r="AA48" s="24"/>
      <c r="AB48">
        <f t="shared" si="3"/>
        <v>0</v>
      </c>
      <c r="AC48">
        <f t="shared" si="5"/>
        <v>0</v>
      </c>
    </row>
    <row r="49" spans="1:29" x14ac:dyDescent="0.15">
      <c r="A49" s="1" t="s">
        <v>102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 t="s">
        <v>200</v>
      </c>
      <c r="N49" s="30" t="s">
        <v>200</v>
      </c>
      <c r="O49" s="30" t="s">
        <v>200</v>
      </c>
      <c r="P49" s="30" t="s">
        <v>199</v>
      </c>
      <c r="Q49" s="30" t="s">
        <v>199</v>
      </c>
      <c r="R49" s="119"/>
      <c r="S49" s="24"/>
      <c r="T49" s="24"/>
      <c r="U49" s="119"/>
      <c r="V49" s="24"/>
      <c r="W49" s="24"/>
      <c r="X49" s="24"/>
      <c r="Y49" s="24"/>
      <c r="Z49" s="24"/>
      <c r="AA49" s="24"/>
      <c r="AB49">
        <f t="shared" si="3"/>
        <v>5</v>
      </c>
      <c r="AC49">
        <f t="shared" si="5"/>
        <v>2</v>
      </c>
    </row>
    <row r="50" spans="1:29" x14ac:dyDescent="0.15">
      <c r="A50" s="1" t="s">
        <v>42</v>
      </c>
      <c r="B50" s="30"/>
      <c r="C50" s="30"/>
      <c r="D50" s="30"/>
      <c r="E50" s="30"/>
      <c r="F50" s="30"/>
      <c r="G50" s="30"/>
      <c r="H50" s="30" t="s">
        <v>199</v>
      </c>
      <c r="I50" s="30"/>
      <c r="J50" s="30"/>
      <c r="K50" s="30" t="s">
        <v>199</v>
      </c>
      <c r="L50" s="30"/>
      <c r="M50" s="30" t="s">
        <v>199</v>
      </c>
      <c r="N50" s="30"/>
      <c r="O50" s="30"/>
      <c r="P50" s="30"/>
      <c r="Q50" s="30" t="s">
        <v>199</v>
      </c>
      <c r="R50" s="119"/>
      <c r="S50" s="24"/>
      <c r="T50" s="24"/>
      <c r="U50" s="119"/>
      <c r="V50" s="24"/>
      <c r="W50" s="24"/>
      <c r="X50" s="24"/>
      <c r="Y50" s="24"/>
      <c r="Z50" s="24"/>
      <c r="AA50" s="24"/>
      <c r="AB50">
        <f t="shared" si="3"/>
        <v>4</v>
      </c>
      <c r="AC50">
        <f t="shared" si="5"/>
        <v>4</v>
      </c>
    </row>
    <row r="51" spans="1:29" x14ac:dyDescent="0.15">
      <c r="A51" s="1" t="s">
        <v>50</v>
      </c>
      <c r="B51" s="30" t="s">
        <v>199</v>
      </c>
      <c r="C51" s="30" t="s">
        <v>200</v>
      </c>
      <c r="D51" s="30"/>
      <c r="E51" s="30" t="s">
        <v>199</v>
      </c>
      <c r="F51" s="30"/>
      <c r="G51" s="30" t="s">
        <v>199</v>
      </c>
      <c r="H51" s="30" t="s">
        <v>200</v>
      </c>
      <c r="I51" s="30"/>
      <c r="J51" s="30"/>
      <c r="K51" s="30" t="s">
        <v>199</v>
      </c>
      <c r="L51" s="30" t="s">
        <v>200</v>
      </c>
      <c r="M51" s="30"/>
      <c r="N51" s="30"/>
      <c r="O51" s="30" t="s">
        <v>200</v>
      </c>
      <c r="P51" s="30"/>
      <c r="Q51" s="30"/>
      <c r="R51" s="119"/>
      <c r="S51" s="24" t="s">
        <v>199</v>
      </c>
      <c r="T51" s="24"/>
      <c r="U51" s="119"/>
      <c r="V51" s="24"/>
      <c r="W51" s="24"/>
      <c r="X51" s="24"/>
      <c r="Y51" s="24" t="s">
        <v>199</v>
      </c>
      <c r="Z51" s="24"/>
      <c r="AA51" s="24"/>
      <c r="AB51">
        <f t="shared" si="3"/>
        <v>10</v>
      </c>
      <c r="AC51">
        <f t="shared" si="5"/>
        <v>6</v>
      </c>
    </row>
    <row r="52" spans="1:29" x14ac:dyDescent="0.15">
      <c r="A52" s="1" t="s">
        <v>45</v>
      </c>
      <c r="B52" s="30"/>
      <c r="C52" s="30"/>
      <c r="D52" s="30" t="s">
        <v>200</v>
      </c>
      <c r="E52" s="30" t="s">
        <v>199</v>
      </c>
      <c r="F52" s="30"/>
      <c r="G52" s="30" t="s">
        <v>199</v>
      </c>
      <c r="H52" s="30"/>
      <c r="I52" s="30" t="s">
        <v>199</v>
      </c>
      <c r="J52" s="30" t="s">
        <v>199</v>
      </c>
      <c r="K52" s="30" t="s">
        <v>199</v>
      </c>
      <c r="L52" s="30"/>
      <c r="M52" s="30"/>
      <c r="N52" s="30" t="s">
        <v>200</v>
      </c>
      <c r="O52" s="30"/>
      <c r="P52" s="30" t="s">
        <v>200</v>
      </c>
      <c r="Q52" s="30"/>
      <c r="R52" s="119"/>
      <c r="S52" s="24" t="s">
        <v>200</v>
      </c>
      <c r="T52" s="24" t="s">
        <v>200</v>
      </c>
      <c r="U52" s="119"/>
      <c r="V52" s="24"/>
      <c r="W52" s="24" t="s">
        <v>199</v>
      </c>
      <c r="X52" s="24"/>
      <c r="Y52" s="24"/>
      <c r="Z52" s="24"/>
      <c r="AA52" s="24"/>
      <c r="AB52">
        <f t="shared" si="3"/>
        <v>11</v>
      </c>
      <c r="AC52">
        <f t="shared" si="5"/>
        <v>6</v>
      </c>
    </row>
    <row r="53" spans="1:29" x14ac:dyDescent="0.15">
      <c r="A53" s="17" t="s">
        <v>184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119"/>
      <c r="S53" s="24"/>
      <c r="T53" s="24"/>
      <c r="U53" s="119"/>
      <c r="V53" s="24"/>
      <c r="W53" s="24"/>
      <c r="X53" s="24"/>
      <c r="Y53" s="24"/>
      <c r="Z53" s="24"/>
      <c r="AA53" s="24"/>
      <c r="AB53">
        <f t="shared" si="3"/>
        <v>0</v>
      </c>
      <c r="AC53">
        <f t="shared" si="5"/>
        <v>0</v>
      </c>
    </row>
    <row r="54" spans="1:29" x14ac:dyDescent="0.15">
      <c r="A54" s="17" t="s">
        <v>162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119"/>
      <c r="S54" s="24"/>
      <c r="T54" s="24"/>
      <c r="U54" s="119"/>
      <c r="V54" s="24"/>
      <c r="W54" s="24"/>
      <c r="X54" s="24"/>
      <c r="Y54" s="24"/>
      <c r="Z54" s="24"/>
      <c r="AA54" s="24"/>
      <c r="AB54">
        <f t="shared" si="3"/>
        <v>0</v>
      </c>
      <c r="AC54">
        <f t="shared" si="5"/>
        <v>0</v>
      </c>
    </row>
    <row r="55" spans="1:29" x14ac:dyDescent="0.15">
      <c r="A55" s="17" t="s">
        <v>161</v>
      </c>
      <c r="Q55" s="30"/>
      <c r="R55" s="119"/>
      <c r="S55" s="24"/>
      <c r="T55" s="24"/>
      <c r="U55" s="119"/>
      <c r="V55" s="24"/>
      <c r="W55" s="24"/>
      <c r="X55" s="24"/>
      <c r="Y55" s="24"/>
      <c r="Z55" s="24"/>
      <c r="AA55" s="24"/>
      <c r="AB55">
        <f t="shared" si="3"/>
        <v>0</v>
      </c>
      <c r="AC55">
        <f t="shared" si="5"/>
        <v>0</v>
      </c>
    </row>
    <row r="56" spans="1:29" x14ac:dyDescent="0.15">
      <c r="A56" s="17" t="s">
        <v>223</v>
      </c>
      <c r="B56" s="30"/>
      <c r="C56" s="30"/>
      <c r="D56" s="30"/>
      <c r="E56" s="30"/>
      <c r="F56" s="30" t="s">
        <v>199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119"/>
      <c r="S56" s="24"/>
      <c r="T56" s="24"/>
      <c r="U56" s="119"/>
      <c r="V56" s="24"/>
      <c r="W56" s="24"/>
      <c r="X56" s="24"/>
      <c r="Y56" s="24"/>
      <c r="Z56" s="24"/>
      <c r="AA56" s="24"/>
      <c r="AB56">
        <f t="shared" si="3"/>
        <v>1</v>
      </c>
      <c r="AC56">
        <f t="shared" ref="AC56" si="7">COUNTIF(B56:AA56,"b")</f>
        <v>1</v>
      </c>
    </row>
    <row r="57" spans="1:29" x14ac:dyDescent="0.15">
      <c r="A57" s="17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9" s="26" customFormat="1" x14ac:dyDescent="0.15">
      <c r="B58" s="26">
        <f>COUNTA(B2:B56)</f>
        <v>11</v>
      </c>
      <c r="C58" s="26">
        <f t="shared" ref="C58:AA58" si="8">COUNTA(C2:C56)</f>
        <v>11</v>
      </c>
      <c r="D58" s="26">
        <f t="shared" si="8"/>
        <v>11</v>
      </c>
      <c r="E58" s="26">
        <f t="shared" si="8"/>
        <v>11</v>
      </c>
      <c r="F58" s="26">
        <f t="shared" si="8"/>
        <v>10</v>
      </c>
      <c r="G58" s="26">
        <f t="shared" si="8"/>
        <v>11</v>
      </c>
      <c r="H58" s="26">
        <f t="shared" si="8"/>
        <v>11</v>
      </c>
      <c r="I58" s="26">
        <f t="shared" si="8"/>
        <v>11</v>
      </c>
      <c r="J58" s="26">
        <f t="shared" si="8"/>
        <v>11</v>
      </c>
      <c r="K58" s="26">
        <f t="shared" si="8"/>
        <v>11</v>
      </c>
      <c r="L58" s="26">
        <f t="shared" si="8"/>
        <v>11</v>
      </c>
      <c r="M58" s="26">
        <f t="shared" si="8"/>
        <v>10</v>
      </c>
      <c r="N58" s="26">
        <f t="shared" si="8"/>
        <v>10</v>
      </c>
      <c r="O58" s="26">
        <f t="shared" si="8"/>
        <v>11</v>
      </c>
      <c r="P58" s="26">
        <f>COUNTA(P2:P56)</f>
        <v>11</v>
      </c>
      <c r="Q58" s="26">
        <f t="shared" si="8"/>
        <v>11</v>
      </c>
      <c r="R58" s="26">
        <f t="shared" si="8"/>
        <v>0</v>
      </c>
      <c r="S58" s="26">
        <f t="shared" si="8"/>
        <v>11</v>
      </c>
      <c r="T58" s="26">
        <f t="shared" si="8"/>
        <v>11</v>
      </c>
      <c r="U58" s="26">
        <f t="shared" si="8"/>
        <v>0</v>
      </c>
      <c r="V58" s="26">
        <f t="shared" si="8"/>
        <v>10</v>
      </c>
      <c r="W58" s="26">
        <f t="shared" si="8"/>
        <v>12</v>
      </c>
      <c r="X58" s="26">
        <f t="shared" si="8"/>
        <v>0</v>
      </c>
      <c r="Y58" s="26">
        <f t="shared" si="8"/>
        <v>11</v>
      </c>
      <c r="Z58" s="26">
        <f t="shared" si="8"/>
        <v>11</v>
      </c>
      <c r="AA58" s="26">
        <f t="shared" si="8"/>
        <v>11</v>
      </c>
      <c r="AB58" s="27"/>
      <c r="AC58" s="27"/>
    </row>
  </sheetData>
  <autoFilter ref="A1:AC56" xr:uid="{00000000-0009-0000-0000-000006000000}"/>
  <sortState xmlns:xlrd2="http://schemas.microsoft.com/office/spreadsheetml/2017/richdata2" ref="A2:AB24">
    <sortCondition ref="A2:A24"/>
  </sortState>
  <dataValidations count="1">
    <dataValidation type="list" allowBlank="1" showInputMessage="1" showErrorMessage="1" promptTitle="Select Played or Batted" sqref="D2:M6 R55:AA55 C9:C54 B2:B54 O2:AA54 B56:AA57 D7:N54" xr:uid="{00000000-0002-0000-0600-000000000000}">
      <formula1>"P,B, ,"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8"/>
  <sheetViews>
    <sheetView workbookViewId="0">
      <pane ySplit="1" topLeftCell="A79" activePane="bottomLeft" state="frozen"/>
      <selection activeCell="Q1" sqref="Q1"/>
      <selection pane="bottomLeft"/>
    </sheetView>
  </sheetViews>
  <sheetFormatPr defaultColWidth="10.78515625" defaultRowHeight="14.25" x14ac:dyDescent="0.15"/>
  <cols>
    <col min="2" max="2" width="14.26953125" customWidth="1"/>
    <col min="3" max="3" width="3.70703125" customWidth="1"/>
    <col min="4" max="4" width="11.4609375" customWidth="1"/>
    <col min="5" max="6" width="2.01953125" customWidth="1"/>
    <col min="7" max="7" width="3.59375" style="44" customWidth="1"/>
    <col min="8" max="8" width="4.83203125" customWidth="1"/>
    <col min="9" max="9" width="4.71875" customWidth="1"/>
    <col min="10" max="10" width="4.60546875" customWidth="1"/>
    <col min="11" max="11" width="4.71875" customWidth="1"/>
    <col min="12" max="13" width="2.80859375" customWidth="1"/>
    <col min="14" max="14" width="4.15625" customWidth="1"/>
    <col min="15" max="15" width="3.70703125" customWidth="1"/>
    <col min="16" max="17" width="4.15625" customWidth="1"/>
    <col min="18" max="18" width="5.28125" bestFit="1" customWidth="1"/>
    <col min="19" max="19" width="4.83203125" customWidth="1"/>
    <col min="20" max="20" width="4.71875" customWidth="1"/>
    <col min="21" max="21" width="5.28125" customWidth="1"/>
    <col min="22" max="22" width="5.16796875" customWidth="1"/>
    <col min="23" max="23" width="4.26953125" customWidth="1"/>
    <col min="24" max="24" width="7.19140625" bestFit="1" customWidth="1"/>
    <col min="25" max="25" width="5.953125" bestFit="1" customWidth="1"/>
    <col min="26" max="26" width="6.7421875" bestFit="1" customWidth="1"/>
    <col min="27" max="27" width="5.73046875" customWidth="1"/>
    <col min="28" max="28" width="6.1796875" customWidth="1"/>
    <col min="29" max="29" width="5.16796875" customWidth="1"/>
    <col min="30" max="30" width="3.8203125" customWidth="1"/>
    <col min="31" max="31" width="4.26953125" customWidth="1"/>
    <col min="32" max="32" width="3.8203125" customWidth="1"/>
    <col min="33" max="33" width="3.70703125" customWidth="1"/>
    <col min="34" max="35" width="3.2578125" customWidth="1"/>
    <col min="36" max="36" width="6.29296875" customWidth="1"/>
  </cols>
  <sheetData>
    <row r="1" spans="1:35" ht="15" thickBot="1" x14ac:dyDescent="0.2">
      <c r="A1" t="s">
        <v>182</v>
      </c>
      <c r="B1" t="s">
        <v>181</v>
      </c>
      <c r="C1" t="s">
        <v>131</v>
      </c>
      <c r="D1" t="s">
        <v>24</v>
      </c>
      <c r="E1" t="s">
        <v>132</v>
      </c>
      <c r="F1" t="s">
        <v>133</v>
      </c>
      <c r="G1" s="44" t="s">
        <v>193</v>
      </c>
      <c r="H1" t="s">
        <v>140</v>
      </c>
      <c r="I1" t="s">
        <v>141</v>
      </c>
      <c r="J1" t="s">
        <v>149</v>
      </c>
      <c r="K1" t="s">
        <v>150</v>
      </c>
      <c r="L1" t="s">
        <v>87</v>
      </c>
      <c r="M1" t="s">
        <v>88</v>
      </c>
      <c r="N1" t="s">
        <v>170</v>
      </c>
      <c r="O1" t="s">
        <v>171</v>
      </c>
      <c r="P1" t="s">
        <v>62</v>
      </c>
      <c r="Q1" t="s">
        <v>61</v>
      </c>
      <c r="R1" t="s">
        <v>142</v>
      </c>
      <c r="S1" t="s">
        <v>153</v>
      </c>
      <c r="T1" t="s">
        <v>152</v>
      </c>
      <c r="U1" t="s">
        <v>143</v>
      </c>
      <c r="V1" t="s">
        <v>144</v>
      </c>
      <c r="W1" t="s">
        <v>151</v>
      </c>
      <c r="X1" t="s">
        <v>145</v>
      </c>
      <c r="Y1" t="s">
        <v>146</v>
      </c>
      <c r="Z1" t="s">
        <v>154</v>
      </c>
      <c r="AA1" t="s">
        <v>147</v>
      </c>
      <c r="AB1" t="s">
        <v>148</v>
      </c>
      <c r="AC1" t="s">
        <v>178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</row>
    <row r="2" spans="1:35" x14ac:dyDescent="0.15">
      <c r="A2" s="75">
        <f>'Match Summary'!$B$3</f>
        <v>42113</v>
      </c>
      <c r="B2" s="76" t="str">
        <f>'Match Summary'!$C$3</f>
        <v>Springfield_II</v>
      </c>
      <c r="C2" s="77">
        <v>1</v>
      </c>
      <c r="D2" s="78" t="s">
        <v>111</v>
      </c>
      <c r="E2" s="77"/>
      <c r="F2" s="79"/>
      <c r="G2" s="105" t="s">
        <v>199</v>
      </c>
      <c r="H2" s="80">
        <v>0</v>
      </c>
      <c r="I2" s="77" t="s">
        <v>201</v>
      </c>
      <c r="J2" s="81">
        <v>13</v>
      </c>
      <c r="K2" s="81">
        <v>13</v>
      </c>
      <c r="L2" s="81"/>
      <c r="M2" s="81"/>
      <c r="N2" s="79" t="str">
        <f t="shared" ref="N2:N12" si="0">IF(I2="NO",1,"")</f>
        <v/>
      </c>
      <c r="O2" s="81">
        <f>IF(OR(H2&gt;0,H2=""),"",IF(I2="no","",1))</f>
        <v>1</v>
      </c>
      <c r="P2" s="81" t="str">
        <f t="shared" ref="P2:P12" si="1">IF(AND(H2&gt;=50,H2&lt;100),1,"")</f>
        <v/>
      </c>
      <c r="Q2" s="80" t="str">
        <f t="shared" ref="Q2:Q12" si="2">IF(H2&gt;=100,1,"")</f>
        <v/>
      </c>
      <c r="R2" s="77">
        <v>5</v>
      </c>
      <c r="S2" s="81">
        <v>0</v>
      </c>
      <c r="T2" s="81"/>
      <c r="U2" s="81"/>
      <c r="V2" s="81">
        <v>27</v>
      </c>
      <c r="W2" s="77">
        <f>IF(R2="","",SUM(X2:AB2))</f>
        <v>0</v>
      </c>
      <c r="X2" s="79"/>
      <c r="Y2" s="81"/>
      <c r="Z2" s="81"/>
      <c r="AA2" s="81"/>
      <c r="AB2" s="81"/>
      <c r="AC2" s="81" t="str">
        <f t="shared" ref="AC2:AC65" si="3">IF(AND(ISNUMBER(W2),W2&gt;=5),1,"")</f>
        <v/>
      </c>
      <c r="AD2" s="77"/>
      <c r="AE2" s="81"/>
      <c r="AF2" s="81"/>
      <c r="AG2" s="81"/>
      <c r="AH2" s="81"/>
      <c r="AI2" s="98" t="str">
        <f>IF(SUM(AE2:AH2)=0,"",SUM(AE2:AH2))</f>
        <v/>
      </c>
    </row>
    <row r="3" spans="1:35" x14ac:dyDescent="0.15">
      <c r="A3" s="82">
        <f>'Match Summary'!$B$3</f>
        <v>42113</v>
      </c>
      <c r="B3" s="64" t="str">
        <f>'Match Summary'!$C$3</f>
        <v>Springfield_II</v>
      </c>
      <c r="C3" s="59">
        <v>2</v>
      </c>
      <c r="D3" s="61" t="s">
        <v>160</v>
      </c>
      <c r="E3" s="59"/>
      <c r="F3" s="49"/>
      <c r="G3" s="106" t="s">
        <v>199</v>
      </c>
      <c r="H3" s="51">
        <v>31</v>
      </c>
      <c r="I3" s="59" t="s">
        <v>202</v>
      </c>
      <c r="J3" s="57">
        <v>44</v>
      </c>
      <c r="K3" s="57">
        <v>42</v>
      </c>
      <c r="L3" s="57">
        <v>7</v>
      </c>
      <c r="M3" s="50"/>
      <c r="N3" s="49" t="str">
        <f t="shared" si="0"/>
        <v/>
      </c>
      <c r="O3" s="50" t="str">
        <f t="shared" ref="O3:O61" si="4">IF(OR(H3&gt;0,H3=""),"",IF(I3="no","",1))</f>
        <v/>
      </c>
      <c r="P3" s="50" t="str">
        <f t="shared" si="1"/>
        <v/>
      </c>
      <c r="Q3" s="51" t="str">
        <f t="shared" si="2"/>
        <v/>
      </c>
      <c r="R3" s="59"/>
      <c r="S3" s="50"/>
      <c r="T3" s="50"/>
      <c r="U3" s="50"/>
      <c r="V3" s="50"/>
      <c r="W3" s="59" t="str">
        <f t="shared" ref="W3:W12" si="5">IF(R3="","",SUM(X3:AB3))</f>
        <v/>
      </c>
      <c r="X3" s="49"/>
      <c r="Y3" s="50"/>
      <c r="Z3" s="50"/>
      <c r="AA3" s="50"/>
      <c r="AB3" s="50"/>
      <c r="AC3" s="51" t="str">
        <f t="shared" si="3"/>
        <v/>
      </c>
      <c r="AD3" s="59"/>
      <c r="AE3" s="50"/>
      <c r="AF3" s="50"/>
      <c r="AG3" s="50"/>
      <c r="AH3" s="50"/>
      <c r="AI3" s="99" t="str">
        <f t="shared" ref="AI3:AI12" si="6">IF(SUM(AE3:AH3)=0,"",SUM(AE3:AH3))</f>
        <v/>
      </c>
    </row>
    <row r="4" spans="1:35" x14ac:dyDescent="0.15">
      <c r="A4" s="82">
        <f>'Match Summary'!$B$3</f>
        <v>42113</v>
      </c>
      <c r="B4" s="64" t="str">
        <f>'Match Summary'!$C$3</f>
        <v>Springfield_II</v>
      </c>
      <c r="C4" s="59">
        <v>3</v>
      </c>
      <c r="D4" s="61" t="s">
        <v>47</v>
      </c>
      <c r="E4" s="59" t="s">
        <v>195</v>
      </c>
      <c r="F4" s="49"/>
      <c r="G4" s="106" t="s">
        <v>199</v>
      </c>
      <c r="H4" s="51">
        <v>57</v>
      </c>
      <c r="I4" s="59" t="s">
        <v>202</v>
      </c>
      <c r="J4" s="57">
        <v>91</v>
      </c>
      <c r="K4" s="57">
        <v>69</v>
      </c>
      <c r="L4" s="57">
        <v>11</v>
      </c>
      <c r="M4" s="50"/>
      <c r="N4" s="49" t="str">
        <f t="shared" si="0"/>
        <v/>
      </c>
      <c r="O4" s="50" t="str">
        <f t="shared" si="4"/>
        <v/>
      </c>
      <c r="P4" s="50">
        <f t="shared" si="1"/>
        <v>1</v>
      </c>
      <c r="Q4" s="51" t="str">
        <f t="shared" si="2"/>
        <v/>
      </c>
      <c r="R4" s="59">
        <v>7</v>
      </c>
      <c r="S4" s="50">
        <v>0</v>
      </c>
      <c r="T4" s="50">
        <v>6</v>
      </c>
      <c r="U4" s="57"/>
      <c r="V4" s="57">
        <v>44</v>
      </c>
      <c r="W4" s="59">
        <f t="shared" si="5"/>
        <v>0</v>
      </c>
      <c r="X4" s="49"/>
      <c r="Y4" s="50"/>
      <c r="Z4" s="57"/>
      <c r="AA4" s="50"/>
      <c r="AB4" s="50"/>
      <c r="AC4" s="51" t="str">
        <f t="shared" si="3"/>
        <v/>
      </c>
      <c r="AD4" s="59"/>
      <c r="AE4" s="50">
        <v>1</v>
      </c>
      <c r="AF4" s="50"/>
      <c r="AG4" s="50"/>
      <c r="AH4" s="50"/>
      <c r="AI4" s="99">
        <f t="shared" si="6"/>
        <v>1</v>
      </c>
    </row>
    <row r="5" spans="1:35" x14ac:dyDescent="0.15">
      <c r="A5" s="82">
        <f>'Match Summary'!$B$3</f>
        <v>42113</v>
      </c>
      <c r="B5" s="64" t="str">
        <f>'Match Summary'!$C$3</f>
        <v>Springfield_II</v>
      </c>
      <c r="C5" s="59">
        <v>4</v>
      </c>
      <c r="D5" s="61" t="s">
        <v>156</v>
      </c>
      <c r="E5" s="59"/>
      <c r="F5" s="49"/>
      <c r="G5" s="106" t="s">
        <v>199</v>
      </c>
      <c r="H5" s="51">
        <v>1</v>
      </c>
      <c r="I5" s="59" t="s">
        <v>201</v>
      </c>
      <c r="J5" s="57">
        <v>3</v>
      </c>
      <c r="K5" s="57">
        <v>3</v>
      </c>
      <c r="L5" s="57"/>
      <c r="M5" s="50"/>
      <c r="N5" s="49" t="str">
        <f t="shared" si="0"/>
        <v/>
      </c>
      <c r="O5" s="50" t="str">
        <f t="shared" si="4"/>
        <v/>
      </c>
      <c r="P5" s="50" t="str">
        <f t="shared" si="1"/>
        <v/>
      </c>
      <c r="Q5" s="51" t="str">
        <f t="shared" si="2"/>
        <v/>
      </c>
      <c r="R5" s="59"/>
      <c r="S5" s="50"/>
      <c r="T5" s="50"/>
      <c r="U5" s="50"/>
      <c r="V5" s="50"/>
      <c r="W5" s="59" t="str">
        <f t="shared" si="5"/>
        <v/>
      </c>
      <c r="X5" s="49"/>
      <c r="Y5" s="50"/>
      <c r="Z5" s="50"/>
      <c r="AA5" s="50"/>
      <c r="AB5" s="50"/>
      <c r="AC5" s="51" t="str">
        <f t="shared" si="3"/>
        <v/>
      </c>
      <c r="AD5" s="59"/>
      <c r="AE5" s="50"/>
      <c r="AF5" s="50"/>
      <c r="AG5" s="50"/>
      <c r="AH5" s="50"/>
      <c r="AI5" s="99" t="str">
        <f t="shared" si="6"/>
        <v/>
      </c>
    </row>
    <row r="6" spans="1:35" x14ac:dyDescent="0.15">
      <c r="A6" s="82">
        <f>'Match Summary'!$B$3</f>
        <v>42113</v>
      </c>
      <c r="B6" s="64" t="str">
        <f>'Match Summary'!$C$3</f>
        <v>Springfield_II</v>
      </c>
      <c r="C6" s="59">
        <v>5</v>
      </c>
      <c r="D6" s="61" t="s">
        <v>48</v>
      </c>
      <c r="E6" s="59"/>
      <c r="F6" s="49"/>
      <c r="G6" s="106" t="s">
        <v>199</v>
      </c>
      <c r="H6" s="51">
        <v>6</v>
      </c>
      <c r="I6" s="59" t="s">
        <v>202</v>
      </c>
      <c r="J6" s="57">
        <v>20</v>
      </c>
      <c r="K6" s="57">
        <v>18</v>
      </c>
      <c r="L6" s="57"/>
      <c r="M6" s="50"/>
      <c r="N6" s="49" t="str">
        <f t="shared" si="0"/>
        <v/>
      </c>
      <c r="O6" s="50" t="str">
        <f t="shared" si="4"/>
        <v/>
      </c>
      <c r="P6" s="50" t="str">
        <f t="shared" si="1"/>
        <v/>
      </c>
      <c r="Q6" s="51" t="str">
        <f t="shared" si="2"/>
        <v/>
      </c>
      <c r="R6" s="59">
        <v>9</v>
      </c>
      <c r="S6" s="50">
        <v>3</v>
      </c>
      <c r="T6" s="50">
        <v>4</v>
      </c>
      <c r="U6" s="57"/>
      <c r="V6" s="57">
        <v>20</v>
      </c>
      <c r="W6" s="59">
        <f t="shared" si="5"/>
        <v>5</v>
      </c>
      <c r="X6" s="49"/>
      <c r="Y6" s="50"/>
      <c r="Z6" s="57">
        <v>4</v>
      </c>
      <c r="AA6" s="50">
        <v>1</v>
      </c>
      <c r="AB6" s="50"/>
      <c r="AC6" s="51">
        <f t="shared" si="3"/>
        <v>1</v>
      </c>
      <c r="AD6" s="59"/>
      <c r="AE6" s="50">
        <v>1</v>
      </c>
      <c r="AF6" s="50">
        <v>1</v>
      </c>
      <c r="AG6" s="50"/>
      <c r="AH6" s="50"/>
      <c r="AI6" s="99">
        <f t="shared" si="6"/>
        <v>2</v>
      </c>
    </row>
    <row r="7" spans="1:35" x14ac:dyDescent="0.15">
      <c r="A7" s="82">
        <f>'Match Summary'!$B$3</f>
        <v>42113</v>
      </c>
      <c r="B7" s="64" t="str">
        <f>'Match Summary'!$C$3</f>
        <v>Springfield_II</v>
      </c>
      <c r="C7" s="59">
        <v>6</v>
      </c>
      <c r="D7" s="61" t="s">
        <v>185</v>
      </c>
      <c r="E7" s="59"/>
      <c r="F7" s="49"/>
      <c r="G7" s="106" t="s">
        <v>199</v>
      </c>
      <c r="H7" s="51">
        <v>20</v>
      </c>
      <c r="I7" s="59" t="s">
        <v>202</v>
      </c>
      <c r="J7" s="57">
        <v>28</v>
      </c>
      <c r="K7" s="57">
        <v>21</v>
      </c>
      <c r="L7" s="57">
        <v>4</v>
      </c>
      <c r="M7" s="50"/>
      <c r="N7" s="49" t="str">
        <f t="shared" si="0"/>
        <v/>
      </c>
      <c r="O7" s="50" t="str">
        <f t="shared" si="4"/>
        <v/>
      </c>
      <c r="P7" s="50" t="str">
        <f t="shared" si="1"/>
        <v/>
      </c>
      <c r="Q7" s="51" t="str">
        <f t="shared" si="2"/>
        <v/>
      </c>
      <c r="R7" s="59"/>
      <c r="S7" s="50"/>
      <c r="T7" s="50"/>
      <c r="U7" s="50"/>
      <c r="V7" s="50"/>
      <c r="W7" s="59" t="str">
        <f t="shared" si="5"/>
        <v/>
      </c>
      <c r="X7" s="49"/>
      <c r="Y7" s="50"/>
      <c r="Z7" s="50"/>
      <c r="AA7" s="50"/>
      <c r="AB7" s="50"/>
      <c r="AC7" s="51" t="str">
        <f t="shared" si="3"/>
        <v/>
      </c>
      <c r="AD7" s="59"/>
      <c r="AE7" s="50">
        <v>1</v>
      </c>
      <c r="AF7" s="50"/>
      <c r="AG7" s="50"/>
      <c r="AH7" s="50"/>
      <c r="AI7" s="99">
        <f t="shared" si="6"/>
        <v>1</v>
      </c>
    </row>
    <row r="8" spans="1:35" x14ac:dyDescent="0.15">
      <c r="A8" s="82">
        <f>'Match Summary'!$B$3</f>
        <v>42113</v>
      </c>
      <c r="B8" s="64" t="str">
        <f>'Match Summary'!$C$3</f>
        <v>Springfield_II</v>
      </c>
      <c r="C8" s="59">
        <v>7</v>
      </c>
      <c r="D8" s="61" t="s">
        <v>117</v>
      </c>
      <c r="E8" s="59"/>
      <c r="F8" s="49"/>
      <c r="G8" s="106" t="s">
        <v>199</v>
      </c>
      <c r="H8" s="51">
        <v>1</v>
      </c>
      <c r="I8" s="59" t="s">
        <v>203</v>
      </c>
      <c r="J8" s="57">
        <v>15</v>
      </c>
      <c r="K8" s="57">
        <v>10</v>
      </c>
      <c r="L8" s="57"/>
      <c r="M8" s="57"/>
      <c r="N8" s="49">
        <f t="shared" si="0"/>
        <v>1</v>
      </c>
      <c r="O8" s="50" t="str">
        <f t="shared" si="4"/>
        <v/>
      </c>
      <c r="P8" s="50" t="str">
        <f t="shared" si="1"/>
        <v/>
      </c>
      <c r="Q8" s="51" t="str">
        <f t="shared" si="2"/>
        <v/>
      </c>
      <c r="R8" s="59"/>
      <c r="S8" s="50"/>
      <c r="T8" s="50"/>
      <c r="U8" s="57"/>
      <c r="V8" s="57"/>
      <c r="W8" s="59" t="str">
        <f t="shared" si="5"/>
        <v/>
      </c>
      <c r="X8" s="49"/>
      <c r="Y8" s="50"/>
      <c r="Z8" s="57"/>
      <c r="AA8" s="50"/>
      <c r="AB8" s="50"/>
      <c r="AC8" s="51" t="str">
        <f>IF(AND(ISNUMBER(W8),W8&gt;=5),1,"")</f>
        <v/>
      </c>
      <c r="AD8" s="59"/>
      <c r="AE8" s="50"/>
      <c r="AF8" s="50"/>
      <c r="AG8" s="50"/>
      <c r="AH8" s="50"/>
      <c r="AI8" s="99" t="str">
        <f t="shared" si="6"/>
        <v/>
      </c>
    </row>
    <row r="9" spans="1:35" x14ac:dyDescent="0.15">
      <c r="A9" s="82">
        <f>'Match Summary'!$B$3</f>
        <v>42113</v>
      </c>
      <c r="B9" s="64" t="str">
        <f>'Match Summary'!$C$3</f>
        <v>Springfield_II</v>
      </c>
      <c r="C9" s="59">
        <v>8</v>
      </c>
      <c r="D9" s="61" t="s">
        <v>50</v>
      </c>
      <c r="E9" s="59"/>
      <c r="F9" s="49"/>
      <c r="G9" s="106" t="s">
        <v>199</v>
      </c>
      <c r="H9" s="51">
        <v>2</v>
      </c>
      <c r="I9" s="59" t="s">
        <v>203</v>
      </c>
      <c r="J9" s="57">
        <v>5</v>
      </c>
      <c r="K9" s="57">
        <v>4</v>
      </c>
      <c r="L9" s="50"/>
      <c r="M9" s="50"/>
      <c r="N9" s="49">
        <f t="shared" si="0"/>
        <v>1</v>
      </c>
      <c r="O9" s="50" t="str">
        <f t="shared" si="4"/>
        <v/>
      </c>
      <c r="P9" s="50" t="str">
        <f t="shared" si="1"/>
        <v/>
      </c>
      <c r="Q9" s="51" t="str">
        <f t="shared" si="2"/>
        <v/>
      </c>
      <c r="R9" s="59">
        <v>2</v>
      </c>
      <c r="S9" s="50">
        <v>0</v>
      </c>
      <c r="T9" s="50">
        <v>1</v>
      </c>
      <c r="U9" s="57"/>
      <c r="V9" s="57">
        <v>11</v>
      </c>
      <c r="W9" s="59">
        <f t="shared" si="5"/>
        <v>0</v>
      </c>
      <c r="X9" s="49"/>
      <c r="Y9" s="50"/>
      <c r="Z9" s="57"/>
      <c r="AA9" s="50"/>
      <c r="AB9" s="50"/>
      <c r="AC9" s="51" t="str">
        <f t="shared" si="3"/>
        <v/>
      </c>
      <c r="AD9" s="59"/>
      <c r="AE9" s="57">
        <v>1</v>
      </c>
      <c r="AF9" s="50"/>
      <c r="AG9" s="50"/>
      <c r="AH9" s="50"/>
      <c r="AI9" s="99">
        <f t="shared" si="6"/>
        <v>1</v>
      </c>
    </row>
    <row r="10" spans="1:35" x14ac:dyDescent="0.15">
      <c r="A10" s="82">
        <f>'Match Summary'!$B$3</f>
        <v>42113</v>
      </c>
      <c r="B10" s="64" t="str">
        <f>'Match Summary'!$C$3</f>
        <v>Springfield_II</v>
      </c>
      <c r="C10" s="59">
        <v>9</v>
      </c>
      <c r="D10" s="61" t="s">
        <v>198</v>
      </c>
      <c r="E10" s="59"/>
      <c r="F10" s="49"/>
      <c r="G10" s="106" t="s">
        <v>200</v>
      </c>
      <c r="H10" s="51"/>
      <c r="I10" s="59" t="s">
        <v>204</v>
      </c>
      <c r="J10" s="57"/>
      <c r="K10" s="57"/>
      <c r="L10" s="50"/>
      <c r="M10" s="50"/>
      <c r="N10" s="49" t="str">
        <f t="shared" si="0"/>
        <v/>
      </c>
      <c r="O10" s="50" t="str">
        <f t="shared" si="4"/>
        <v/>
      </c>
      <c r="P10" s="50" t="str">
        <f t="shared" si="1"/>
        <v/>
      </c>
      <c r="Q10" s="51" t="str">
        <f t="shared" si="2"/>
        <v/>
      </c>
      <c r="R10" s="59">
        <v>6</v>
      </c>
      <c r="S10" s="57">
        <v>2</v>
      </c>
      <c r="T10" s="57"/>
      <c r="U10" s="57"/>
      <c r="V10" s="57">
        <v>12</v>
      </c>
      <c r="W10" s="59">
        <f t="shared" si="5"/>
        <v>1</v>
      </c>
      <c r="X10" s="49"/>
      <c r="Y10" s="50"/>
      <c r="Z10" s="50">
        <v>1</v>
      </c>
      <c r="AA10" s="50"/>
      <c r="AB10" s="50"/>
      <c r="AC10" s="51" t="str">
        <f t="shared" si="3"/>
        <v/>
      </c>
      <c r="AD10" s="59"/>
      <c r="AE10" s="50"/>
      <c r="AF10" s="50"/>
      <c r="AG10" s="50"/>
      <c r="AH10" s="50"/>
      <c r="AI10" s="99" t="str">
        <f t="shared" si="6"/>
        <v/>
      </c>
    </row>
    <row r="11" spans="1:35" x14ac:dyDescent="0.15">
      <c r="A11" s="82">
        <f>'Match Summary'!$B$3</f>
        <v>42113</v>
      </c>
      <c r="B11" s="64" t="str">
        <f>'Match Summary'!$C$3</f>
        <v>Springfield_II</v>
      </c>
      <c r="C11" s="59">
        <v>10</v>
      </c>
      <c r="D11" s="61" t="s">
        <v>44</v>
      </c>
      <c r="E11" s="59"/>
      <c r="F11" s="49"/>
      <c r="G11" s="106" t="s">
        <v>200</v>
      </c>
      <c r="H11" s="51"/>
      <c r="I11" s="59" t="s">
        <v>204</v>
      </c>
      <c r="J11" s="57"/>
      <c r="K11" s="57"/>
      <c r="L11" s="50"/>
      <c r="M11" s="50"/>
      <c r="N11" s="49" t="str">
        <f t="shared" si="0"/>
        <v/>
      </c>
      <c r="O11" s="50" t="str">
        <f t="shared" si="4"/>
        <v/>
      </c>
      <c r="P11" s="50" t="str">
        <f t="shared" si="1"/>
        <v/>
      </c>
      <c r="Q11" s="51" t="str">
        <f t="shared" si="2"/>
        <v/>
      </c>
      <c r="R11" s="59">
        <v>8</v>
      </c>
      <c r="S11" s="50">
        <v>2</v>
      </c>
      <c r="T11" s="50"/>
      <c r="U11" s="50"/>
      <c r="V11" s="57">
        <v>14</v>
      </c>
      <c r="W11" s="59">
        <f t="shared" si="5"/>
        <v>3</v>
      </c>
      <c r="X11" s="49"/>
      <c r="Y11" s="50">
        <v>3</v>
      </c>
      <c r="Z11" s="50"/>
      <c r="AA11" s="50"/>
      <c r="AB11" s="50"/>
      <c r="AC11" s="51" t="str">
        <f t="shared" si="3"/>
        <v/>
      </c>
      <c r="AD11" s="59"/>
      <c r="AE11" s="50"/>
      <c r="AF11" s="50"/>
      <c r="AG11" s="50"/>
      <c r="AH11" s="50"/>
      <c r="AI11" s="99" t="str">
        <f t="shared" si="6"/>
        <v/>
      </c>
    </row>
    <row r="12" spans="1:35" x14ac:dyDescent="0.15">
      <c r="A12" s="82">
        <f>'Match Summary'!$B$3</f>
        <v>42113</v>
      </c>
      <c r="B12" s="64" t="str">
        <f>'Match Summary'!$C$3</f>
        <v>Springfield_II</v>
      </c>
      <c r="C12" s="56">
        <v>11</v>
      </c>
      <c r="D12" s="65" t="s">
        <v>49</v>
      </c>
      <c r="E12" s="56"/>
      <c r="F12" s="52" t="s">
        <v>195</v>
      </c>
      <c r="G12" s="107" t="s">
        <v>200</v>
      </c>
      <c r="H12" s="54"/>
      <c r="I12" s="56" t="s">
        <v>204</v>
      </c>
      <c r="J12" s="53"/>
      <c r="K12" s="53"/>
      <c r="L12" s="53"/>
      <c r="M12" s="53"/>
      <c r="N12" s="52" t="str">
        <f t="shared" si="0"/>
        <v/>
      </c>
      <c r="O12" s="53" t="str">
        <f t="shared" si="4"/>
        <v/>
      </c>
      <c r="P12" s="53" t="str">
        <f t="shared" si="1"/>
        <v/>
      </c>
      <c r="Q12" s="54" t="str">
        <f t="shared" si="2"/>
        <v/>
      </c>
      <c r="R12" s="56"/>
      <c r="S12" s="53"/>
      <c r="T12" s="53"/>
      <c r="U12" s="53"/>
      <c r="V12" s="53"/>
      <c r="W12" s="56" t="str">
        <f t="shared" si="5"/>
        <v/>
      </c>
      <c r="X12" s="52"/>
      <c r="Y12" s="53"/>
      <c r="Z12" s="53"/>
      <c r="AA12" s="53"/>
      <c r="AB12" s="53"/>
      <c r="AC12" s="54" t="str">
        <f t="shared" si="3"/>
        <v/>
      </c>
      <c r="AD12" s="56">
        <v>2</v>
      </c>
      <c r="AE12" s="53"/>
      <c r="AF12" s="53"/>
      <c r="AG12" s="53">
        <v>1</v>
      </c>
      <c r="AH12" s="53">
        <v>1</v>
      </c>
      <c r="AI12" s="100">
        <f t="shared" si="6"/>
        <v>2</v>
      </c>
    </row>
    <row r="13" spans="1:35" ht="15" thickBot="1" x14ac:dyDescent="0.2">
      <c r="A13" s="83">
        <f>'Match Summary'!$B$3</f>
        <v>42113</v>
      </c>
      <c r="B13" s="84" t="str">
        <f>'Match Summary'!$C$3</f>
        <v>Springfield_II</v>
      </c>
      <c r="C13" s="85"/>
      <c r="D13" s="89" t="s">
        <v>173</v>
      </c>
      <c r="E13" s="85"/>
      <c r="F13" s="85"/>
      <c r="G13" s="108"/>
      <c r="H13" s="86">
        <v>16</v>
      </c>
      <c r="I13" s="85"/>
      <c r="J13" s="89"/>
      <c r="K13" s="90"/>
      <c r="L13" s="90"/>
      <c r="M13" s="91"/>
      <c r="N13" s="89"/>
      <c r="O13" s="90" t="str">
        <f t="shared" si="4"/>
        <v/>
      </c>
      <c r="P13" s="102"/>
      <c r="Q13" s="103"/>
      <c r="R13" s="86">
        <f t="shared" ref="R13:W13" si="7">SUBTOTAL(9,R2:R12)</f>
        <v>37</v>
      </c>
      <c r="S13" s="91">
        <f t="shared" si="7"/>
        <v>7</v>
      </c>
      <c r="T13" s="86">
        <f t="shared" si="7"/>
        <v>11</v>
      </c>
      <c r="U13" s="86">
        <f t="shared" si="7"/>
        <v>0</v>
      </c>
      <c r="V13" s="86">
        <f t="shared" si="7"/>
        <v>128</v>
      </c>
      <c r="W13" s="86">
        <f t="shared" si="7"/>
        <v>9</v>
      </c>
      <c r="X13" s="85"/>
      <c r="Y13" s="85"/>
      <c r="Z13" s="85"/>
      <c r="AA13" s="85"/>
      <c r="AB13" s="85"/>
      <c r="AC13" s="85" t="s">
        <v>259</v>
      </c>
      <c r="AD13" s="86">
        <v>2</v>
      </c>
      <c r="AE13" s="90"/>
      <c r="AF13" s="90"/>
      <c r="AG13" s="90"/>
      <c r="AH13" s="90"/>
      <c r="AI13" s="101"/>
    </row>
    <row r="14" spans="1:35" x14ac:dyDescent="0.15">
      <c r="A14" s="75">
        <f>'Match Summary'!$B$4</f>
        <v>42120</v>
      </c>
      <c r="B14" s="76" t="str">
        <f>'Match Summary'!$C$4</f>
        <v>Lt_Hallingbury</v>
      </c>
      <c r="C14" s="77">
        <v>1</v>
      </c>
      <c r="D14" s="78" t="s">
        <v>40</v>
      </c>
      <c r="E14" s="79"/>
      <c r="F14" s="80"/>
      <c r="G14" s="109" t="s">
        <v>199</v>
      </c>
      <c r="H14" s="77">
        <v>2</v>
      </c>
      <c r="I14" s="77" t="s">
        <v>201</v>
      </c>
      <c r="J14" s="81">
        <v>10</v>
      </c>
      <c r="K14" s="81">
        <v>10</v>
      </c>
      <c r="L14" s="81"/>
      <c r="M14" s="81"/>
      <c r="N14" s="79" t="str">
        <f t="shared" ref="N14:N21" si="8">IF(I14="NO",1,"")</f>
        <v/>
      </c>
      <c r="O14" s="81" t="str">
        <f t="shared" si="4"/>
        <v/>
      </c>
      <c r="P14" s="81" t="str">
        <f t="shared" ref="P14:P21" si="9">IF(AND(H14&gt;=50,H14&lt;100),1,"")</f>
        <v/>
      </c>
      <c r="Q14" s="80" t="str">
        <f t="shared" ref="Q14:Q21" si="10">IF(H14&gt;=100,1,"")</f>
        <v/>
      </c>
      <c r="R14" s="77">
        <v>10</v>
      </c>
      <c r="S14" s="81">
        <v>2</v>
      </c>
      <c r="T14" s="81">
        <v>2</v>
      </c>
      <c r="U14" s="81"/>
      <c r="V14" s="81">
        <v>36</v>
      </c>
      <c r="W14" s="77">
        <f>IF(R14="","",SUM(X14:AB14))</f>
        <v>2</v>
      </c>
      <c r="X14" s="81">
        <v>1</v>
      </c>
      <c r="Y14" s="81"/>
      <c r="Z14" s="81">
        <v>1</v>
      </c>
      <c r="AA14" s="81"/>
      <c r="AB14" s="81"/>
      <c r="AC14" s="81" t="str">
        <f t="shared" si="3"/>
        <v/>
      </c>
      <c r="AD14" s="77"/>
      <c r="AE14" s="81"/>
      <c r="AF14" s="81"/>
      <c r="AG14" s="81"/>
      <c r="AH14" s="81"/>
      <c r="AI14" s="98" t="str">
        <f>IF(SUM(AE14:AH14)=0,"",SUM(AE14:AH14))</f>
        <v/>
      </c>
    </row>
    <row r="15" spans="1:35" x14ac:dyDescent="0.15">
      <c r="A15" s="82">
        <f>'Match Summary'!$B$4</f>
        <v>42120</v>
      </c>
      <c r="B15" s="64" t="str">
        <f>'Match Summary'!$C$4</f>
        <v>Lt_Hallingbury</v>
      </c>
      <c r="C15" s="59">
        <v>2</v>
      </c>
      <c r="D15" s="61" t="s">
        <v>111</v>
      </c>
      <c r="E15" s="49"/>
      <c r="F15" s="51"/>
      <c r="G15" s="110" t="s">
        <v>199</v>
      </c>
      <c r="H15" s="59">
        <v>62</v>
      </c>
      <c r="I15" s="59" t="s">
        <v>203</v>
      </c>
      <c r="J15" s="57">
        <v>95</v>
      </c>
      <c r="K15" s="57">
        <v>130</v>
      </c>
      <c r="L15" s="57">
        <v>9</v>
      </c>
      <c r="M15" s="50"/>
      <c r="N15" s="49">
        <f t="shared" si="8"/>
        <v>1</v>
      </c>
      <c r="O15" s="50" t="str">
        <f t="shared" si="4"/>
        <v/>
      </c>
      <c r="P15" s="50">
        <f t="shared" si="9"/>
        <v>1</v>
      </c>
      <c r="Q15" s="51" t="str">
        <f t="shared" si="10"/>
        <v/>
      </c>
      <c r="R15" s="59">
        <v>6</v>
      </c>
      <c r="S15" s="50"/>
      <c r="T15" s="50">
        <v>3</v>
      </c>
      <c r="U15" s="50"/>
      <c r="V15" s="57">
        <v>27</v>
      </c>
      <c r="W15" s="59">
        <f t="shared" ref="W15:W24" si="11">IF(R15="","",SUM(X15:AB15))</f>
        <v>0</v>
      </c>
      <c r="X15" s="50"/>
      <c r="Y15" s="50"/>
      <c r="Z15" s="50"/>
      <c r="AA15" s="50"/>
      <c r="AB15" s="50"/>
      <c r="AC15" s="51" t="str">
        <f t="shared" si="3"/>
        <v/>
      </c>
      <c r="AD15" s="59"/>
      <c r="AE15" s="50"/>
      <c r="AF15" s="50"/>
      <c r="AG15" s="50"/>
      <c r="AH15" s="50"/>
      <c r="AI15" s="99" t="str">
        <f t="shared" ref="AI15:AI24" si="12">IF(SUM(AE15:AH15)=0,"",SUM(AE15:AH15))</f>
        <v/>
      </c>
    </row>
    <row r="16" spans="1:35" x14ac:dyDescent="0.15">
      <c r="A16" s="82">
        <f>'Match Summary'!$B$4</f>
        <v>42120</v>
      </c>
      <c r="B16" s="64" t="str">
        <f>'Match Summary'!$C$4</f>
        <v>Lt_Hallingbury</v>
      </c>
      <c r="C16" s="59">
        <v>3</v>
      </c>
      <c r="D16" s="61" t="s">
        <v>47</v>
      </c>
      <c r="E16" s="49" t="s">
        <v>195</v>
      </c>
      <c r="F16" s="51"/>
      <c r="G16" s="110" t="s">
        <v>199</v>
      </c>
      <c r="H16" s="59">
        <v>12</v>
      </c>
      <c r="I16" s="59" t="s">
        <v>201</v>
      </c>
      <c r="J16" s="57">
        <v>14</v>
      </c>
      <c r="K16" s="57">
        <v>19</v>
      </c>
      <c r="L16" s="57">
        <v>1</v>
      </c>
      <c r="M16" s="50"/>
      <c r="N16" s="49" t="str">
        <f t="shared" si="8"/>
        <v/>
      </c>
      <c r="O16" s="50" t="str">
        <f t="shared" si="4"/>
        <v/>
      </c>
      <c r="P16" s="50" t="str">
        <f t="shared" si="9"/>
        <v/>
      </c>
      <c r="Q16" s="51" t="str">
        <f t="shared" si="10"/>
        <v/>
      </c>
      <c r="R16" s="59">
        <v>6</v>
      </c>
      <c r="S16" s="50">
        <v>1</v>
      </c>
      <c r="T16" s="50"/>
      <c r="U16" s="57"/>
      <c r="V16" s="57">
        <v>33</v>
      </c>
      <c r="W16" s="59">
        <f t="shared" si="11"/>
        <v>0</v>
      </c>
      <c r="X16" s="50"/>
      <c r="Y16" s="50"/>
      <c r="Z16" s="57"/>
      <c r="AA16" s="50"/>
      <c r="AB16" s="50"/>
      <c r="AC16" s="51" t="str">
        <f t="shared" si="3"/>
        <v/>
      </c>
      <c r="AD16" s="59"/>
      <c r="AE16" s="50">
        <v>1</v>
      </c>
      <c r="AF16" s="50"/>
      <c r="AG16" s="50"/>
      <c r="AH16" s="50"/>
      <c r="AI16" s="99">
        <f t="shared" si="12"/>
        <v>1</v>
      </c>
    </row>
    <row r="17" spans="1:35" x14ac:dyDescent="0.15">
      <c r="A17" s="82">
        <f>'Match Summary'!$B$4</f>
        <v>42120</v>
      </c>
      <c r="B17" s="64" t="str">
        <f>'Match Summary'!$C$4</f>
        <v>Lt_Hallingbury</v>
      </c>
      <c r="C17" s="59">
        <v>4</v>
      </c>
      <c r="D17" s="61" t="s">
        <v>186</v>
      </c>
      <c r="E17" s="49"/>
      <c r="F17" s="51"/>
      <c r="G17" s="110" t="s">
        <v>199</v>
      </c>
      <c r="H17" s="59">
        <v>85</v>
      </c>
      <c r="I17" s="59" t="s">
        <v>203</v>
      </c>
      <c r="J17" s="57">
        <v>79</v>
      </c>
      <c r="K17" s="57">
        <v>101</v>
      </c>
      <c r="L17" s="57">
        <v>9</v>
      </c>
      <c r="M17" s="57">
        <v>3</v>
      </c>
      <c r="N17" s="49">
        <f t="shared" si="8"/>
        <v>1</v>
      </c>
      <c r="O17" s="50" t="str">
        <f t="shared" si="4"/>
        <v/>
      </c>
      <c r="P17" s="50">
        <f t="shared" si="9"/>
        <v>1</v>
      </c>
      <c r="Q17" s="51" t="str">
        <f t="shared" si="10"/>
        <v/>
      </c>
      <c r="R17" s="59">
        <v>1</v>
      </c>
      <c r="S17" s="50"/>
      <c r="T17" s="50"/>
      <c r="U17" s="50"/>
      <c r="V17" s="57">
        <v>5</v>
      </c>
      <c r="W17" s="59">
        <f t="shared" si="11"/>
        <v>0</v>
      </c>
      <c r="X17" s="50"/>
      <c r="Y17" s="50"/>
      <c r="Z17" s="50"/>
      <c r="AA17" s="50"/>
      <c r="AB17" s="50"/>
      <c r="AC17" s="51" t="str">
        <f t="shared" si="3"/>
        <v/>
      </c>
      <c r="AD17" s="59"/>
      <c r="AE17" s="50"/>
      <c r="AF17" s="50"/>
      <c r="AG17" s="50"/>
      <c r="AH17" s="50"/>
      <c r="AI17" s="99" t="str">
        <f t="shared" si="12"/>
        <v/>
      </c>
    </row>
    <row r="18" spans="1:35" x14ac:dyDescent="0.15">
      <c r="A18" s="82">
        <f>'Match Summary'!$B$4</f>
        <v>42120</v>
      </c>
      <c r="B18" s="64" t="str">
        <f>'Match Summary'!$C$4</f>
        <v>Lt_Hallingbury</v>
      </c>
      <c r="C18" s="59">
        <v>5</v>
      </c>
      <c r="D18" s="60" t="s">
        <v>156</v>
      </c>
      <c r="E18" s="49"/>
      <c r="F18" s="51"/>
      <c r="G18" s="110" t="s">
        <v>200</v>
      </c>
      <c r="H18" s="59"/>
      <c r="I18" s="59" t="s">
        <v>204</v>
      </c>
      <c r="J18" s="57"/>
      <c r="K18" s="57"/>
      <c r="L18" s="57"/>
      <c r="M18" s="50"/>
      <c r="N18" s="49" t="str">
        <f t="shared" si="8"/>
        <v/>
      </c>
      <c r="O18" s="50" t="str">
        <f t="shared" si="4"/>
        <v/>
      </c>
      <c r="P18" s="50" t="str">
        <f t="shared" si="9"/>
        <v/>
      </c>
      <c r="Q18" s="51" t="str">
        <f t="shared" si="10"/>
        <v/>
      </c>
      <c r="R18" s="59"/>
      <c r="S18" s="50"/>
      <c r="T18" s="50"/>
      <c r="U18" s="57"/>
      <c r="V18" s="57"/>
      <c r="W18" s="59" t="str">
        <f t="shared" si="11"/>
        <v/>
      </c>
      <c r="X18" s="50"/>
      <c r="Y18" s="50"/>
      <c r="Z18" s="57"/>
      <c r="AA18" s="50"/>
      <c r="AB18" s="50"/>
      <c r="AC18" s="51" t="str">
        <f t="shared" si="3"/>
        <v/>
      </c>
      <c r="AD18" s="59"/>
      <c r="AE18" s="50"/>
      <c r="AF18" s="50"/>
      <c r="AG18" s="50"/>
      <c r="AH18" s="50"/>
      <c r="AI18" s="99" t="str">
        <f t="shared" si="12"/>
        <v/>
      </c>
    </row>
    <row r="19" spans="1:35" x14ac:dyDescent="0.15">
      <c r="A19" s="82">
        <f>'Match Summary'!$B$4</f>
        <v>42120</v>
      </c>
      <c r="B19" s="64" t="str">
        <f>'Match Summary'!$C$4</f>
        <v>Lt_Hallingbury</v>
      </c>
      <c r="C19" s="59">
        <v>6</v>
      </c>
      <c r="D19" s="61" t="s">
        <v>160</v>
      </c>
      <c r="E19" s="49"/>
      <c r="F19" s="51"/>
      <c r="G19" s="110" t="s">
        <v>200</v>
      </c>
      <c r="H19" s="59"/>
      <c r="I19" s="59" t="s">
        <v>204</v>
      </c>
      <c r="J19" s="57"/>
      <c r="K19" s="57"/>
      <c r="L19" s="57"/>
      <c r="M19" s="50"/>
      <c r="N19" s="49" t="str">
        <f t="shared" si="8"/>
        <v/>
      </c>
      <c r="O19" s="50" t="str">
        <f t="shared" si="4"/>
        <v/>
      </c>
      <c r="P19" s="50" t="str">
        <f t="shared" si="9"/>
        <v/>
      </c>
      <c r="Q19" s="51" t="str">
        <f t="shared" si="10"/>
        <v/>
      </c>
      <c r="R19" s="59"/>
      <c r="S19" s="50"/>
      <c r="T19" s="50"/>
      <c r="U19" s="50"/>
      <c r="V19" s="50"/>
      <c r="W19" s="59" t="str">
        <f t="shared" si="11"/>
        <v/>
      </c>
      <c r="X19" s="50"/>
      <c r="Y19" s="50"/>
      <c r="Z19" s="50"/>
      <c r="AA19" s="50"/>
      <c r="AB19" s="50"/>
      <c r="AC19" s="51" t="str">
        <f t="shared" si="3"/>
        <v/>
      </c>
      <c r="AD19" s="59"/>
      <c r="AE19" s="50"/>
      <c r="AF19" s="50"/>
      <c r="AG19" s="50"/>
      <c r="AH19" s="50"/>
      <c r="AI19" s="99" t="str">
        <f t="shared" si="12"/>
        <v/>
      </c>
    </row>
    <row r="20" spans="1:35" x14ac:dyDescent="0.15">
      <c r="A20" s="82">
        <f>'Match Summary'!$B$4</f>
        <v>42120</v>
      </c>
      <c r="B20" s="64" t="str">
        <f>'Match Summary'!$C$4</f>
        <v>Lt_Hallingbury</v>
      </c>
      <c r="C20" s="59">
        <v>7</v>
      </c>
      <c r="D20" s="60" t="s">
        <v>185</v>
      </c>
      <c r="E20" s="49"/>
      <c r="F20" s="51"/>
      <c r="G20" s="110" t="s">
        <v>200</v>
      </c>
      <c r="H20" s="59"/>
      <c r="I20" s="59" t="s">
        <v>204</v>
      </c>
      <c r="J20" s="57"/>
      <c r="K20" s="57"/>
      <c r="L20" s="57"/>
      <c r="M20" s="57"/>
      <c r="N20" s="49" t="str">
        <f t="shared" si="8"/>
        <v/>
      </c>
      <c r="O20" s="50" t="str">
        <f t="shared" si="4"/>
        <v/>
      </c>
      <c r="P20" s="50" t="str">
        <f t="shared" si="9"/>
        <v/>
      </c>
      <c r="Q20" s="51" t="str">
        <f t="shared" si="10"/>
        <v/>
      </c>
      <c r="R20" s="59"/>
      <c r="S20" s="50"/>
      <c r="T20" s="50"/>
      <c r="U20" s="57"/>
      <c r="V20" s="57"/>
      <c r="W20" s="59" t="str">
        <f t="shared" si="11"/>
        <v/>
      </c>
      <c r="X20" s="50"/>
      <c r="Y20" s="50"/>
      <c r="Z20" s="57"/>
      <c r="AA20" s="50"/>
      <c r="AB20" s="50"/>
      <c r="AC20" s="51" t="str">
        <f>IF(AND(ISNUMBER(W20),W20&gt;=5),1,"")</f>
        <v/>
      </c>
      <c r="AD20" s="59"/>
      <c r="AE20" s="50"/>
      <c r="AF20" s="50">
        <v>1</v>
      </c>
      <c r="AG20" s="50"/>
      <c r="AH20" s="50"/>
      <c r="AI20" s="99">
        <f t="shared" si="12"/>
        <v>1</v>
      </c>
    </row>
    <row r="21" spans="1:35" x14ac:dyDescent="0.15">
      <c r="A21" s="82">
        <f>'Match Summary'!$B$4</f>
        <v>42120</v>
      </c>
      <c r="B21" s="64" t="str">
        <f>'Match Summary'!$C$4</f>
        <v>Lt_Hallingbury</v>
      </c>
      <c r="C21" s="59">
        <v>8</v>
      </c>
      <c r="D21" s="61" t="s">
        <v>117</v>
      </c>
      <c r="E21" s="49"/>
      <c r="F21" s="51"/>
      <c r="G21" s="110" t="s">
        <v>200</v>
      </c>
      <c r="H21" s="59"/>
      <c r="I21" s="59" t="s">
        <v>204</v>
      </c>
      <c r="J21" s="57"/>
      <c r="K21" s="57"/>
      <c r="L21" s="50"/>
      <c r="M21" s="50"/>
      <c r="N21" s="49" t="str">
        <f t="shared" si="8"/>
        <v/>
      </c>
      <c r="O21" s="50" t="str">
        <f t="shared" si="4"/>
        <v/>
      </c>
      <c r="P21" s="50" t="str">
        <f t="shared" si="9"/>
        <v/>
      </c>
      <c r="Q21" s="51" t="str">
        <f t="shared" si="10"/>
        <v/>
      </c>
      <c r="R21" s="59"/>
      <c r="S21" s="50"/>
      <c r="T21" s="50"/>
      <c r="U21" s="57"/>
      <c r="V21" s="57"/>
      <c r="W21" s="59" t="str">
        <f t="shared" si="11"/>
        <v/>
      </c>
      <c r="X21" s="50"/>
      <c r="Y21" s="50"/>
      <c r="Z21" s="57"/>
      <c r="AA21" s="50"/>
      <c r="AB21" s="50"/>
      <c r="AC21" s="51" t="str">
        <f t="shared" si="3"/>
        <v/>
      </c>
      <c r="AD21" s="59"/>
      <c r="AE21" s="50"/>
      <c r="AF21" s="50"/>
      <c r="AG21" s="50"/>
      <c r="AH21" s="50"/>
      <c r="AI21" s="99" t="str">
        <f t="shared" si="12"/>
        <v/>
      </c>
    </row>
    <row r="22" spans="1:35" x14ac:dyDescent="0.15">
      <c r="A22" s="82">
        <f>'Match Summary'!$B$4</f>
        <v>42120</v>
      </c>
      <c r="B22" s="64" t="str">
        <f>'Match Summary'!$C$4</f>
        <v>Lt_Hallingbury</v>
      </c>
      <c r="C22" s="59">
        <v>9</v>
      </c>
      <c r="D22" s="61" t="s">
        <v>44</v>
      </c>
      <c r="E22" s="49"/>
      <c r="F22" s="51"/>
      <c r="G22" s="110" t="s">
        <v>200</v>
      </c>
      <c r="H22" s="59"/>
      <c r="I22" s="59" t="s">
        <v>204</v>
      </c>
      <c r="J22" s="57"/>
      <c r="K22" s="57"/>
      <c r="L22" s="50"/>
      <c r="M22" s="50"/>
      <c r="N22" s="49" t="str">
        <f>IF(I22="NO",1,"")</f>
        <v/>
      </c>
      <c r="O22" s="50" t="str">
        <f t="shared" si="4"/>
        <v/>
      </c>
      <c r="P22" s="50" t="str">
        <f>IF(AND(H22&gt;=50,H22&lt;100),1,"")</f>
        <v/>
      </c>
      <c r="Q22" s="51" t="str">
        <f>IF(H22&gt;=100,1,"")</f>
        <v/>
      </c>
      <c r="R22" s="59">
        <v>8</v>
      </c>
      <c r="S22" s="57">
        <v>1</v>
      </c>
      <c r="T22" s="57"/>
      <c r="U22" s="57"/>
      <c r="V22" s="57">
        <v>29</v>
      </c>
      <c r="W22" s="59">
        <f t="shared" si="11"/>
        <v>0</v>
      </c>
      <c r="X22" s="50"/>
      <c r="Y22" s="50"/>
      <c r="Z22" s="50"/>
      <c r="AA22" s="50"/>
      <c r="AB22" s="50"/>
      <c r="AC22" s="51" t="str">
        <f t="shared" si="3"/>
        <v/>
      </c>
      <c r="AD22" s="59"/>
      <c r="AE22" s="50">
        <v>1</v>
      </c>
      <c r="AF22" s="50"/>
      <c r="AG22" s="50"/>
      <c r="AH22" s="50"/>
      <c r="AI22" s="99">
        <f t="shared" si="12"/>
        <v>1</v>
      </c>
    </row>
    <row r="23" spans="1:35" x14ac:dyDescent="0.15">
      <c r="A23" s="82">
        <f>'Match Summary'!$B$4</f>
        <v>42120</v>
      </c>
      <c r="B23" s="64" t="str">
        <f>'Match Summary'!$C$4</f>
        <v>Lt_Hallingbury</v>
      </c>
      <c r="C23" s="59">
        <v>10</v>
      </c>
      <c r="D23" s="61" t="s">
        <v>50</v>
      </c>
      <c r="E23" s="49"/>
      <c r="F23" s="51"/>
      <c r="G23" s="110" t="s">
        <v>200</v>
      </c>
      <c r="H23" s="59"/>
      <c r="I23" s="59" t="s">
        <v>204</v>
      </c>
      <c r="J23" s="57"/>
      <c r="K23" s="57"/>
      <c r="L23" s="50"/>
      <c r="M23" s="50"/>
      <c r="N23" s="49" t="str">
        <f>IF(I23="NO",1,"")</f>
        <v/>
      </c>
      <c r="O23" s="50" t="str">
        <f t="shared" si="4"/>
        <v/>
      </c>
      <c r="P23" s="50" t="str">
        <f>IF(AND(H23&gt;=50,H23&lt;100),1,"")</f>
        <v/>
      </c>
      <c r="Q23" s="51" t="str">
        <f>IF(H23&gt;=100,1,"")</f>
        <v/>
      </c>
      <c r="R23" s="59">
        <v>9</v>
      </c>
      <c r="S23" s="50">
        <v>1</v>
      </c>
      <c r="T23" s="50">
        <v>3</v>
      </c>
      <c r="U23" s="50"/>
      <c r="V23" s="57">
        <v>50</v>
      </c>
      <c r="W23" s="59">
        <f t="shared" si="11"/>
        <v>3</v>
      </c>
      <c r="X23" s="50"/>
      <c r="Y23" s="50"/>
      <c r="Z23" s="50">
        <v>2</v>
      </c>
      <c r="AA23" s="50">
        <v>1</v>
      </c>
      <c r="AB23" s="50"/>
      <c r="AC23" s="51" t="str">
        <f t="shared" si="3"/>
        <v/>
      </c>
      <c r="AD23" s="59"/>
      <c r="AE23" s="50">
        <v>1</v>
      </c>
      <c r="AF23" s="50"/>
      <c r="AG23" s="50"/>
      <c r="AH23" s="50"/>
      <c r="AI23" s="99">
        <f t="shared" si="12"/>
        <v>1</v>
      </c>
    </row>
    <row r="24" spans="1:35" x14ac:dyDescent="0.15">
      <c r="A24" s="82">
        <f>'Match Summary'!$B$4</f>
        <v>42120</v>
      </c>
      <c r="B24" s="64" t="str">
        <f>'Match Summary'!$C$4</f>
        <v>Lt_Hallingbury</v>
      </c>
      <c r="C24" s="56">
        <v>11</v>
      </c>
      <c r="D24" s="65" t="s">
        <v>49</v>
      </c>
      <c r="E24" s="52"/>
      <c r="F24" s="54" t="s">
        <v>195</v>
      </c>
      <c r="G24" s="107" t="s">
        <v>200</v>
      </c>
      <c r="H24" s="56"/>
      <c r="I24" s="59" t="s">
        <v>204</v>
      </c>
      <c r="J24" s="53"/>
      <c r="K24" s="53"/>
      <c r="L24" s="53"/>
      <c r="M24" s="53"/>
      <c r="N24" s="52" t="str">
        <f>IF(I24="NO",1,"")</f>
        <v/>
      </c>
      <c r="O24" s="53" t="str">
        <f t="shared" si="4"/>
        <v/>
      </c>
      <c r="P24" s="53" t="str">
        <f>IF(AND(H24&gt;=50,H24&lt;100),1,"")</f>
        <v/>
      </c>
      <c r="Q24" s="54" t="str">
        <f>IF(H24&gt;=100,1,"")</f>
        <v/>
      </c>
      <c r="R24" s="56"/>
      <c r="S24" s="53"/>
      <c r="T24" s="53"/>
      <c r="U24" s="53"/>
      <c r="V24" s="53"/>
      <c r="W24" s="56" t="str">
        <f t="shared" si="11"/>
        <v/>
      </c>
      <c r="X24" s="53"/>
      <c r="Y24" s="53"/>
      <c r="Z24" s="53"/>
      <c r="AA24" s="53"/>
      <c r="AB24" s="53"/>
      <c r="AC24" s="54" t="str">
        <f t="shared" si="3"/>
        <v/>
      </c>
      <c r="AD24" s="56">
        <v>1</v>
      </c>
      <c r="AE24" s="53"/>
      <c r="AF24" s="53"/>
      <c r="AG24" s="53">
        <v>1</v>
      </c>
      <c r="AH24" s="53"/>
      <c r="AI24" s="100">
        <f t="shared" si="12"/>
        <v>1</v>
      </c>
    </row>
    <row r="25" spans="1:35" ht="15" thickBot="1" x14ac:dyDescent="0.2">
      <c r="A25" s="83">
        <f>'Match Summary'!$B$4</f>
        <v>42120</v>
      </c>
      <c r="B25" s="84" t="str">
        <f>'Match Summary'!$C$4</f>
        <v>Lt_Hallingbury</v>
      </c>
      <c r="C25" s="89"/>
      <c r="D25" s="86" t="s">
        <v>174</v>
      </c>
      <c r="E25" s="90"/>
      <c r="F25" s="90"/>
      <c r="G25" s="108"/>
      <c r="H25" s="86">
        <v>17</v>
      </c>
      <c r="I25" s="86"/>
      <c r="J25" s="89"/>
      <c r="K25" s="90"/>
      <c r="L25" s="90"/>
      <c r="M25" s="91"/>
      <c r="N25" s="89"/>
      <c r="O25" s="90" t="str">
        <f t="shared" si="4"/>
        <v/>
      </c>
      <c r="P25" s="102"/>
      <c r="Q25" s="103"/>
      <c r="R25" s="86">
        <f>SUBTOTAL(9,R14:R24)</f>
        <v>40</v>
      </c>
      <c r="S25" s="91">
        <f t="shared" ref="S25" si="13">SUBTOTAL(9,S14:S24)</f>
        <v>5</v>
      </c>
      <c r="T25" s="86">
        <f>SUBTOTAL(9,T14:T24)</f>
        <v>8</v>
      </c>
      <c r="U25" s="86">
        <f>SUBTOTAL(9,U14:U24)</f>
        <v>0</v>
      </c>
      <c r="V25" s="86">
        <f>SUBTOTAL(9,V14:V24)</f>
        <v>180</v>
      </c>
      <c r="W25" s="92">
        <f>SUBTOTAL(9,W14:W24)</f>
        <v>5</v>
      </c>
      <c r="X25" s="90"/>
      <c r="Y25" s="90"/>
      <c r="Z25" s="90"/>
      <c r="AA25" s="90"/>
      <c r="AB25" s="90"/>
      <c r="AC25" s="85" t="s">
        <v>259</v>
      </c>
      <c r="AD25" s="86">
        <v>4</v>
      </c>
      <c r="AE25" s="90"/>
      <c r="AF25" s="90"/>
      <c r="AG25" s="90"/>
      <c r="AH25" s="90"/>
      <c r="AI25" s="101"/>
    </row>
    <row r="26" spans="1:35" x14ac:dyDescent="0.15">
      <c r="A26" s="75">
        <f>'Match Summary'!$B$5</f>
        <v>42127</v>
      </c>
      <c r="B26" s="76" t="str">
        <f>'Match Summary'!$C$5</f>
        <v>Canfield</v>
      </c>
      <c r="C26" s="79">
        <v>1</v>
      </c>
      <c r="D26" s="78" t="s">
        <v>40</v>
      </c>
      <c r="E26" s="81"/>
      <c r="F26" s="80"/>
      <c r="G26" s="111" t="s">
        <v>199</v>
      </c>
      <c r="H26" s="77">
        <v>100</v>
      </c>
      <c r="I26" s="77" t="s">
        <v>203</v>
      </c>
      <c r="J26" s="81">
        <v>108</v>
      </c>
      <c r="K26" s="81">
        <v>132</v>
      </c>
      <c r="L26" s="81">
        <v>13</v>
      </c>
      <c r="M26" s="81">
        <v>3</v>
      </c>
      <c r="N26" s="79">
        <f t="shared" ref="N26:N36" si="14">IF(I26="NO",1,"")</f>
        <v>1</v>
      </c>
      <c r="O26" s="81" t="str">
        <f t="shared" si="4"/>
        <v/>
      </c>
      <c r="P26" s="81" t="str">
        <f t="shared" ref="P26:P36" si="15">IF(AND(H26&gt;=50,H26&lt;100),1,"")</f>
        <v/>
      </c>
      <c r="Q26" s="80">
        <f t="shared" ref="Q26:Q36" si="16">IF(H26&gt;=100,1,"")</f>
        <v>1</v>
      </c>
      <c r="R26" s="77">
        <v>4</v>
      </c>
      <c r="S26" s="81">
        <v>0</v>
      </c>
      <c r="T26" s="81">
        <v>2</v>
      </c>
      <c r="U26" s="81">
        <v>1</v>
      </c>
      <c r="V26" s="81">
        <v>40</v>
      </c>
      <c r="W26" s="77">
        <f>IF(R26="","",SUM(X26:AB26))</f>
        <v>0</v>
      </c>
      <c r="X26" s="79"/>
      <c r="Y26" s="81"/>
      <c r="Z26" s="81"/>
      <c r="AA26" s="81"/>
      <c r="AB26" s="81"/>
      <c r="AC26" s="81" t="str">
        <f t="shared" si="3"/>
        <v/>
      </c>
      <c r="AD26" s="77"/>
      <c r="AE26" s="81"/>
      <c r="AF26" s="81"/>
      <c r="AG26" s="81"/>
      <c r="AH26" s="81"/>
      <c r="AI26" s="98" t="str">
        <f>IF(SUM(AE26:AH26)=0,"",SUM(AE26:AH26))</f>
        <v/>
      </c>
    </row>
    <row r="27" spans="1:35" x14ac:dyDescent="0.15">
      <c r="A27" s="82">
        <f>'Match Summary'!$B$5</f>
        <v>42127</v>
      </c>
      <c r="B27" s="64" t="str">
        <f>'Match Summary'!$C$5</f>
        <v>Canfield</v>
      </c>
      <c r="C27" s="49">
        <v>2</v>
      </c>
      <c r="D27" s="61" t="s">
        <v>160</v>
      </c>
      <c r="E27" s="50"/>
      <c r="F27" s="51"/>
      <c r="G27" s="112" t="s">
        <v>199</v>
      </c>
      <c r="H27" s="59">
        <v>15</v>
      </c>
      <c r="I27" s="59" t="s">
        <v>202</v>
      </c>
      <c r="J27" s="57">
        <v>49</v>
      </c>
      <c r="K27" s="57">
        <v>51</v>
      </c>
      <c r="L27" s="57">
        <v>2</v>
      </c>
      <c r="M27" s="50"/>
      <c r="N27" s="49" t="str">
        <f t="shared" si="14"/>
        <v/>
      </c>
      <c r="O27" s="50" t="str">
        <f t="shared" si="4"/>
        <v/>
      </c>
      <c r="P27" s="50" t="str">
        <f t="shared" si="15"/>
        <v/>
      </c>
      <c r="Q27" s="51" t="str">
        <f t="shared" si="16"/>
        <v/>
      </c>
      <c r="R27" s="59"/>
      <c r="S27" s="50"/>
      <c r="T27" s="50"/>
      <c r="U27" s="50"/>
      <c r="V27" s="50"/>
      <c r="W27" s="59" t="str">
        <f t="shared" ref="W27:W36" si="17">IF(R27="","",SUM(X27:AB27))</f>
        <v/>
      </c>
      <c r="X27" s="49"/>
      <c r="Y27" s="50"/>
      <c r="Z27" s="50"/>
      <c r="AA27" s="50"/>
      <c r="AB27" s="50"/>
      <c r="AC27" s="51" t="str">
        <f t="shared" si="3"/>
        <v/>
      </c>
      <c r="AD27" s="59"/>
      <c r="AE27" s="50"/>
      <c r="AF27" s="50"/>
      <c r="AG27" s="50"/>
      <c r="AH27" s="50"/>
      <c r="AI27" s="99" t="str">
        <f t="shared" ref="AI27:AI36" si="18">IF(SUM(AE27:AH27)=0,"",SUM(AE27:AH27))</f>
        <v/>
      </c>
    </row>
    <row r="28" spans="1:35" x14ac:dyDescent="0.15">
      <c r="A28" s="82">
        <f>'Match Summary'!$B$5</f>
        <v>42127</v>
      </c>
      <c r="B28" s="64" t="str">
        <f>'Match Summary'!$C$5</f>
        <v>Canfield</v>
      </c>
      <c r="C28" s="49">
        <v>3</v>
      </c>
      <c r="D28" s="61" t="s">
        <v>156</v>
      </c>
      <c r="E28" s="50"/>
      <c r="F28" s="51"/>
      <c r="G28" s="112" t="s">
        <v>199</v>
      </c>
      <c r="H28" s="59">
        <v>0</v>
      </c>
      <c r="I28" s="59" t="s">
        <v>202</v>
      </c>
      <c r="J28" s="57">
        <v>3</v>
      </c>
      <c r="K28" s="57">
        <v>2</v>
      </c>
      <c r="L28" s="57"/>
      <c r="M28" s="50"/>
      <c r="N28" s="49" t="str">
        <f t="shared" si="14"/>
        <v/>
      </c>
      <c r="O28" s="50">
        <f t="shared" si="4"/>
        <v>1</v>
      </c>
      <c r="P28" s="50" t="str">
        <f t="shared" si="15"/>
        <v/>
      </c>
      <c r="Q28" s="51" t="str">
        <f t="shared" si="16"/>
        <v/>
      </c>
      <c r="R28" s="59"/>
      <c r="S28" s="50"/>
      <c r="T28" s="50"/>
      <c r="U28" s="57"/>
      <c r="V28" s="57"/>
      <c r="W28" s="59" t="str">
        <f t="shared" si="17"/>
        <v/>
      </c>
      <c r="X28" s="49"/>
      <c r="Y28" s="50"/>
      <c r="Z28" s="57"/>
      <c r="AA28" s="50"/>
      <c r="AB28" s="50"/>
      <c r="AC28" s="51" t="str">
        <f t="shared" si="3"/>
        <v/>
      </c>
      <c r="AD28" s="59"/>
      <c r="AE28" s="50"/>
      <c r="AF28" s="50"/>
      <c r="AG28" s="50"/>
      <c r="AH28" s="50"/>
      <c r="AI28" s="99" t="str">
        <f t="shared" si="18"/>
        <v/>
      </c>
    </row>
    <row r="29" spans="1:35" x14ac:dyDescent="0.15">
      <c r="A29" s="82">
        <f>'Match Summary'!$B$5</f>
        <v>42127</v>
      </c>
      <c r="B29" s="64" t="str">
        <f>'Match Summary'!$C$5</f>
        <v>Canfield</v>
      </c>
      <c r="C29" s="49">
        <v>4</v>
      </c>
      <c r="D29" s="61" t="s">
        <v>47</v>
      </c>
      <c r="E29" s="50" t="s">
        <v>195</v>
      </c>
      <c r="F29" s="51"/>
      <c r="G29" s="112" t="s">
        <v>199</v>
      </c>
      <c r="H29" s="59">
        <v>57</v>
      </c>
      <c r="I29" s="59" t="s">
        <v>202</v>
      </c>
      <c r="J29" s="57">
        <v>62</v>
      </c>
      <c r="K29" s="57">
        <v>68</v>
      </c>
      <c r="L29" s="57">
        <v>7</v>
      </c>
      <c r="M29" s="57">
        <v>2</v>
      </c>
      <c r="N29" s="49" t="str">
        <f t="shared" si="14"/>
        <v/>
      </c>
      <c r="O29" s="50" t="str">
        <f t="shared" si="4"/>
        <v/>
      </c>
      <c r="P29" s="50">
        <f t="shared" si="15"/>
        <v>1</v>
      </c>
      <c r="Q29" s="51" t="str">
        <f t="shared" si="16"/>
        <v/>
      </c>
      <c r="R29" s="59">
        <v>8</v>
      </c>
      <c r="S29" s="50">
        <v>3</v>
      </c>
      <c r="T29" s="50">
        <v>0</v>
      </c>
      <c r="U29" s="57">
        <v>0</v>
      </c>
      <c r="V29" s="57">
        <v>28</v>
      </c>
      <c r="W29" s="59">
        <f t="shared" si="17"/>
        <v>2</v>
      </c>
      <c r="X29" s="49">
        <v>1</v>
      </c>
      <c r="Y29" s="50"/>
      <c r="Z29" s="57">
        <v>1</v>
      </c>
      <c r="AA29" s="50"/>
      <c r="AB29" s="50"/>
      <c r="AC29" s="51" t="str">
        <f t="shared" si="3"/>
        <v/>
      </c>
      <c r="AD29" s="59"/>
      <c r="AE29" s="50">
        <v>1</v>
      </c>
      <c r="AF29" s="50"/>
      <c r="AG29" s="50"/>
      <c r="AH29" s="50"/>
      <c r="AI29" s="99">
        <f t="shared" si="18"/>
        <v>1</v>
      </c>
    </row>
    <row r="30" spans="1:35" x14ac:dyDescent="0.15">
      <c r="A30" s="82">
        <f>'Match Summary'!$B$5</f>
        <v>42127</v>
      </c>
      <c r="B30" s="64" t="str">
        <f>'Match Summary'!$C$5</f>
        <v>Canfield</v>
      </c>
      <c r="C30" s="49">
        <v>5</v>
      </c>
      <c r="D30" s="61" t="s">
        <v>186</v>
      </c>
      <c r="E30" s="50"/>
      <c r="F30" s="51"/>
      <c r="G30" s="112" t="s">
        <v>199</v>
      </c>
      <c r="H30" s="59">
        <v>5</v>
      </c>
      <c r="I30" s="59" t="s">
        <v>203</v>
      </c>
      <c r="J30" s="57">
        <v>7</v>
      </c>
      <c r="K30" s="57">
        <v>11</v>
      </c>
      <c r="L30" s="57">
        <v>1</v>
      </c>
      <c r="M30" s="50"/>
      <c r="N30" s="49">
        <f t="shared" si="14"/>
        <v>1</v>
      </c>
      <c r="O30" s="50" t="str">
        <f t="shared" si="4"/>
        <v/>
      </c>
      <c r="P30" s="50" t="str">
        <f t="shared" si="15"/>
        <v/>
      </c>
      <c r="Q30" s="51" t="str">
        <f t="shared" si="16"/>
        <v/>
      </c>
      <c r="R30" s="59">
        <v>6</v>
      </c>
      <c r="S30" s="50">
        <v>3</v>
      </c>
      <c r="T30" s="50">
        <v>0</v>
      </c>
      <c r="U30" s="57">
        <v>1</v>
      </c>
      <c r="V30" s="57">
        <v>22</v>
      </c>
      <c r="W30" s="59">
        <f t="shared" si="17"/>
        <v>3</v>
      </c>
      <c r="X30" s="49">
        <v>1</v>
      </c>
      <c r="Y30" s="50"/>
      <c r="Z30" s="57">
        <v>1</v>
      </c>
      <c r="AA30" s="57">
        <v>1</v>
      </c>
      <c r="AB30" s="50"/>
      <c r="AC30" s="51" t="str">
        <f t="shared" si="3"/>
        <v/>
      </c>
      <c r="AD30" s="59"/>
      <c r="AE30" s="50">
        <v>2</v>
      </c>
      <c r="AF30" s="50"/>
      <c r="AG30" s="50"/>
      <c r="AH30" s="50"/>
      <c r="AI30" s="99">
        <f t="shared" si="18"/>
        <v>2</v>
      </c>
    </row>
    <row r="31" spans="1:35" x14ac:dyDescent="0.15">
      <c r="A31" s="82">
        <f>'Match Summary'!$B$5</f>
        <v>42127</v>
      </c>
      <c r="B31" s="64" t="str">
        <f>'Match Summary'!$C$5</f>
        <v>Canfield</v>
      </c>
      <c r="C31" s="49">
        <v>6</v>
      </c>
      <c r="D31" s="61" t="s">
        <v>48</v>
      </c>
      <c r="E31" s="50"/>
      <c r="F31" s="51"/>
      <c r="G31" s="112" t="s">
        <v>200</v>
      </c>
      <c r="H31" s="59"/>
      <c r="I31" s="59"/>
      <c r="J31" s="57"/>
      <c r="K31" s="57"/>
      <c r="L31" s="57"/>
      <c r="M31" s="50"/>
      <c r="N31" s="49" t="str">
        <f t="shared" si="14"/>
        <v/>
      </c>
      <c r="O31" s="50" t="str">
        <f t="shared" si="4"/>
        <v/>
      </c>
      <c r="P31" s="50" t="str">
        <f t="shared" si="15"/>
        <v/>
      </c>
      <c r="Q31" s="51" t="str">
        <f t="shared" si="16"/>
        <v/>
      </c>
      <c r="R31" s="59">
        <v>4</v>
      </c>
      <c r="S31" s="57">
        <v>0</v>
      </c>
      <c r="T31" s="57">
        <v>0</v>
      </c>
      <c r="U31" s="57">
        <v>1</v>
      </c>
      <c r="V31" s="57">
        <v>38</v>
      </c>
      <c r="W31" s="59">
        <f t="shared" si="17"/>
        <v>1</v>
      </c>
      <c r="X31" s="49"/>
      <c r="Y31" s="50"/>
      <c r="Z31" s="50">
        <v>1</v>
      </c>
      <c r="AA31" s="50"/>
      <c r="AB31" s="50"/>
      <c r="AC31" s="51" t="str">
        <f t="shared" si="3"/>
        <v/>
      </c>
      <c r="AD31" s="59"/>
      <c r="AE31" s="50"/>
      <c r="AF31" s="50"/>
      <c r="AG31" s="50"/>
      <c r="AH31" s="50"/>
      <c r="AI31" s="99" t="str">
        <f t="shared" si="18"/>
        <v/>
      </c>
    </row>
    <row r="32" spans="1:35" x14ac:dyDescent="0.15">
      <c r="A32" s="82">
        <f>'Match Summary'!$B$5</f>
        <v>42127</v>
      </c>
      <c r="B32" s="64" t="str">
        <f>'Match Summary'!$C$5</f>
        <v>Canfield</v>
      </c>
      <c r="C32" s="49">
        <v>7</v>
      </c>
      <c r="D32" s="61" t="s">
        <v>117</v>
      </c>
      <c r="E32" s="50"/>
      <c r="F32" s="51"/>
      <c r="G32" s="112" t="s">
        <v>200</v>
      </c>
      <c r="H32" s="59"/>
      <c r="I32" s="59"/>
      <c r="J32" s="57"/>
      <c r="K32" s="57"/>
      <c r="L32" s="57"/>
      <c r="M32" s="57"/>
      <c r="N32" s="49" t="str">
        <f t="shared" si="14"/>
        <v/>
      </c>
      <c r="O32" s="50" t="str">
        <f t="shared" si="4"/>
        <v/>
      </c>
      <c r="P32" s="50" t="str">
        <f t="shared" si="15"/>
        <v/>
      </c>
      <c r="Q32" s="51" t="str">
        <f t="shared" si="16"/>
        <v/>
      </c>
      <c r="R32" s="59"/>
      <c r="S32" s="50"/>
      <c r="T32" s="50"/>
      <c r="U32" s="57"/>
      <c r="V32" s="57"/>
      <c r="W32" s="59" t="str">
        <f t="shared" si="17"/>
        <v/>
      </c>
      <c r="X32" s="49"/>
      <c r="Y32" s="50"/>
      <c r="Z32" s="57"/>
      <c r="AA32" s="50"/>
      <c r="AB32" s="50"/>
      <c r="AC32" s="51" t="str">
        <f>IF(AND(ISNUMBER(W32),W32&gt;=5),1,"")</f>
        <v/>
      </c>
      <c r="AD32" s="59"/>
      <c r="AE32" s="50"/>
      <c r="AF32" s="50"/>
      <c r="AG32" s="50"/>
      <c r="AH32" s="50"/>
      <c r="AI32" s="99" t="str">
        <f t="shared" si="18"/>
        <v/>
      </c>
    </row>
    <row r="33" spans="1:35" x14ac:dyDescent="0.15">
      <c r="A33" s="82">
        <f>'Match Summary'!$B$5</f>
        <v>42127</v>
      </c>
      <c r="B33" s="64" t="str">
        <f>'Match Summary'!$C$5</f>
        <v>Canfield</v>
      </c>
      <c r="C33" s="49">
        <v>8</v>
      </c>
      <c r="D33" s="61" t="s">
        <v>45</v>
      </c>
      <c r="E33" s="50"/>
      <c r="F33" s="51"/>
      <c r="G33" s="112" t="s">
        <v>200</v>
      </c>
      <c r="H33" s="59"/>
      <c r="I33" s="59"/>
      <c r="J33" s="57"/>
      <c r="K33" s="57"/>
      <c r="L33" s="50"/>
      <c r="M33" s="50"/>
      <c r="N33" s="49" t="str">
        <f t="shared" si="14"/>
        <v/>
      </c>
      <c r="O33" s="50" t="str">
        <f t="shared" si="4"/>
        <v/>
      </c>
      <c r="P33" s="50" t="str">
        <f t="shared" si="15"/>
        <v/>
      </c>
      <c r="Q33" s="51" t="str">
        <f t="shared" si="16"/>
        <v/>
      </c>
      <c r="R33" s="59">
        <v>8</v>
      </c>
      <c r="S33" s="57">
        <v>0</v>
      </c>
      <c r="T33" s="57">
        <v>0</v>
      </c>
      <c r="U33" s="57">
        <v>0</v>
      </c>
      <c r="V33" s="57">
        <v>55</v>
      </c>
      <c r="W33" s="59">
        <f t="shared" si="17"/>
        <v>1</v>
      </c>
      <c r="X33" s="49"/>
      <c r="Y33" s="50"/>
      <c r="Z33" s="57">
        <v>1</v>
      </c>
      <c r="AA33" s="50"/>
      <c r="AB33" s="50"/>
      <c r="AC33" s="51" t="str">
        <f t="shared" si="3"/>
        <v/>
      </c>
      <c r="AD33" s="59"/>
      <c r="AE33" s="50">
        <v>1</v>
      </c>
      <c r="AF33" s="50">
        <v>1</v>
      </c>
      <c r="AG33" s="50"/>
      <c r="AH33" s="50"/>
      <c r="AI33" s="99">
        <f t="shared" si="18"/>
        <v>2</v>
      </c>
    </row>
    <row r="34" spans="1:35" x14ac:dyDescent="0.15">
      <c r="A34" s="82">
        <f>'Match Summary'!$B$5</f>
        <v>42127</v>
      </c>
      <c r="B34" s="64" t="str">
        <f>'Match Summary'!$C$5</f>
        <v>Canfield</v>
      </c>
      <c r="C34" s="49">
        <v>9</v>
      </c>
      <c r="D34" s="61" t="s">
        <v>214</v>
      </c>
      <c r="E34" s="50"/>
      <c r="F34" s="51"/>
      <c r="G34" s="112" t="s">
        <v>200</v>
      </c>
      <c r="H34" s="59"/>
      <c r="I34" s="59"/>
      <c r="J34" s="57"/>
      <c r="K34" s="57"/>
      <c r="L34" s="50"/>
      <c r="M34" s="50"/>
      <c r="N34" s="49" t="str">
        <f t="shared" si="14"/>
        <v/>
      </c>
      <c r="O34" s="50" t="str">
        <f t="shared" si="4"/>
        <v/>
      </c>
      <c r="P34" s="50" t="str">
        <f t="shared" si="15"/>
        <v/>
      </c>
      <c r="Q34" s="51" t="str">
        <f t="shared" si="16"/>
        <v/>
      </c>
      <c r="R34" s="59"/>
      <c r="S34" s="57"/>
      <c r="T34" s="57"/>
      <c r="U34" s="57"/>
      <c r="V34" s="57"/>
      <c r="W34" s="59" t="str">
        <f t="shared" si="17"/>
        <v/>
      </c>
      <c r="X34" s="49"/>
      <c r="Y34" s="50"/>
      <c r="Z34" s="50"/>
      <c r="AA34" s="50"/>
      <c r="AB34" s="50"/>
      <c r="AC34" s="51" t="str">
        <f t="shared" si="3"/>
        <v/>
      </c>
      <c r="AD34" s="59"/>
      <c r="AE34" s="50"/>
      <c r="AF34" s="50"/>
      <c r="AG34" s="50"/>
      <c r="AH34" s="50"/>
      <c r="AI34" s="99" t="str">
        <f t="shared" si="18"/>
        <v/>
      </c>
    </row>
    <row r="35" spans="1:35" x14ac:dyDescent="0.15">
      <c r="A35" s="82">
        <f>'Match Summary'!$B$5</f>
        <v>42127</v>
      </c>
      <c r="B35" s="64" t="str">
        <f>'Match Summary'!$C$5</f>
        <v>Canfield</v>
      </c>
      <c r="C35" s="49">
        <v>10</v>
      </c>
      <c r="D35" s="61" t="s">
        <v>44</v>
      </c>
      <c r="E35" s="50"/>
      <c r="F35" s="51"/>
      <c r="G35" s="112" t="s">
        <v>200</v>
      </c>
      <c r="H35" s="59"/>
      <c r="I35" s="59"/>
      <c r="J35" s="57"/>
      <c r="K35" s="57"/>
      <c r="L35" s="50"/>
      <c r="M35" s="50"/>
      <c r="N35" s="49" t="str">
        <f t="shared" si="14"/>
        <v/>
      </c>
      <c r="O35" s="50" t="str">
        <f t="shared" si="4"/>
        <v/>
      </c>
      <c r="P35" s="50" t="str">
        <f t="shared" si="15"/>
        <v/>
      </c>
      <c r="Q35" s="51" t="str">
        <f t="shared" si="16"/>
        <v/>
      </c>
      <c r="R35" s="59">
        <v>5.2</v>
      </c>
      <c r="S35" s="57">
        <v>1</v>
      </c>
      <c r="T35" s="57">
        <v>0</v>
      </c>
      <c r="U35" s="57">
        <v>0</v>
      </c>
      <c r="V35" s="57">
        <v>14</v>
      </c>
      <c r="W35" s="59">
        <f t="shared" si="17"/>
        <v>2</v>
      </c>
      <c r="X35" s="49"/>
      <c r="Y35" s="50"/>
      <c r="Z35" s="57">
        <v>2</v>
      </c>
      <c r="AA35" s="50"/>
      <c r="AB35" s="50"/>
      <c r="AC35" s="51" t="str">
        <f t="shared" si="3"/>
        <v/>
      </c>
      <c r="AD35" s="59"/>
      <c r="AE35" s="50"/>
      <c r="AF35" s="50"/>
      <c r="AG35" s="50"/>
      <c r="AH35" s="50"/>
      <c r="AI35" s="99" t="str">
        <f t="shared" si="18"/>
        <v/>
      </c>
    </row>
    <row r="36" spans="1:35" x14ac:dyDescent="0.15">
      <c r="A36" s="82">
        <f>'Match Summary'!$B$5</f>
        <v>42127</v>
      </c>
      <c r="B36" s="64" t="str">
        <f>'Match Summary'!$C$5</f>
        <v>Canfield</v>
      </c>
      <c r="C36" s="52">
        <v>11</v>
      </c>
      <c r="D36" s="65" t="s">
        <v>49</v>
      </c>
      <c r="E36" s="53"/>
      <c r="F36" s="54" t="s">
        <v>195</v>
      </c>
      <c r="G36" s="112" t="s">
        <v>200</v>
      </c>
      <c r="H36" s="56"/>
      <c r="I36" s="56"/>
      <c r="J36" s="53"/>
      <c r="K36" s="53"/>
      <c r="L36" s="53"/>
      <c r="M36" s="53"/>
      <c r="N36" s="52" t="str">
        <f t="shared" si="14"/>
        <v/>
      </c>
      <c r="O36" s="53" t="str">
        <f t="shared" si="4"/>
        <v/>
      </c>
      <c r="P36" s="53" t="str">
        <f t="shared" si="15"/>
        <v/>
      </c>
      <c r="Q36" s="54" t="str">
        <f t="shared" si="16"/>
        <v/>
      </c>
      <c r="R36" s="56"/>
      <c r="S36" s="53"/>
      <c r="T36" s="53"/>
      <c r="U36" s="53"/>
      <c r="V36" s="53"/>
      <c r="W36" s="56" t="str">
        <f t="shared" si="17"/>
        <v/>
      </c>
      <c r="X36" s="52"/>
      <c r="Y36" s="53"/>
      <c r="Z36" s="53"/>
      <c r="AA36" s="53"/>
      <c r="AB36" s="53"/>
      <c r="AC36" s="54" t="str">
        <f t="shared" si="3"/>
        <v/>
      </c>
      <c r="AD36" s="56">
        <v>9</v>
      </c>
      <c r="AE36" s="53"/>
      <c r="AF36" s="53"/>
      <c r="AG36" s="53">
        <v>1</v>
      </c>
      <c r="AH36" s="53">
        <v>2</v>
      </c>
      <c r="AI36" s="100">
        <f t="shared" si="18"/>
        <v>3</v>
      </c>
    </row>
    <row r="37" spans="1:35" ht="15" thickBot="1" x14ac:dyDescent="0.2">
      <c r="A37" s="83">
        <f>'Match Summary'!$B$5</f>
        <v>42127</v>
      </c>
      <c r="B37" s="84" t="str">
        <f>'Match Summary'!$C$5</f>
        <v>Canfield</v>
      </c>
      <c r="C37" s="86"/>
      <c r="D37" s="92" t="s">
        <v>174</v>
      </c>
      <c r="E37" s="85"/>
      <c r="F37" s="85"/>
      <c r="G37" s="113"/>
      <c r="H37" s="86">
        <v>24</v>
      </c>
      <c r="I37" s="85"/>
      <c r="J37" s="89"/>
      <c r="K37" s="90"/>
      <c r="L37" s="90"/>
      <c r="M37" s="91"/>
      <c r="N37" s="85"/>
      <c r="O37" s="85" t="str">
        <f t="shared" si="4"/>
        <v/>
      </c>
      <c r="P37" s="87"/>
      <c r="Q37" s="88"/>
      <c r="R37" s="86">
        <f>SUBTOTAL(9,R26:R36)</f>
        <v>35.200000000000003</v>
      </c>
      <c r="S37" s="91">
        <f t="shared" ref="S37" si="19">SUBTOTAL(9,S26:S36)</f>
        <v>7</v>
      </c>
      <c r="T37" s="86">
        <f>SUBTOTAL(9,T26:T36)</f>
        <v>2</v>
      </c>
      <c r="U37" s="86">
        <f>SUBTOTAL(9,U26:U36)</f>
        <v>3</v>
      </c>
      <c r="V37" s="86">
        <f>SUBTOTAL(9,V26:V36)</f>
        <v>197</v>
      </c>
      <c r="W37" s="86">
        <f>SUBTOTAL(9,W26:W36)</f>
        <v>9</v>
      </c>
      <c r="X37" s="85"/>
      <c r="Y37" s="85"/>
      <c r="Z37" s="85"/>
      <c r="AA37" s="85"/>
      <c r="AB37" s="85"/>
      <c r="AC37" s="85" t="s">
        <v>259</v>
      </c>
      <c r="AD37" s="92"/>
      <c r="AE37" s="85"/>
      <c r="AF37" s="85"/>
      <c r="AG37" s="85"/>
      <c r="AH37" s="85"/>
      <c r="AI37" s="101"/>
    </row>
    <row r="38" spans="1:35" x14ac:dyDescent="0.15">
      <c r="A38" s="75">
        <f>'Match Summary'!$B$6</f>
        <v>42134</v>
      </c>
      <c r="B38" s="76" t="str">
        <f>'Match Summary'!$C$6</f>
        <v>Bures</v>
      </c>
      <c r="C38" s="77">
        <v>1</v>
      </c>
      <c r="D38" s="78" t="s">
        <v>111</v>
      </c>
      <c r="E38" s="79"/>
      <c r="F38" s="81"/>
      <c r="G38" s="105" t="s">
        <v>199</v>
      </c>
      <c r="H38" s="80">
        <v>48</v>
      </c>
      <c r="I38" s="77" t="s">
        <v>201</v>
      </c>
      <c r="J38" s="81">
        <v>59</v>
      </c>
      <c r="K38" s="81">
        <v>78</v>
      </c>
      <c r="L38" s="81">
        <v>9</v>
      </c>
      <c r="M38" s="81"/>
      <c r="N38" s="79" t="str">
        <f t="shared" ref="N38:N49" si="20">IF(I38="NO",1,"")</f>
        <v/>
      </c>
      <c r="O38" s="81" t="str">
        <f t="shared" si="4"/>
        <v/>
      </c>
      <c r="P38" s="81" t="str">
        <f t="shared" ref="P38:P49" si="21">IF(AND(H38&gt;=50,H38&lt;100),1,"")</f>
        <v/>
      </c>
      <c r="Q38" s="80" t="str">
        <f t="shared" ref="Q38:Q49" si="22">IF(H38&gt;=100,1,"")</f>
        <v/>
      </c>
      <c r="R38" s="77">
        <v>2</v>
      </c>
      <c r="S38" s="81">
        <v>0</v>
      </c>
      <c r="T38" s="81">
        <v>11</v>
      </c>
      <c r="U38" s="81">
        <v>0</v>
      </c>
      <c r="V38" s="81">
        <v>13</v>
      </c>
      <c r="W38" s="77">
        <f>IF(R38="","",SUM(X38:AB38))</f>
        <v>0</v>
      </c>
      <c r="X38" s="79"/>
      <c r="Y38" s="81"/>
      <c r="Z38" s="81"/>
      <c r="AA38" s="81"/>
      <c r="AB38" s="81"/>
      <c r="AC38" s="80" t="str">
        <f t="shared" si="3"/>
        <v/>
      </c>
      <c r="AD38" s="77"/>
      <c r="AE38" s="81"/>
      <c r="AF38" s="81"/>
      <c r="AG38" s="81"/>
      <c r="AH38" s="81"/>
      <c r="AI38" s="98" t="str">
        <f>IF(SUM(AE38:AH38)=0,"",SUM(AE38:AH38))</f>
        <v/>
      </c>
    </row>
    <row r="39" spans="1:35" x14ac:dyDescent="0.15">
      <c r="A39" s="82">
        <f>'Match Summary'!$B$6</f>
        <v>42134</v>
      </c>
      <c r="B39" s="64" t="str">
        <f>'Match Summary'!$C$6</f>
        <v>Bures</v>
      </c>
      <c r="C39" s="59">
        <v>2</v>
      </c>
      <c r="D39" s="61" t="s">
        <v>160</v>
      </c>
      <c r="E39" s="49"/>
      <c r="F39" s="50"/>
      <c r="G39" s="106" t="s">
        <v>199</v>
      </c>
      <c r="H39" s="51">
        <v>27</v>
      </c>
      <c r="I39" s="59" t="s">
        <v>201</v>
      </c>
      <c r="J39" s="57">
        <v>60</v>
      </c>
      <c r="K39" s="57">
        <v>58</v>
      </c>
      <c r="L39" s="57">
        <v>3</v>
      </c>
      <c r="M39" s="50"/>
      <c r="N39" s="49" t="str">
        <f t="shared" si="20"/>
        <v/>
      </c>
      <c r="O39" s="50" t="str">
        <f t="shared" si="4"/>
        <v/>
      </c>
      <c r="P39" s="50" t="str">
        <f t="shared" si="21"/>
        <v/>
      </c>
      <c r="Q39" s="51" t="str">
        <f t="shared" si="22"/>
        <v/>
      </c>
      <c r="R39" s="59"/>
      <c r="S39" s="50"/>
      <c r="T39" s="50"/>
      <c r="U39" s="50"/>
      <c r="V39" s="50"/>
      <c r="W39" s="59" t="str">
        <f t="shared" ref="W39:W48" si="23">IF(R39="","",SUM(X39:AB39))</f>
        <v/>
      </c>
      <c r="X39" s="49"/>
      <c r="Y39" s="50"/>
      <c r="Z39" s="50"/>
      <c r="AA39" s="50"/>
      <c r="AB39" s="50"/>
      <c r="AC39" s="51" t="str">
        <f t="shared" si="3"/>
        <v/>
      </c>
      <c r="AD39" s="59"/>
      <c r="AE39" s="50"/>
      <c r="AF39" s="50"/>
      <c r="AG39" s="50"/>
      <c r="AH39" s="50"/>
      <c r="AI39" s="99" t="str">
        <f t="shared" ref="AI39:AI48" si="24">IF(SUM(AE39:AH39)=0,"",SUM(AE39:AH39))</f>
        <v/>
      </c>
    </row>
    <row r="40" spans="1:35" x14ac:dyDescent="0.15">
      <c r="A40" s="82">
        <f>'Match Summary'!$B$6</f>
        <v>42134</v>
      </c>
      <c r="B40" s="64" t="str">
        <f>'Match Summary'!$C$6</f>
        <v>Bures</v>
      </c>
      <c r="C40" s="59">
        <v>3</v>
      </c>
      <c r="D40" s="61" t="s">
        <v>47</v>
      </c>
      <c r="E40" s="49" t="s">
        <v>195</v>
      </c>
      <c r="F40" s="50"/>
      <c r="G40" s="106" t="s">
        <v>199</v>
      </c>
      <c r="H40" s="51">
        <v>17</v>
      </c>
      <c r="I40" s="59" t="s">
        <v>201</v>
      </c>
      <c r="J40" s="57">
        <v>13</v>
      </c>
      <c r="K40" s="57">
        <v>13</v>
      </c>
      <c r="L40" s="57">
        <v>4</v>
      </c>
      <c r="M40" s="50"/>
      <c r="N40" s="49" t="str">
        <f t="shared" si="20"/>
        <v/>
      </c>
      <c r="O40" s="50" t="str">
        <f t="shared" si="4"/>
        <v/>
      </c>
      <c r="P40" s="50" t="str">
        <f t="shared" si="21"/>
        <v/>
      </c>
      <c r="Q40" s="51" t="str">
        <f t="shared" si="22"/>
        <v/>
      </c>
      <c r="R40" s="59">
        <v>12</v>
      </c>
      <c r="S40" s="50">
        <v>1</v>
      </c>
      <c r="T40" s="50">
        <v>1</v>
      </c>
      <c r="U40" s="57">
        <v>0</v>
      </c>
      <c r="V40" s="57">
        <v>69</v>
      </c>
      <c r="W40" s="59">
        <f t="shared" si="23"/>
        <v>3</v>
      </c>
      <c r="X40" s="49">
        <v>2</v>
      </c>
      <c r="Y40" s="50"/>
      <c r="Z40" s="57">
        <v>1</v>
      </c>
      <c r="AA40" s="50"/>
      <c r="AB40" s="50"/>
      <c r="AC40" s="51" t="str">
        <f t="shared" si="3"/>
        <v/>
      </c>
      <c r="AD40" s="59"/>
      <c r="AE40" s="50">
        <v>2</v>
      </c>
      <c r="AF40" s="50"/>
      <c r="AG40" s="50"/>
      <c r="AH40" s="50"/>
      <c r="AI40" s="99">
        <f t="shared" si="24"/>
        <v>2</v>
      </c>
    </row>
    <row r="41" spans="1:35" x14ac:dyDescent="0.15">
      <c r="A41" s="82">
        <f>'Match Summary'!$B$6</f>
        <v>42134</v>
      </c>
      <c r="B41" s="64" t="str">
        <f>'Match Summary'!$C$6</f>
        <v>Bures</v>
      </c>
      <c r="C41" s="59">
        <v>4</v>
      </c>
      <c r="D41" s="61" t="s">
        <v>156</v>
      </c>
      <c r="E41" s="49"/>
      <c r="F41" s="50"/>
      <c r="G41" s="106" t="s">
        <v>199</v>
      </c>
      <c r="H41" s="51">
        <v>42</v>
      </c>
      <c r="I41" s="59" t="s">
        <v>221</v>
      </c>
      <c r="J41" s="57">
        <v>37</v>
      </c>
      <c r="K41" s="57">
        <v>41</v>
      </c>
      <c r="L41" s="57">
        <v>5</v>
      </c>
      <c r="M41" s="50"/>
      <c r="N41" s="49" t="str">
        <f t="shared" si="20"/>
        <v/>
      </c>
      <c r="O41" s="50" t="str">
        <f t="shared" si="4"/>
        <v/>
      </c>
      <c r="P41" s="50" t="str">
        <f t="shared" si="21"/>
        <v/>
      </c>
      <c r="Q41" s="51" t="str">
        <f t="shared" si="22"/>
        <v/>
      </c>
      <c r="R41" s="59"/>
      <c r="S41" s="50"/>
      <c r="T41" s="50"/>
      <c r="U41" s="50"/>
      <c r="V41" s="50"/>
      <c r="W41" s="59" t="str">
        <f t="shared" si="23"/>
        <v/>
      </c>
      <c r="X41" s="49"/>
      <c r="Y41" s="50"/>
      <c r="Z41" s="50"/>
      <c r="AA41" s="50"/>
      <c r="AB41" s="50"/>
      <c r="AC41" s="51" t="str">
        <f t="shared" si="3"/>
        <v/>
      </c>
      <c r="AD41" s="59"/>
      <c r="AE41" s="50"/>
      <c r="AF41" s="50"/>
      <c r="AG41" s="50"/>
      <c r="AH41" s="50"/>
      <c r="AI41" s="99" t="str">
        <f t="shared" si="24"/>
        <v/>
      </c>
    </row>
    <row r="42" spans="1:35" x14ac:dyDescent="0.15">
      <c r="A42" s="82">
        <f>'Match Summary'!$B$6</f>
        <v>42134</v>
      </c>
      <c r="B42" s="64" t="str">
        <f>'Match Summary'!$C$6</f>
        <v>Bures</v>
      </c>
      <c r="C42" s="59">
        <v>5</v>
      </c>
      <c r="D42" s="61" t="s">
        <v>48</v>
      </c>
      <c r="E42" s="49"/>
      <c r="F42" s="50"/>
      <c r="G42" s="106" t="s">
        <v>199</v>
      </c>
      <c r="H42" s="51">
        <v>47</v>
      </c>
      <c r="I42" s="59" t="s">
        <v>201</v>
      </c>
      <c r="J42" s="57">
        <v>30</v>
      </c>
      <c r="K42" s="57">
        <v>30</v>
      </c>
      <c r="L42" s="57">
        <v>8</v>
      </c>
      <c r="M42" s="50"/>
      <c r="N42" s="49" t="str">
        <f t="shared" si="20"/>
        <v/>
      </c>
      <c r="O42" s="50" t="str">
        <f t="shared" si="4"/>
        <v/>
      </c>
      <c r="P42" s="50" t="str">
        <f t="shared" si="21"/>
        <v/>
      </c>
      <c r="Q42" s="51" t="str">
        <f t="shared" si="22"/>
        <v/>
      </c>
      <c r="R42" s="59">
        <v>5</v>
      </c>
      <c r="S42" s="50">
        <v>0</v>
      </c>
      <c r="T42" s="50">
        <v>0</v>
      </c>
      <c r="U42" s="57">
        <v>0</v>
      </c>
      <c r="V42" s="57">
        <v>30</v>
      </c>
      <c r="W42" s="59">
        <f t="shared" si="23"/>
        <v>1</v>
      </c>
      <c r="X42" s="49"/>
      <c r="Y42" s="50"/>
      <c r="Z42" s="57">
        <v>1</v>
      </c>
      <c r="AA42" s="50"/>
      <c r="AB42" s="50"/>
      <c r="AC42" s="51" t="str">
        <f t="shared" si="3"/>
        <v/>
      </c>
      <c r="AD42" s="59"/>
      <c r="AE42" s="50">
        <v>1</v>
      </c>
      <c r="AF42" s="50"/>
      <c r="AG42" s="50"/>
      <c r="AH42" s="50"/>
      <c r="AI42" s="99">
        <f t="shared" si="24"/>
        <v>1</v>
      </c>
    </row>
    <row r="43" spans="1:35" x14ac:dyDescent="0.15">
      <c r="A43" s="82">
        <f>'Match Summary'!$B$6</f>
        <v>42134</v>
      </c>
      <c r="B43" s="64" t="str">
        <f>'Match Summary'!$C$6</f>
        <v>Bures</v>
      </c>
      <c r="C43" s="59">
        <v>6</v>
      </c>
      <c r="D43" s="61" t="s">
        <v>45</v>
      </c>
      <c r="E43" s="49"/>
      <c r="F43" s="50"/>
      <c r="G43" s="106" t="s">
        <v>199</v>
      </c>
      <c r="H43" s="51">
        <v>0</v>
      </c>
      <c r="I43" s="59" t="s">
        <v>202</v>
      </c>
      <c r="J43" s="57">
        <v>2</v>
      </c>
      <c r="K43" s="57">
        <v>6</v>
      </c>
      <c r="L43" s="57"/>
      <c r="M43" s="50"/>
      <c r="N43" s="49" t="str">
        <f t="shared" si="20"/>
        <v/>
      </c>
      <c r="O43" s="50">
        <f t="shared" si="4"/>
        <v>1</v>
      </c>
      <c r="P43" s="50" t="str">
        <f t="shared" si="21"/>
        <v/>
      </c>
      <c r="Q43" s="51" t="str">
        <f t="shared" si="22"/>
        <v/>
      </c>
      <c r="R43" s="59">
        <v>7</v>
      </c>
      <c r="S43" s="50">
        <v>2</v>
      </c>
      <c r="T43" s="50">
        <v>2</v>
      </c>
      <c r="U43" s="57">
        <v>0</v>
      </c>
      <c r="V43" s="57">
        <v>41</v>
      </c>
      <c r="W43" s="59">
        <f t="shared" si="23"/>
        <v>0</v>
      </c>
      <c r="X43" s="49"/>
      <c r="Y43" s="50"/>
      <c r="Z43" s="50"/>
      <c r="AA43" s="50"/>
      <c r="AB43" s="50"/>
      <c r="AC43" s="51" t="str">
        <f t="shared" si="3"/>
        <v/>
      </c>
      <c r="AD43" s="59"/>
      <c r="AE43" s="50"/>
      <c r="AF43" s="50"/>
      <c r="AG43" s="50"/>
      <c r="AH43" s="50"/>
      <c r="AI43" s="99" t="str">
        <f t="shared" si="24"/>
        <v/>
      </c>
    </row>
    <row r="44" spans="1:35" x14ac:dyDescent="0.15">
      <c r="A44" s="82">
        <f>'Match Summary'!$B$6</f>
        <v>42134</v>
      </c>
      <c r="B44" s="64" t="str">
        <f>'Match Summary'!$C$6</f>
        <v>Bures</v>
      </c>
      <c r="C44" s="59">
        <v>7</v>
      </c>
      <c r="D44" s="61" t="s">
        <v>117</v>
      </c>
      <c r="E44" s="49"/>
      <c r="F44" s="50"/>
      <c r="G44" s="106" t="s">
        <v>199</v>
      </c>
      <c r="H44" s="51">
        <v>1</v>
      </c>
      <c r="I44" s="59" t="s">
        <v>201</v>
      </c>
      <c r="J44" s="57">
        <v>16</v>
      </c>
      <c r="K44" s="57">
        <v>10</v>
      </c>
      <c r="L44" s="57"/>
      <c r="M44" s="57"/>
      <c r="N44" s="49" t="str">
        <f t="shared" si="20"/>
        <v/>
      </c>
      <c r="O44" s="50" t="str">
        <f t="shared" si="4"/>
        <v/>
      </c>
      <c r="P44" s="50" t="str">
        <f t="shared" si="21"/>
        <v/>
      </c>
      <c r="Q44" s="51" t="str">
        <f t="shared" si="22"/>
        <v/>
      </c>
      <c r="R44" s="59"/>
      <c r="S44" s="50"/>
      <c r="T44" s="50"/>
      <c r="U44" s="57"/>
      <c r="V44" s="57"/>
      <c r="W44" s="59" t="str">
        <f t="shared" si="23"/>
        <v/>
      </c>
      <c r="X44" s="49"/>
      <c r="Y44" s="50"/>
      <c r="Z44" s="57"/>
      <c r="AA44" s="50"/>
      <c r="AB44" s="50"/>
      <c r="AC44" s="51" t="str">
        <f>IF(AND(ISNUMBER(W44),W44&gt;=5),1,"")</f>
        <v/>
      </c>
      <c r="AD44" s="59"/>
      <c r="AE44" s="50"/>
      <c r="AF44" s="50">
        <v>1</v>
      </c>
      <c r="AG44" s="50"/>
      <c r="AH44" s="50"/>
      <c r="AI44" s="99">
        <f t="shared" si="24"/>
        <v>1</v>
      </c>
    </row>
    <row r="45" spans="1:35" x14ac:dyDescent="0.15">
      <c r="A45" s="82">
        <f>'Match Summary'!$B$6</f>
        <v>42134</v>
      </c>
      <c r="B45" s="64" t="str">
        <f>'Match Summary'!$C$6</f>
        <v>Bures</v>
      </c>
      <c r="C45" s="59">
        <v>8</v>
      </c>
      <c r="D45" s="60" t="s">
        <v>103</v>
      </c>
      <c r="E45" s="49"/>
      <c r="F45" s="50"/>
      <c r="G45" s="106" t="s">
        <v>199</v>
      </c>
      <c r="H45" s="51">
        <v>0</v>
      </c>
      <c r="I45" s="59" t="s">
        <v>201</v>
      </c>
      <c r="J45" s="57">
        <v>2</v>
      </c>
      <c r="K45" s="57">
        <v>5</v>
      </c>
      <c r="L45" s="50"/>
      <c r="M45" s="50"/>
      <c r="N45" s="49" t="str">
        <f t="shared" si="20"/>
        <v/>
      </c>
      <c r="O45" s="50">
        <f t="shared" si="4"/>
        <v>1</v>
      </c>
      <c r="P45" s="50" t="str">
        <f t="shared" si="21"/>
        <v/>
      </c>
      <c r="Q45" s="51" t="str">
        <f t="shared" si="22"/>
        <v/>
      </c>
      <c r="R45" s="59"/>
      <c r="S45" s="50"/>
      <c r="T45" s="50"/>
      <c r="U45" s="57"/>
      <c r="V45" s="57"/>
      <c r="W45" s="59" t="str">
        <f t="shared" si="23"/>
        <v/>
      </c>
      <c r="X45" s="49"/>
      <c r="Y45" s="50"/>
      <c r="Z45" s="57"/>
      <c r="AA45" s="50"/>
      <c r="AB45" s="50"/>
      <c r="AC45" s="51" t="str">
        <f t="shared" si="3"/>
        <v/>
      </c>
      <c r="AD45" s="59"/>
      <c r="AE45" s="50"/>
      <c r="AF45" s="50"/>
      <c r="AG45" s="50"/>
      <c r="AH45" s="50"/>
      <c r="AI45" s="99" t="str">
        <f t="shared" si="24"/>
        <v/>
      </c>
    </row>
    <row r="46" spans="1:35" x14ac:dyDescent="0.15">
      <c r="A46" s="82">
        <f>'Match Summary'!$B$6</f>
        <v>42134</v>
      </c>
      <c r="B46" s="64" t="str">
        <f>'Match Summary'!$C$6</f>
        <v>Bures</v>
      </c>
      <c r="C46" s="59">
        <v>9</v>
      </c>
      <c r="D46" s="60" t="s">
        <v>50</v>
      </c>
      <c r="E46" s="49"/>
      <c r="F46" s="50"/>
      <c r="G46" s="106" t="s">
        <v>199</v>
      </c>
      <c r="H46" s="51">
        <v>9</v>
      </c>
      <c r="I46" s="59" t="s">
        <v>203</v>
      </c>
      <c r="J46" s="57">
        <v>15</v>
      </c>
      <c r="K46" s="57">
        <v>10</v>
      </c>
      <c r="L46" s="50"/>
      <c r="M46" s="50"/>
      <c r="N46" s="49">
        <f t="shared" si="20"/>
        <v>1</v>
      </c>
      <c r="O46" s="50" t="str">
        <f t="shared" si="4"/>
        <v/>
      </c>
      <c r="P46" s="50" t="str">
        <f t="shared" si="21"/>
        <v/>
      </c>
      <c r="Q46" s="51" t="str">
        <f t="shared" si="22"/>
        <v/>
      </c>
      <c r="R46" s="59">
        <v>2</v>
      </c>
      <c r="S46" s="57">
        <v>0</v>
      </c>
      <c r="T46" s="57">
        <v>1</v>
      </c>
      <c r="U46" s="57">
        <v>0</v>
      </c>
      <c r="V46" s="57">
        <v>15</v>
      </c>
      <c r="W46" s="59">
        <f t="shared" si="23"/>
        <v>1</v>
      </c>
      <c r="X46" s="49"/>
      <c r="Y46" s="50"/>
      <c r="Z46" s="50">
        <v>1</v>
      </c>
      <c r="AA46" s="50"/>
      <c r="AB46" s="50"/>
      <c r="AC46" s="51" t="str">
        <f t="shared" si="3"/>
        <v/>
      </c>
      <c r="AD46" s="59"/>
      <c r="AE46" s="50"/>
      <c r="AF46" s="50"/>
      <c r="AG46" s="50"/>
      <c r="AH46" s="50"/>
      <c r="AI46" s="99" t="str">
        <f t="shared" si="24"/>
        <v/>
      </c>
    </row>
    <row r="47" spans="1:35" x14ac:dyDescent="0.15">
      <c r="A47" s="82">
        <f>'Match Summary'!$B$6</f>
        <v>42134</v>
      </c>
      <c r="B47" s="64" t="str">
        <f>'Match Summary'!$C$6</f>
        <v>Bures</v>
      </c>
      <c r="C47" s="59">
        <v>10</v>
      </c>
      <c r="D47" s="60" t="s">
        <v>44</v>
      </c>
      <c r="E47" s="49"/>
      <c r="F47" s="50"/>
      <c r="G47" s="106" t="s">
        <v>199</v>
      </c>
      <c r="H47" s="51">
        <v>0</v>
      </c>
      <c r="I47" s="59" t="s">
        <v>203</v>
      </c>
      <c r="J47" s="57">
        <v>0</v>
      </c>
      <c r="K47" s="57">
        <v>3</v>
      </c>
      <c r="L47" s="50"/>
      <c r="M47" s="50"/>
      <c r="N47" s="49">
        <f t="shared" si="20"/>
        <v>1</v>
      </c>
      <c r="O47" s="50" t="str">
        <f t="shared" si="4"/>
        <v/>
      </c>
      <c r="P47" s="50" t="str">
        <f t="shared" si="21"/>
        <v/>
      </c>
      <c r="Q47" s="51" t="str">
        <f t="shared" si="22"/>
        <v/>
      </c>
      <c r="R47" s="59">
        <v>10</v>
      </c>
      <c r="S47" s="50">
        <v>1</v>
      </c>
      <c r="T47" s="50">
        <v>0</v>
      </c>
      <c r="U47" s="57">
        <v>0</v>
      </c>
      <c r="V47" s="57">
        <v>48</v>
      </c>
      <c r="W47" s="59">
        <f t="shared" si="23"/>
        <v>1</v>
      </c>
      <c r="X47" s="49"/>
      <c r="Y47" s="50"/>
      <c r="Z47" s="50">
        <v>1</v>
      </c>
      <c r="AA47" s="50"/>
      <c r="AB47" s="50"/>
      <c r="AC47" s="51" t="str">
        <f t="shared" si="3"/>
        <v/>
      </c>
      <c r="AD47" s="59"/>
      <c r="AE47" s="50"/>
      <c r="AF47" s="50"/>
      <c r="AG47" s="50"/>
      <c r="AH47" s="50"/>
      <c r="AI47" s="99" t="str">
        <f t="shared" si="24"/>
        <v/>
      </c>
    </row>
    <row r="48" spans="1:35" x14ac:dyDescent="0.15">
      <c r="A48" s="82">
        <f>'Match Summary'!$B$6</f>
        <v>42134</v>
      </c>
      <c r="B48" s="64" t="str">
        <f>'Match Summary'!$C$6</f>
        <v>Bures</v>
      </c>
      <c r="C48" s="56">
        <v>11</v>
      </c>
      <c r="D48" s="65" t="s">
        <v>49</v>
      </c>
      <c r="E48" s="52"/>
      <c r="F48" s="54" t="s">
        <v>195</v>
      </c>
      <c r="G48" s="114" t="s">
        <v>200</v>
      </c>
      <c r="H48" s="56"/>
      <c r="I48" s="56" t="s">
        <v>204</v>
      </c>
      <c r="J48" s="53"/>
      <c r="K48" s="53"/>
      <c r="L48" s="53"/>
      <c r="M48" s="53"/>
      <c r="N48" s="52" t="str">
        <f t="shared" si="20"/>
        <v/>
      </c>
      <c r="O48" s="53" t="str">
        <f t="shared" si="4"/>
        <v/>
      </c>
      <c r="P48" s="53" t="str">
        <f t="shared" si="21"/>
        <v/>
      </c>
      <c r="Q48" s="54" t="str">
        <f t="shared" si="22"/>
        <v/>
      </c>
      <c r="R48" s="56"/>
      <c r="S48" s="53"/>
      <c r="T48" s="53"/>
      <c r="U48" s="53"/>
      <c r="V48" s="53"/>
      <c r="W48" s="56" t="str">
        <f t="shared" si="23"/>
        <v/>
      </c>
      <c r="X48" s="52"/>
      <c r="Y48" s="53"/>
      <c r="Z48" s="53"/>
      <c r="AA48" s="53"/>
      <c r="AB48" s="53"/>
      <c r="AC48" s="54" t="str">
        <f t="shared" si="3"/>
        <v/>
      </c>
      <c r="AD48" s="56"/>
      <c r="AE48" s="53"/>
      <c r="AF48" s="53"/>
      <c r="AG48" s="53"/>
      <c r="AH48" s="53">
        <v>1</v>
      </c>
      <c r="AI48" s="100">
        <f t="shared" si="24"/>
        <v>1</v>
      </c>
    </row>
    <row r="49" spans="1:35" ht="15" thickBot="1" x14ac:dyDescent="0.2">
      <c r="A49" s="83">
        <f>'Match Summary'!$B$6</f>
        <v>42134</v>
      </c>
      <c r="B49" s="84" t="str">
        <f>'Match Summary'!$C$6</f>
        <v>Bures</v>
      </c>
      <c r="C49" s="86"/>
      <c r="D49" s="85" t="s">
        <v>174</v>
      </c>
      <c r="E49" s="89"/>
      <c r="F49" s="90"/>
      <c r="G49" s="113"/>
      <c r="H49" s="86">
        <v>13</v>
      </c>
      <c r="I49" s="85"/>
      <c r="J49" s="89"/>
      <c r="K49" s="90"/>
      <c r="L49" s="90"/>
      <c r="M49" s="91"/>
      <c r="N49" s="89" t="str">
        <f t="shared" si="20"/>
        <v/>
      </c>
      <c r="O49" s="90" t="str">
        <f t="shared" si="4"/>
        <v/>
      </c>
      <c r="P49" s="102" t="str">
        <f t="shared" si="21"/>
        <v/>
      </c>
      <c r="Q49" s="103" t="str">
        <f t="shared" si="22"/>
        <v/>
      </c>
      <c r="R49" s="86">
        <f>SUBTOTAL(9,R38:R48)</f>
        <v>38</v>
      </c>
      <c r="S49" s="91">
        <f t="shared" ref="S49" si="25">SUBTOTAL(9,S38:S48)</f>
        <v>4</v>
      </c>
      <c r="T49" s="86">
        <f>SUBTOTAL(9,T38:T48)</f>
        <v>15</v>
      </c>
      <c r="U49" s="86">
        <f>SUBTOTAL(9,U38:U48)</f>
        <v>0</v>
      </c>
      <c r="V49" s="86">
        <f>SUBTOTAL(9,V38:V48)</f>
        <v>216</v>
      </c>
      <c r="W49" s="86">
        <f>SUBTOTAL(9,W38:W48)</f>
        <v>6</v>
      </c>
      <c r="X49" s="85"/>
      <c r="Y49" s="85"/>
      <c r="Z49" s="85"/>
      <c r="AA49" s="85"/>
      <c r="AB49" s="85"/>
      <c r="AC49" s="85" t="s">
        <v>259</v>
      </c>
      <c r="AD49" s="86">
        <v>4</v>
      </c>
      <c r="AE49" s="90"/>
      <c r="AF49" s="90"/>
      <c r="AG49" s="90"/>
      <c r="AH49" s="90"/>
      <c r="AI49" s="101"/>
    </row>
    <row r="50" spans="1:35" x14ac:dyDescent="0.15">
      <c r="A50" s="75">
        <f>'Match Summary'!$B$7</f>
        <v>42141</v>
      </c>
      <c r="B50" s="76" t="str">
        <f>'Match Summary'!$C$7</f>
        <v>Hatfield_Heath</v>
      </c>
      <c r="C50" s="77">
        <v>1</v>
      </c>
      <c r="D50" s="78" t="s">
        <v>40</v>
      </c>
      <c r="E50" s="79"/>
      <c r="F50" s="80"/>
      <c r="G50" s="105" t="s">
        <v>199</v>
      </c>
      <c r="H50" s="77">
        <v>9</v>
      </c>
      <c r="I50" s="77" t="s">
        <v>202</v>
      </c>
      <c r="J50" s="81">
        <v>25</v>
      </c>
      <c r="K50" s="81">
        <v>21</v>
      </c>
      <c r="L50" s="81">
        <v>2</v>
      </c>
      <c r="M50" s="81"/>
      <c r="N50" s="79" t="str">
        <f t="shared" ref="N50:N58" si="26">IF(I50="NO",1,"")</f>
        <v/>
      </c>
      <c r="O50" s="81" t="str">
        <f t="shared" si="4"/>
        <v/>
      </c>
      <c r="P50" s="81" t="str">
        <f t="shared" ref="P50:P58" si="27">IF(AND(H50&gt;=50,H50&lt;100),1,"")</f>
        <v/>
      </c>
      <c r="Q50" s="80" t="str">
        <f t="shared" ref="Q50:Q58" si="28">IF(H50&gt;=100,1,"")</f>
        <v/>
      </c>
      <c r="R50" s="77">
        <v>8</v>
      </c>
      <c r="S50" s="81">
        <v>1</v>
      </c>
      <c r="T50" s="81">
        <v>3</v>
      </c>
      <c r="U50" s="81">
        <v>0</v>
      </c>
      <c r="V50" s="81">
        <v>50</v>
      </c>
      <c r="W50" s="77">
        <f>IF(R50="","",SUM(X50:AB50))</f>
        <v>1</v>
      </c>
      <c r="X50" s="79">
        <v>1</v>
      </c>
      <c r="Y50" s="81"/>
      <c r="Z50" s="81"/>
      <c r="AA50" s="81"/>
      <c r="AB50" s="81"/>
      <c r="AC50" s="80" t="str">
        <f t="shared" si="3"/>
        <v/>
      </c>
      <c r="AD50" s="77"/>
      <c r="AE50" s="81"/>
      <c r="AF50" s="81"/>
      <c r="AG50" s="81"/>
      <c r="AH50" s="81"/>
      <c r="AI50" s="98" t="str">
        <f>IF(SUM(AE50:AH50)=0,"",SUM(AE50:AH50))</f>
        <v/>
      </c>
    </row>
    <row r="51" spans="1:35" x14ac:dyDescent="0.15">
      <c r="A51" s="82">
        <f>'Match Summary'!$B$7</f>
        <v>42141</v>
      </c>
      <c r="B51" s="64" t="str">
        <f>'Match Summary'!$C$7</f>
        <v>Hatfield_Heath</v>
      </c>
      <c r="C51" s="59">
        <v>2</v>
      </c>
      <c r="D51" s="61" t="s">
        <v>47</v>
      </c>
      <c r="E51" s="49" t="s">
        <v>195</v>
      </c>
      <c r="F51" s="51"/>
      <c r="G51" s="106" t="s">
        <v>199</v>
      </c>
      <c r="H51" s="59">
        <v>1</v>
      </c>
      <c r="I51" s="59" t="s">
        <v>201</v>
      </c>
      <c r="J51" s="57">
        <v>6</v>
      </c>
      <c r="K51" s="57">
        <v>10</v>
      </c>
      <c r="L51" s="50"/>
      <c r="M51" s="50"/>
      <c r="N51" s="49" t="str">
        <f t="shared" si="26"/>
        <v/>
      </c>
      <c r="O51" s="50" t="str">
        <f t="shared" si="4"/>
        <v/>
      </c>
      <c r="P51" s="50" t="str">
        <f t="shared" si="27"/>
        <v/>
      </c>
      <c r="Q51" s="51" t="str">
        <f t="shared" si="28"/>
        <v/>
      </c>
      <c r="R51" s="59">
        <v>8</v>
      </c>
      <c r="S51" s="50">
        <v>2</v>
      </c>
      <c r="T51" s="50">
        <v>0</v>
      </c>
      <c r="U51" s="57">
        <v>0</v>
      </c>
      <c r="V51" s="57">
        <v>56</v>
      </c>
      <c r="W51" s="59">
        <f t="shared" ref="W51:W60" si="29">IF(R51="","",SUM(X51:AB51))</f>
        <v>1</v>
      </c>
      <c r="X51" s="49"/>
      <c r="Y51" s="50"/>
      <c r="Z51" s="50">
        <v>1</v>
      </c>
      <c r="AA51" s="50"/>
      <c r="AB51" s="50"/>
      <c r="AC51" s="51" t="str">
        <f t="shared" si="3"/>
        <v/>
      </c>
      <c r="AD51" s="59"/>
      <c r="AE51" s="50"/>
      <c r="AF51" s="50"/>
      <c r="AG51" s="50"/>
      <c r="AH51" s="50"/>
      <c r="AI51" s="99" t="str">
        <f t="shared" ref="AI51:AI60" si="30">IF(SUM(AE51:AH51)=0,"",SUM(AE51:AH51))</f>
        <v/>
      </c>
    </row>
    <row r="52" spans="1:35" x14ac:dyDescent="0.15">
      <c r="A52" s="82">
        <f>'Match Summary'!$B$7</f>
        <v>42141</v>
      </c>
      <c r="B52" s="64" t="str">
        <f>'Match Summary'!$C$7</f>
        <v>Hatfield_Heath</v>
      </c>
      <c r="C52" s="59">
        <v>3</v>
      </c>
      <c r="D52" s="61" t="s">
        <v>111</v>
      </c>
      <c r="E52" s="49"/>
      <c r="F52" s="51"/>
      <c r="G52" s="106" t="s">
        <v>199</v>
      </c>
      <c r="H52" s="59">
        <v>19</v>
      </c>
      <c r="I52" s="59" t="s">
        <v>201</v>
      </c>
      <c r="J52" s="57">
        <v>23</v>
      </c>
      <c r="K52" s="57">
        <v>25</v>
      </c>
      <c r="L52" s="57">
        <v>2</v>
      </c>
      <c r="M52" s="50"/>
      <c r="N52" s="49" t="str">
        <f t="shared" si="26"/>
        <v/>
      </c>
      <c r="O52" s="50" t="str">
        <f t="shared" si="4"/>
        <v/>
      </c>
      <c r="P52" s="50" t="str">
        <f t="shared" si="27"/>
        <v/>
      </c>
      <c r="Q52" s="51" t="str">
        <f t="shared" si="28"/>
        <v/>
      </c>
      <c r="R52" s="59"/>
      <c r="S52" s="50"/>
      <c r="T52" s="50"/>
      <c r="U52" s="57"/>
      <c r="V52" s="57"/>
      <c r="W52" s="59" t="str">
        <f t="shared" si="29"/>
        <v/>
      </c>
      <c r="X52" s="49"/>
      <c r="Y52" s="50"/>
      <c r="Z52" s="57"/>
      <c r="AA52" s="50"/>
      <c r="AB52" s="50"/>
      <c r="AC52" s="51" t="str">
        <f t="shared" si="3"/>
        <v/>
      </c>
      <c r="AD52" s="59"/>
      <c r="AE52" s="50"/>
      <c r="AF52" s="50"/>
      <c r="AG52" s="50"/>
      <c r="AH52" s="50"/>
      <c r="AI52" s="99" t="str">
        <f t="shared" si="30"/>
        <v/>
      </c>
    </row>
    <row r="53" spans="1:35" x14ac:dyDescent="0.15">
      <c r="A53" s="82">
        <f>'Match Summary'!$B$7</f>
        <v>42141</v>
      </c>
      <c r="B53" s="64" t="str">
        <f>'Match Summary'!$C$7</f>
        <v>Hatfield_Heath</v>
      </c>
      <c r="C53" s="59">
        <v>4</v>
      </c>
      <c r="D53" s="61" t="s">
        <v>186</v>
      </c>
      <c r="E53" s="49"/>
      <c r="F53" s="51"/>
      <c r="G53" s="106" t="s">
        <v>199</v>
      </c>
      <c r="H53" s="59">
        <v>105</v>
      </c>
      <c r="I53" s="59" t="s">
        <v>202</v>
      </c>
      <c r="J53" s="57">
        <v>93</v>
      </c>
      <c r="K53" s="57">
        <v>106</v>
      </c>
      <c r="L53" s="57">
        <v>10</v>
      </c>
      <c r="M53" s="57">
        <v>1</v>
      </c>
      <c r="N53" s="49" t="str">
        <f t="shared" si="26"/>
        <v/>
      </c>
      <c r="O53" s="50" t="str">
        <f t="shared" si="4"/>
        <v/>
      </c>
      <c r="P53" s="50" t="str">
        <f t="shared" si="27"/>
        <v/>
      </c>
      <c r="Q53" s="51">
        <f t="shared" si="28"/>
        <v>1</v>
      </c>
      <c r="R53" s="59">
        <v>4</v>
      </c>
      <c r="S53" s="50">
        <v>1</v>
      </c>
      <c r="T53" s="50">
        <v>0</v>
      </c>
      <c r="U53" s="57">
        <v>0</v>
      </c>
      <c r="V53" s="57">
        <v>30</v>
      </c>
      <c r="W53" s="59">
        <f t="shared" si="29"/>
        <v>2</v>
      </c>
      <c r="X53" s="49">
        <v>1</v>
      </c>
      <c r="Y53" s="50"/>
      <c r="Z53" s="57">
        <v>1</v>
      </c>
      <c r="AA53" s="50"/>
      <c r="AB53" s="50"/>
      <c r="AC53" s="51" t="str">
        <f t="shared" si="3"/>
        <v/>
      </c>
      <c r="AD53" s="59"/>
      <c r="AE53" s="50">
        <v>2</v>
      </c>
      <c r="AF53" s="50">
        <v>1</v>
      </c>
      <c r="AG53" s="50"/>
      <c r="AH53" s="50"/>
      <c r="AI53" s="99">
        <f t="shared" si="30"/>
        <v>3</v>
      </c>
    </row>
    <row r="54" spans="1:35" x14ac:dyDescent="0.15">
      <c r="A54" s="82">
        <f>'Match Summary'!$B$7</f>
        <v>42141</v>
      </c>
      <c r="B54" s="64" t="str">
        <f>'Match Summary'!$C$7</f>
        <v>Hatfield_Heath</v>
      </c>
      <c r="C54" s="59">
        <v>5</v>
      </c>
      <c r="D54" s="60" t="s">
        <v>223</v>
      </c>
      <c r="E54" s="49"/>
      <c r="F54" s="51"/>
      <c r="G54" s="106" t="s">
        <v>199</v>
      </c>
      <c r="H54" s="59">
        <v>13</v>
      </c>
      <c r="I54" s="59" t="s">
        <v>202</v>
      </c>
      <c r="J54" s="57">
        <v>17</v>
      </c>
      <c r="K54" s="57">
        <v>23</v>
      </c>
      <c r="L54" s="57"/>
      <c r="M54" s="57">
        <v>1</v>
      </c>
      <c r="N54" s="49" t="str">
        <f t="shared" si="26"/>
        <v/>
      </c>
      <c r="O54" s="50" t="str">
        <f t="shared" si="4"/>
        <v/>
      </c>
      <c r="P54" s="50" t="str">
        <f t="shared" si="27"/>
        <v/>
      </c>
      <c r="Q54" s="51" t="str">
        <f t="shared" si="28"/>
        <v/>
      </c>
      <c r="R54" s="59"/>
      <c r="S54" s="50"/>
      <c r="T54" s="50"/>
      <c r="U54" s="57"/>
      <c r="V54" s="57"/>
      <c r="W54" s="59" t="str">
        <f t="shared" si="29"/>
        <v/>
      </c>
      <c r="X54" s="49"/>
      <c r="Y54" s="50"/>
      <c r="Z54" s="57"/>
      <c r="AA54" s="50"/>
      <c r="AB54" s="50"/>
      <c r="AC54" s="51" t="str">
        <f t="shared" si="3"/>
        <v/>
      </c>
      <c r="AD54" s="59"/>
      <c r="AE54" s="50"/>
      <c r="AF54" s="50"/>
      <c r="AG54" s="50"/>
      <c r="AH54" s="50"/>
      <c r="AI54" s="99" t="str">
        <f t="shared" si="30"/>
        <v/>
      </c>
    </row>
    <row r="55" spans="1:35" x14ac:dyDescent="0.15">
      <c r="A55" s="82">
        <f>'Match Summary'!$B$7</f>
        <v>42141</v>
      </c>
      <c r="B55" s="64" t="str">
        <f>'Match Summary'!$C$7</f>
        <v>Hatfield_Heath</v>
      </c>
      <c r="C55" s="59">
        <v>6</v>
      </c>
      <c r="D55" s="61" t="s">
        <v>156</v>
      </c>
      <c r="E55" s="49"/>
      <c r="F55" s="51"/>
      <c r="G55" s="106" t="s">
        <v>199</v>
      </c>
      <c r="H55" s="59">
        <v>7</v>
      </c>
      <c r="I55" s="59" t="s">
        <v>202</v>
      </c>
      <c r="J55" s="57">
        <v>14</v>
      </c>
      <c r="K55" s="57">
        <v>18</v>
      </c>
      <c r="L55" s="57">
        <v>1</v>
      </c>
      <c r="M55" s="50"/>
      <c r="N55" s="49" t="str">
        <f t="shared" si="26"/>
        <v/>
      </c>
      <c r="O55" s="50" t="str">
        <f t="shared" si="4"/>
        <v/>
      </c>
      <c r="P55" s="50" t="str">
        <f t="shared" si="27"/>
        <v/>
      </c>
      <c r="Q55" s="51" t="str">
        <f t="shared" si="28"/>
        <v/>
      </c>
      <c r="R55" s="59"/>
      <c r="S55" s="50"/>
      <c r="T55" s="50"/>
      <c r="U55" s="50"/>
      <c r="V55" s="50"/>
      <c r="W55" s="59" t="str">
        <f t="shared" si="29"/>
        <v/>
      </c>
      <c r="X55" s="49"/>
      <c r="Y55" s="50"/>
      <c r="Z55" s="50"/>
      <c r="AA55" s="50"/>
      <c r="AB55" s="50"/>
      <c r="AC55" s="51" t="str">
        <f t="shared" si="3"/>
        <v/>
      </c>
      <c r="AD55" s="59"/>
      <c r="AE55" s="50"/>
      <c r="AF55" s="50"/>
      <c r="AG55" s="50"/>
      <c r="AH55" s="50"/>
      <c r="AI55" s="99" t="str">
        <f t="shared" si="30"/>
        <v/>
      </c>
    </row>
    <row r="56" spans="1:35" x14ac:dyDescent="0.15">
      <c r="A56" s="82">
        <f>'Match Summary'!$B$7</f>
        <v>42141</v>
      </c>
      <c r="B56" s="64" t="str">
        <f>'Match Summary'!$C$7</f>
        <v>Hatfield_Heath</v>
      </c>
      <c r="C56" s="59">
        <v>7</v>
      </c>
      <c r="D56" s="60" t="s">
        <v>41</v>
      </c>
      <c r="E56" s="49"/>
      <c r="F56" s="51"/>
      <c r="G56" s="106" t="s">
        <v>199</v>
      </c>
      <c r="H56" s="59">
        <v>37</v>
      </c>
      <c r="I56" s="59" t="s">
        <v>202</v>
      </c>
      <c r="J56" s="57">
        <v>39</v>
      </c>
      <c r="K56" s="57">
        <v>47</v>
      </c>
      <c r="L56" s="57">
        <v>5</v>
      </c>
      <c r="M56" s="57"/>
      <c r="N56" s="49" t="str">
        <f t="shared" si="26"/>
        <v/>
      </c>
      <c r="O56" s="50" t="str">
        <f t="shared" si="4"/>
        <v/>
      </c>
      <c r="P56" s="50" t="str">
        <f t="shared" si="27"/>
        <v/>
      </c>
      <c r="Q56" s="51" t="str">
        <f t="shared" si="28"/>
        <v/>
      </c>
      <c r="R56" s="59">
        <v>8</v>
      </c>
      <c r="S56" s="50">
        <v>1</v>
      </c>
      <c r="T56" s="50">
        <v>0</v>
      </c>
      <c r="U56" s="57">
        <v>0</v>
      </c>
      <c r="V56" s="57">
        <v>41</v>
      </c>
      <c r="W56" s="59">
        <f t="shared" si="29"/>
        <v>1</v>
      </c>
      <c r="X56" s="49"/>
      <c r="Y56" s="50"/>
      <c r="Z56" s="57">
        <v>1</v>
      </c>
      <c r="AA56" s="50"/>
      <c r="AB56" s="50"/>
      <c r="AC56" s="51" t="str">
        <f>IF(AND(ISNUMBER(W56),W56&gt;=5),1,"")</f>
        <v/>
      </c>
      <c r="AD56" s="59"/>
      <c r="AE56" s="50"/>
      <c r="AF56" s="50"/>
      <c r="AG56" s="50"/>
      <c r="AH56" s="50"/>
      <c r="AI56" s="99" t="str">
        <f t="shared" si="30"/>
        <v/>
      </c>
    </row>
    <row r="57" spans="1:35" x14ac:dyDescent="0.15">
      <c r="A57" s="82">
        <f>'Match Summary'!$B$7</f>
        <v>42141</v>
      </c>
      <c r="B57" s="64" t="str">
        <f>'Match Summary'!$C$7</f>
        <v>Hatfield_Heath</v>
      </c>
      <c r="C57" s="59">
        <v>8</v>
      </c>
      <c r="D57" s="60" t="s">
        <v>128</v>
      </c>
      <c r="E57" s="49"/>
      <c r="F57" s="51"/>
      <c r="G57" s="106" t="s">
        <v>199</v>
      </c>
      <c r="H57" s="59">
        <v>1</v>
      </c>
      <c r="I57" s="59" t="s">
        <v>201</v>
      </c>
      <c r="J57" s="57">
        <v>3</v>
      </c>
      <c r="K57" s="57">
        <v>4</v>
      </c>
      <c r="L57" s="50"/>
      <c r="M57" s="50"/>
      <c r="N57" s="49" t="str">
        <f t="shared" si="26"/>
        <v/>
      </c>
      <c r="O57" s="50" t="str">
        <f t="shared" si="4"/>
        <v/>
      </c>
      <c r="P57" s="50" t="str">
        <f t="shared" si="27"/>
        <v/>
      </c>
      <c r="Q57" s="51" t="str">
        <f t="shared" si="28"/>
        <v/>
      </c>
      <c r="R57" s="59">
        <v>4</v>
      </c>
      <c r="S57" s="50">
        <v>0</v>
      </c>
      <c r="T57" s="50">
        <v>5</v>
      </c>
      <c r="U57" s="57">
        <v>0</v>
      </c>
      <c r="V57" s="57">
        <v>31</v>
      </c>
      <c r="W57" s="59">
        <f t="shared" si="29"/>
        <v>1</v>
      </c>
      <c r="X57" s="49">
        <v>1</v>
      </c>
      <c r="Y57" s="50"/>
      <c r="Z57" s="57"/>
      <c r="AA57" s="50"/>
      <c r="AB57" s="50"/>
      <c r="AC57" s="51" t="str">
        <f t="shared" si="3"/>
        <v/>
      </c>
      <c r="AD57" s="59"/>
      <c r="AE57" s="50"/>
      <c r="AF57" s="50"/>
      <c r="AG57" s="50"/>
      <c r="AH57" s="50"/>
      <c r="AI57" s="99" t="str">
        <f t="shared" si="30"/>
        <v/>
      </c>
    </row>
    <row r="58" spans="1:35" x14ac:dyDescent="0.15">
      <c r="A58" s="82">
        <f>'Match Summary'!$B$7</f>
        <v>42141</v>
      </c>
      <c r="B58" s="64" t="str">
        <f>'Match Summary'!$C$7</f>
        <v>Hatfield_Heath</v>
      </c>
      <c r="C58" s="59">
        <v>9</v>
      </c>
      <c r="D58" s="61" t="s">
        <v>44</v>
      </c>
      <c r="E58" s="49"/>
      <c r="F58" s="51"/>
      <c r="G58" s="106" t="s">
        <v>199</v>
      </c>
      <c r="H58" s="59">
        <v>0</v>
      </c>
      <c r="I58" s="59" t="s">
        <v>201</v>
      </c>
      <c r="J58" s="57">
        <v>1</v>
      </c>
      <c r="K58" s="57">
        <v>4</v>
      </c>
      <c r="L58" s="50"/>
      <c r="M58" s="50"/>
      <c r="N58" s="49" t="str">
        <f t="shared" si="26"/>
        <v/>
      </c>
      <c r="O58" s="50">
        <f t="shared" si="4"/>
        <v>1</v>
      </c>
      <c r="P58" s="50" t="str">
        <f t="shared" si="27"/>
        <v/>
      </c>
      <c r="Q58" s="51" t="str">
        <f t="shared" si="28"/>
        <v/>
      </c>
      <c r="R58" s="59">
        <v>8</v>
      </c>
      <c r="S58" s="57">
        <v>1</v>
      </c>
      <c r="T58" s="57">
        <v>0</v>
      </c>
      <c r="U58" s="57">
        <v>0</v>
      </c>
      <c r="V58" s="57">
        <v>30</v>
      </c>
      <c r="W58" s="59">
        <f t="shared" si="29"/>
        <v>0</v>
      </c>
      <c r="X58" s="49"/>
      <c r="Y58" s="50"/>
      <c r="Z58" s="50"/>
      <c r="AA58" s="50"/>
      <c r="AB58" s="50"/>
      <c r="AC58" s="51" t="str">
        <f t="shared" si="3"/>
        <v/>
      </c>
      <c r="AD58" s="59"/>
      <c r="AE58" s="50"/>
      <c r="AF58" s="50"/>
      <c r="AG58" s="50"/>
      <c r="AH58" s="50"/>
      <c r="AI58" s="99" t="str">
        <f t="shared" si="30"/>
        <v/>
      </c>
    </row>
    <row r="59" spans="1:35" x14ac:dyDescent="0.15">
      <c r="A59" s="82">
        <f>'Match Summary'!$B$7</f>
        <v>42141</v>
      </c>
      <c r="B59" s="64" t="str">
        <f>'Match Summary'!$C$7</f>
        <v>Hatfield_Heath</v>
      </c>
      <c r="C59" s="59">
        <v>10</v>
      </c>
      <c r="D59" s="61" t="s">
        <v>49</v>
      </c>
      <c r="E59" s="49"/>
      <c r="F59" s="51" t="s">
        <v>195</v>
      </c>
      <c r="G59" s="106" t="s">
        <v>199</v>
      </c>
      <c r="H59" s="59">
        <v>1</v>
      </c>
      <c r="I59" s="59" t="s">
        <v>203</v>
      </c>
      <c r="J59" s="57">
        <v>7</v>
      </c>
      <c r="K59" s="57">
        <v>7</v>
      </c>
      <c r="L59" s="50"/>
      <c r="M59" s="50"/>
      <c r="N59" s="49">
        <f t="shared" ref="N59:N169" si="31">IF(I59="NO",1,"")</f>
        <v>1</v>
      </c>
      <c r="O59" s="50" t="str">
        <f t="shared" si="4"/>
        <v/>
      </c>
      <c r="P59" s="50" t="str">
        <f t="shared" ref="P59:P169" si="32">IF(AND(H59&gt;=50,H59&lt;100),1,"")</f>
        <v/>
      </c>
      <c r="Q59" s="51" t="str">
        <f t="shared" ref="Q59:Q169" si="33">IF(H59&gt;=100,1,"")</f>
        <v/>
      </c>
      <c r="R59" s="59"/>
      <c r="S59" s="50"/>
      <c r="T59" s="50"/>
      <c r="U59" s="50"/>
      <c r="V59" s="50"/>
      <c r="W59" s="59" t="str">
        <f t="shared" si="29"/>
        <v/>
      </c>
      <c r="X59" s="49"/>
      <c r="Y59" s="50"/>
      <c r="Z59" s="50"/>
      <c r="AA59" s="50"/>
      <c r="AB59" s="50"/>
      <c r="AC59" s="51" t="str">
        <f t="shared" si="3"/>
        <v/>
      </c>
      <c r="AD59" s="59">
        <v>1</v>
      </c>
      <c r="AE59" s="50"/>
      <c r="AF59" s="50"/>
      <c r="AG59" s="50"/>
      <c r="AH59" s="50">
        <v>1</v>
      </c>
      <c r="AI59" s="99">
        <f t="shared" si="30"/>
        <v>1</v>
      </c>
    </row>
    <row r="60" spans="1:35" x14ac:dyDescent="0.15">
      <c r="A60" s="82">
        <f>'Match Summary'!$B$7</f>
        <v>42141</v>
      </c>
      <c r="B60" s="64" t="str">
        <f>'Match Summary'!$C$7</f>
        <v>Hatfield_Heath</v>
      </c>
      <c r="C60" s="56">
        <v>11</v>
      </c>
      <c r="D60" s="62"/>
      <c r="E60" s="52"/>
      <c r="F60" s="54"/>
      <c r="G60" s="107"/>
      <c r="H60" s="56"/>
      <c r="I60" s="56"/>
      <c r="J60" s="53"/>
      <c r="K60" s="53"/>
      <c r="L60" s="53"/>
      <c r="M60" s="53"/>
      <c r="N60" s="52" t="str">
        <f t="shared" si="31"/>
        <v/>
      </c>
      <c r="O60" s="53" t="str">
        <f t="shared" si="4"/>
        <v/>
      </c>
      <c r="P60" s="53" t="str">
        <f t="shared" si="32"/>
        <v/>
      </c>
      <c r="Q60" s="54" t="str">
        <f t="shared" si="33"/>
        <v/>
      </c>
      <c r="R60" s="56"/>
      <c r="S60" s="53"/>
      <c r="T60" s="53"/>
      <c r="U60" s="53"/>
      <c r="V60" s="53"/>
      <c r="W60" s="56" t="str">
        <f t="shared" si="29"/>
        <v/>
      </c>
      <c r="X60" s="52"/>
      <c r="Y60" s="53"/>
      <c r="Z60" s="53"/>
      <c r="AA60" s="53"/>
      <c r="AB60" s="53"/>
      <c r="AC60" s="54" t="str">
        <f t="shared" si="3"/>
        <v/>
      </c>
      <c r="AD60" s="56"/>
      <c r="AE60" s="53"/>
      <c r="AF60" s="53"/>
      <c r="AG60" s="53"/>
      <c r="AH60" s="53"/>
      <c r="AI60" s="100" t="str">
        <f t="shared" si="30"/>
        <v/>
      </c>
    </row>
    <row r="61" spans="1:35" ht="15" thickBot="1" x14ac:dyDescent="0.2">
      <c r="A61" s="83">
        <f>'Match Summary'!$B$7</f>
        <v>42141</v>
      </c>
      <c r="B61" s="84" t="str">
        <f>'Match Summary'!$C$7</f>
        <v>Hatfield_Heath</v>
      </c>
      <c r="C61" s="86"/>
      <c r="D61" s="86" t="s">
        <v>174</v>
      </c>
      <c r="E61" s="89"/>
      <c r="F61" s="90"/>
      <c r="G61" s="113"/>
      <c r="H61" s="86">
        <v>26</v>
      </c>
      <c r="I61" s="86"/>
      <c r="J61" s="89"/>
      <c r="K61" s="90"/>
      <c r="L61" s="90"/>
      <c r="M61" s="91"/>
      <c r="N61" s="85" t="str">
        <f t="shared" si="31"/>
        <v/>
      </c>
      <c r="O61" s="85" t="str">
        <f t="shared" si="4"/>
        <v/>
      </c>
      <c r="P61" s="87" t="str">
        <f t="shared" si="32"/>
        <v/>
      </c>
      <c r="Q61" s="88" t="str">
        <f t="shared" si="33"/>
        <v/>
      </c>
      <c r="R61" s="55">
        <f>SUBTOTAL(9,R50:R60)</f>
        <v>40</v>
      </c>
      <c r="S61" s="91">
        <f t="shared" ref="S61" si="34">SUBTOTAL(9,S50:S60)</f>
        <v>6</v>
      </c>
      <c r="T61" s="86">
        <f>SUBTOTAL(9,T50:T60)</f>
        <v>8</v>
      </c>
      <c r="U61" s="86">
        <f>SUBTOTAL(9,U50:U60)</f>
        <v>0</v>
      </c>
      <c r="V61" s="86">
        <f>SUBTOTAL(9,V50:V60)</f>
        <v>238</v>
      </c>
      <c r="W61" s="86">
        <f>SUBTOTAL(9,W50:W60)</f>
        <v>6</v>
      </c>
      <c r="X61" s="85"/>
      <c r="Y61" s="85"/>
      <c r="Z61" s="85"/>
      <c r="AA61" s="85"/>
      <c r="AB61" s="85"/>
      <c r="AC61" s="85" t="s">
        <v>259</v>
      </c>
      <c r="AD61" s="92">
        <v>6</v>
      </c>
      <c r="AE61" s="85"/>
      <c r="AF61" s="85"/>
      <c r="AG61" s="85"/>
      <c r="AH61" s="85"/>
      <c r="AI61" s="101"/>
    </row>
    <row r="62" spans="1:35" x14ac:dyDescent="0.15">
      <c r="A62" s="75">
        <f>'Match Summary'!$B$8</f>
        <v>42148</v>
      </c>
      <c r="B62" s="76" t="str">
        <f>'Match Summary'!$C$8</f>
        <v>Thaxted</v>
      </c>
      <c r="C62" s="77">
        <v>1</v>
      </c>
      <c r="D62" s="78" t="s">
        <v>156</v>
      </c>
      <c r="E62" s="79"/>
      <c r="F62" s="80"/>
      <c r="G62" s="105" t="s">
        <v>199</v>
      </c>
      <c r="H62" s="77">
        <v>38</v>
      </c>
      <c r="I62" s="77" t="s">
        <v>201</v>
      </c>
      <c r="J62" s="81">
        <v>32</v>
      </c>
      <c r="K62" s="81">
        <v>33</v>
      </c>
      <c r="L62" s="81">
        <v>9</v>
      </c>
      <c r="M62" s="81"/>
      <c r="N62" s="79" t="str">
        <f t="shared" ref="N62:N72" si="35">IF(I62="NO",1,"")</f>
        <v/>
      </c>
      <c r="O62" s="81" t="str">
        <f t="shared" ref="O62:O72" si="36">IF(OR(H62&gt;0,H62=""),"",IF(I62="no","",1))</f>
        <v/>
      </c>
      <c r="P62" s="81" t="str">
        <f t="shared" ref="P62:P73" si="37">IF(AND(H62&gt;=50,H62&lt;100),1,"")</f>
        <v/>
      </c>
      <c r="Q62" s="80" t="str">
        <f t="shared" ref="Q62:Q73" si="38">IF(H62&gt;=100,1,"")</f>
        <v/>
      </c>
      <c r="R62" s="77"/>
      <c r="S62" s="81"/>
      <c r="T62" s="81"/>
      <c r="U62" s="81"/>
      <c r="V62" s="81"/>
      <c r="W62" s="77" t="str">
        <f>IF(R62="","",SUM(X62:AB62))</f>
        <v/>
      </c>
      <c r="X62" s="79"/>
      <c r="Y62" s="81"/>
      <c r="Z62" s="81"/>
      <c r="AA62" s="81"/>
      <c r="AB62" s="81"/>
      <c r="AC62" s="80" t="str">
        <f t="shared" si="3"/>
        <v/>
      </c>
      <c r="AD62" s="77"/>
      <c r="AE62" s="81">
        <v>2</v>
      </c>
      <c r="AF62" s="81">
        <v>1</v>
      </c>
      <c r="AG62" s="81"/>
      <c r="AH62" s="81"/>
      <c r="AI62" s="98">
        <f>IF(SUM(AE62:AH62)=0,"",SUM(AE62:AH62))</f>
        <v>3</v>
      </c>
    </row>
    <row r="63" spans="1:35" x14ac:dyDescent="0.15">
      <c r="A63" s="82">
        <f>'Match Summary'!$B$8</f>
        <v>42148</v>
      </c>
      <c r="B63" s="64" t="str">
        <f>'Match Summary'!$C$8</f>
        <v>Thaxted</v>
      </c>
      <c r="C63" s="59">
        <v>2</v>
      </c>
      <c r="D63" s="61" t="s">
        <v>185</v>
      </c>
      <c r="E63" s="49"/>
      <c r="F63" s="51"/>
      <c r="G63" s="106" t="s">
        <v>199</v>
      </c>
      <c r="H63" s="59">
        <v>10</v>
      </c>
      <c r="I63" s="59" t="s">
        <v>202</v>
      </c>
      <c r="J63" s="57">
        <v>21</v>
      </c>
      <c r="K63" s="57">
        <v>36</v>
      </c>
      <c r="L63" s="57">
        <v>3</v>
      </c>
      <c r="M63" s="50"/>
      <c r="N63" s="49" t="str">
        <f t="shared" si="35"/>
        <v/>
      </c>
      <c r="O63" s="50" t="str">
        <f t="shared" si="36"/>
        <v/>
      </c>
      <c r="P63" s="50" t="str">
        <f t="shared" si="37"/>
        <v/>
      </c>
      <c r="Q63" s="51" t="str">
        <f t="shared" si="38"/>
        <v/>
      </c>
      <c r="R63" s="59"/>
      <c r="S63" s="50"/>
      <c r="T63" s="50"/>
      <c r="U63" s="50"/>
      <c r="V63" s="50"/>
      <c r="W63" s="59" t="str">
        <f t="shared" ref="W63:W72" si="39">IF(R63="","",SUM(X63:AB63))</f>
        <v/>
      </c>
      <c r="X63" s="49"/>
      <c r="Y63" s="50"/>
      <c r="Z63" s="50"/>
      <c r="AA63" s="50"/>
      <c r="AB63" s="50"/>
      <c r="AC63" s="51" t="str">
        <f t="shared" si="3"/>
        <v/>
      </c>
      <c r="AD63" s="59"/>
      <c r="AE63" s="50"/>
      <c r="AF63" s="50"/>
      <c r="AG63" s="50"/>
      <c r="AH63" s="50"/>
      <c r="AI63" s="99" t="str">
        <f t="shared" ref="AI63:AI72" si="40">IF(SUM(AE63:AH63)=0,"",SUM(AE63:AH63))</f>
        <v/>
      </c>
    </row>
    <row r="64" spans="1:35" x14ac:dyDescent="0.15">
      <c r="A64" s="82">
        <f>'Match Summary'!$B$8</f>
        <v>42148</v>
      </c>
      <c r="B64" s="64" t="str">
        <f>'Match Summary'!$C$8</f>
        <v>Thaxted</v>
      </c>
      <c r="C64" s="59">
        <v>3</v>
      </c>
      <c r="D64" s="61" t="s">
        <v>47</v>
      </c>
      <c r="E64" s="49" t="s">
        <v>195</v>
      </c>
      <c r="F64" s="51"/>
      <c r="G64" s="106" t="s">
        <v>199</v>
      </c>
      <c r="H64" s="59">
        <v>9</v>
      </c>
      <c r="I64" s="59" t="s">
        <v>201</v>
      </c>
      <c r="J64" s="57">
        <v>13</v>
      </c>
      <c r="K64" s="57">
        <v>22</v>
      </c>
      <c r="L64" s="57">
        <v>1</v>
      </c>
      <c r="M64" s="50"/>
      <c r="N64" s="49" t="str">
        <f t="shared" si="35"/>
        <v/>
      </c>
      <c r="O64" s="50" t="str">
        <f t="shared" si="36"/>
        <v/>
      </c>
      <c r="P64" s="50" t="str">
        <f t="shared" si="37"/>
        <v/>
      </c>
      <c r="Q64" s="51" t="str">
        <f t="shared" si="38"/>
        <v/>
      </c>
      <c r="R64" s="59">
        <v>8</v>
      </c>
      <c r="S64" s="50">
        <v>4</v>
      </c>
      <c r="T64" s="50">
        <v>1</v>
      </c>
      <c r="U64" s="57">
        <v>0</v>
      </c>
      <c r="V64" s="57">
        <v>10</v>
      </c>
      <c r="W64" s="59">
        <f t="shared" si="39"/>
        <v>0</v>
      </c>
      <c r="X64" s="49"/>
      <c r="Y64" s="50"/>
      <c r="Z64" s="57"/>
      <c r="AA64" s="50"/>
      <c r="AB64" s="50"/>
      <c r="AC64" s="51" t="str">
        <f t="shared" si="3"/>
        <v/>
      </c>
      <c r="AD64" s="59"/>
      <c r="AE64" s="50"/>
      <c r="AF64" s="50"/>
      <c r="AG64" s="50"/>
      <c r="AH64" s="50"/>
      <c r="AI64" s="99" t="str">
        <f t="shared" si="40"/>
        <v/>
      </c>
    </row>
    <row r="65" spans="1:35" x14ac:dyDescent="0.15">
      <c r="A65" s="82">
        <f>'Match Summary'!$B$8</f>
        <v>42148</v>
      </c>
      <c r="B65" s="64" t="str">
        <f>'Match Summary'!$C$8</f>
        <v>Thaxted</v>
      </c>
      <c r="C65" s="59">
        <v>4</v>
      </c>
      <c r="D65" s="61" t="s">
        <v>186</v>
      </c>
      <c r="E65" s="49"/>
      <c r="F65" s="51"/>
      <c r="G65" s="106" t="s">
        <v>199</v>
      </c>
      <c r="H65" s="59">
        <v>11</v>
      </c>
      <c r="I65" s="59" t="s">
        <v>202</v>
      </c>
      <c r="J65" s="57">
        <v>8</v>
      </c>
      <c r="K65" s="57">
        <v>9</v>
      </c>
      <c r="L65" s="57">
        <v>1</v>
      </c>
      <c r="M65" s="57">
        <v>1</v>
      </c>
      <c r="N65" s="49" t="str">
        <f t="shared" si="35"/>
        <v/>
      </c>
      <c r="O65" s="50" t="str">
        <f t="shared" si="36"/>
        <v/>
      </c>
      <c r="P65" s="50" t="str">
        <f t="shared" si="37"/>
        <v/>
      </c>
      <c r="Q65" s="51" t="str">
        <f t="shared" si="38"/>
        <v/>
      </c>
      <c r="R65" s="59">
        <v>3</v>
      </c>
      <c r="S65" s="50">
        <v>0</v>
      </c>
      <c r="T65" s="50">
        <v>0</v>
      </c>
      <c r="U65" s="57">
        <v>0</v>
      </c>
      <c r="V65" s="57">
        <v>16</v>
      </c>
      <c r="W65" s="59">
        <f t="shared" si="39"/>
        <v>2</v>
      </c>
      <c r="X65" s="49">
        <v>1</v>
      </c>
      <c r="Y65" s="50"/>
      <c r="Z65" s="57">
        <v>1</v>
      </c>
      <c r="AA65" s="50"/>
      <c r="AB65" s="50"/>
      <c r="AC65" s="51" t="str">
        <f t="shared" si="3"/>
        <v/>
      </c>
      <c r="AD65" s="59"/>
      <c r="AE65" s="50"/>
      <c r="AF65" s="50"/>
      <c r="AG65" s="50"/>
      <c r="AH65" s="50"/>
      <c r="AI65" s="99" t="str">
        <f t="shared" si="40"/>
        <v/>
      </c>
    </row>
    <row r="66" spans="1:35" x14ac:dyDescent="0.15">
      <c r="A66" s="82">
        <f>'Match Summary'!$B$8</f>
        <v>42148</v>
      </c>
      <c r="B66" s="64" t="str">
        <f>'Match Summary'!$C$8</f>
        <v>Thaxted</v>
      </c>
      <c r="C66" s="59">
        <v>5</v>
      </c>
      <c r="D66" s="61" t="s">
        <v>40</v>
      </c>
      <c r="E66" s="49"/>
      <c r="F66" s="51"/>
      <c r="G66" s="106" t="s">
        <v>199</v>
      </c>
      <c r="H66" s="59">
        <v>18</v>
      </c>
      <c r="I66" s="59" t="s">
        <v>202</v>
      </c>
      <c r="J66" s="57">
        <v>48</v>
      </c>
      <c r="K66" s="57">
        <v>67</v>
      </c>
      <c r="L66" s="57">
        <v>1</v>
      </c>
      <c r="M66" s="50"/>
      <c r="N66" s="49" t="str">
        <f t="shared" si="35"/>
        <v/>
      </c>
      <c r="O66" s="50" t="str">
        <f t="shared" si="36"/>
        <v/>
      </c>
      <c r="P66" s="50" t="str">
        <f t="shared" si="37"/>
        <v/>
      </c>
      <c r="Q66" s="51" t="str">
        <f t="shared" si="38"/>
        <v/>
      </c>
      <c r="R66" s="59">
        <v>5</v>
      </c>
      <c r="S66" s="50">
        <v>1</v>
      </c>
      <c r="T66" s="50">
        <v>1</v>
      </c>
      <c r="U66" s="57">
        <v>0</v>
      </c>
      <c r="V66" s="57">
        <v>21</v>
      </c>
      <c r="W66" s="59">
        <f t="shared" si="39"/>
        <v>2</v>
      </c>
      <c r="X66" s="49">
        <v>1</v>
      </c>
      <c r="Y66" s="50"/>
      <c r="Z66" s="57">
        <v>1</v>
      </c>
      <c r="AA66" s="50"/>
      <c r="AB66" s="50"/>
      <c r="AC66" s="51" t="str">
        <f t="shared" ref="AC66:AC72" si="41">IF(AND(ISNUMBER(W66),W66&gt;=5),1,"")</f>
        <v/>
      </c>
      <c r="AD66" s="59"/>
      <c r="AE66" s="50"/>
      <c r="AF66" s="50"/>
      <c r="AG66" s="50"/>
      <c r="AH66" s="50"/>
      <c r="AI66" s="99" t="str">
        <f t="shared" si="40"/>
        <v/>
      </c>
    </row>
    <row r="67" spans="1:35" x14ac:dyDescent="0.15">
      <c r="A67" s="82">
        <f>'Match Summary'!$B$8</f>
        <v>42148</v>
      </c>
      <c r="B67" s="64" t="str">
        <f>'Match Summary'!$C$8</f>
        <v>Thaxted</v>
      </c>
      <c r="C67" s="59">
        <v>6</v>
      </c>
      <c r="D67" s="61" t="s">
        <v>48</v>
      </c>
      <c r="E67" s="49"/>
      <c r="F67" s="51"/>
      <c r="G67" s="106" t="s">
        <v>199</v>
      </c>
      <c r="H67" s="59">
        <v>5</v>
      </c>
      <c r="I67" s="59" t="s">
        <v>232</v>
      </c>
      <c r="J67" s="57">
        <v>16</v>
      </c>
      <c r="K67" s="57">
        <v>19</v>
      </c>
      <c r="L67" s="57">
        <v>1</v>
      </c>
      <c r="M67" s="50"/>
      <c r="N67" s="49" t="str">
        <f t="shared" si="35"/>
        <v/>
      </c>
      <c r="O67" s="50" t="str">
        <f t="shared" si="36"/>
        <v/>
      </c>
      <c r="P67" s="50" t="str">
        <f t="shared" si="37"/>
        <v/>
      </c>
      <c r="Q67" s="51" t="str">
        <f t="shared" si="38"/>
        <v/>
      </c>
      <c r="R67" s="59">
        <v>4.0999999999999996</v>
      </c>
      <c r="S67" s="50">
        <v>0</v>
      </c>
      <c r="T67" s="50">
        <v>0</v>
      </c>
      <c r="U67" s="57">
        <v>0</v>
      </c>
      <c r="V67" s="57">
        <v>18</v>
      </c>
      <c r="W67" s="59">
        <f t="shared" si="39"/>
        <v>2</v>
      </c>
      <c r="X67" s="49">
        <v>1</v>
      </c>
      <c r="Y67" s="50"/>
      <c r="Z67" s="57">
        <v>1</v>
      </c>
      <c r="AA67" s="50"/>
      <c r="AB67" s="50"/>
      <c r="AC67" s="51" t="str">
        <f t="shared" si="41"/>
        <v/>
      </c>
      <c r="AD67" s="59"/>
      <c r="AE67" s="50">
        <v>1</v>
      </c>
      <c r="AF67" s="50">
        <v>1</v>
      </c>
      <c r="AG67" s="50"/>
      <c r="AH67" s="50"/>
      <c r="AI67" s="99">
        <f t="shared" si="40"/>
        <v>2</v>
      </c>
    </row>
    <row r="68" spans="1:35" x14ac:dyDescent="0.15">
      <c r="A68" s="82">
        <f>'Match Summary'!$B$8</f>
        <v>42148</v>
      </c>
      <c r="B68" s="64" t="str">
        <f>'Match Summary'!$C$8</f>
        <v>Thaxted</v>
      </c>
      <c r="C68" s="59">
        <v>7</v>
      </c>
      <c r="D68" s="61" t="s">
        <v>50</v>
      </c>
      <c r="E68" s="49"/>
      <c r="F68" s="51"/>
      <c r="G68" s="106" t="s">
        <v>199</v>
      </c>
      <c r="H68" s="59">
        <v>5</v>
      </c>
      <c r="I68" s="59" t="s">
        <v>202</v>
      </c>
      <c r="J68" s="57">
        <v>12</v>
      </c>
      <c r="K68" s="57">
        <v>13</v>
      </c>
      <c r="L68" s="57"/>
      <c r="M68" s="57"/>
      <c r="N68" s="49" t="str">
        <f t="shared" si="35"/>
        <v/>
      </c>
      <c r="O68" s="50" t="str">
        <f t="shared" si="36"/>
        <v/>
      </c>
      <c r="P68" s="50" t="str">
        <f t="shared" si="37"/>
        <v/>
      </c>
      <c r="Q68" s="51" t="str">
        <f t="shared" si="38"/>
        <v/>
      </c>
      <c r="R68" s="59"/>
      <c r="S68" s="50"/>
      <c r="T68" s="50"/>
      <c r="U68" s="57"/>
      <c r="V68" s="57"/>
      <c r="W68" s="59" t="str">
        <f t="shared" si="39"/>
        <v/>
      </c>
      <c r="X68" s="49"/>
      <c r="Y68" s="50"/>
      <c r="Z68" s="57"/>
      <c r="AA68" s="50"/>
      <c r="AB68" s="50"/>
      <c r="AC68" s="51" t="str">
        <f>IF(AND(ISNUMBER(W68),W68&gt;=5),1,"")</f>
        <v/>
      </c>
      <c r="AD68" s="59"/>
      <c r="AE68" s="50">
        <v>1</v>
      </c>
      <c r="AF68" s="50"/>
      <c r="AG68" s="50"/>
      <c r="AH68" s="50"/>
      <c r="AI68" s="99">
        <f t="shared" si="40"/>
        <v>1</v>
      </c>
    </row>
    <row r="69" spans="1:35" x14ac:dyDescent="0.15">
      <c r="A69" s="82">
        <f>'Match Summary'!$B$8</f>
        <v>42148</v>
      </c>
      <c r="B69" s="64" t="str">
        <f>'Match Summary'!$C$8</f>
        <v>Thaxted</v>
      </c>
      <c r="C69" s="59">
        <v>8</v>
      </c>
      <c r="D69" s="61" t="s">
        <v>214</v>
      </c>
      <c r="E69" s="49"/>
      <c r="F69" s="51"/>
      <c r="G69" s="106" t="s">
        <v>199</v>
      </c>
      <c r="H69" s="59">
        <v>0</v>
      </c>
      <c r="I69" s="59" t="s">
        <v>201</v>
      </c>
      <c r="J69" s="57">
        <v>2</v>
      </c>
      <c r="K69" s="57">
        <v>2</v>
      </c>
      <c r="L69" s="50"/>
      <c r="M69" s="50"/>
      <c r="N69" s="49" t="str">
        <f t="shared" si="35"/>
        <v/>
      </c>
      <c r="O69" s="50">
        <f t="shared" si="36"/>
        <v>1</v>
      </c>
      <c r="P69" s="50" t="str">
        <f t="shared" si="37"/>
        <v/>
      </c>
      <c r="Q69" s="51" t="str">
        <f t="shared" si="38"/>
        <v/>
      </c>
      <c r="R69" s="59"/>
      <c r="S69" s="50"/>
      <c r="T69" s="50"/>
      <c r="U69" s="57"/>
      <c r="V69" s="57"/>
      <c r="W69" s="59" t="str">
        <f t="shared" si="39"/>
        <v/>
      </c>
      <c r="X69" s="49"/>
      <c r="Y69" s="50"/>
      <c r="Z69" s="57"/>
      <c r="AA69" s="50"/>
      <c r="AB69" s="50"/>
      <c r="AC69" s="51" t="str">
        <f t="shared" si="41"/>
        <v/>
      </c>
      <c r="AD69" s="59"/>
      <c r="AE69" s="50"/>
      <c r="AF69" s="50"/>
      <c r="AG69" s="50"/>
      <c r="AH69" s="50"/>
      <c r="AI69" s="99" t="str">
        <f t="shared" si="40"/>
        <v/>
      </c>
    </row>
    <row r="70" spans="1:35" x14ac:dyDescent="0.15">
      <c r="A70" s="82">
        <f>'Match Summary'!$B$8</f>
        <v>42148</v>
      </c>
      <c r="B70" s="64" t="str">
        <f>'Match Summary'!$C$8</f>
        <v>Thaxted</v>
      </c>
      <c r="C70" s="59">
        <v>9</v>
      </c>
      <c r="D70" s="60" t="s">
        <v>45</v>
      </c>
      <c r="E70" s="49"/>
      <c r="F70" s="51"/>
      <c r="G70" s="106" t="s">
        <v>199</v>
      </c>
      <c r="H70" s="59">
        <v>5</v>
      </c>
      <c r="I70" s="59" t="s">
        <v>221</v>
      </c>
      <c r="J70" s="57">
        <v>4</v>
      </c>
      <c r="K70" s="57">
        <v>6</v>
      </c>
      <c r="L70" s="57">
        <v>1</v>
      </c>
      <c r="M70" s="50"/>
      <c r="N70" s="49" t="str">
        <f t="shared" si="35"/>
        <v/>
      </c>
      <c r="O70" s="50" t="str">
        <f t="shared" si="36"/>
        <v/>
      </c>
      <c r="P70" s="50" t="str">
        <f t="shared" si="37"/>
        <v/>
      </c>
      <c r="Q70" s="51" t="str">
        <f t="shared" si="38"/>
        <v/>
      </c>
      <c r="R70" s="59">
        <v>5</v>
      </c>
      <c r="S70" s="57">
        <v>1</v>
      </c>
      <c r="T70" s="57">
        <v>0</v>
      </c>
      <c r="U70" s="57">
        <v>1</v>
      </c>
      <c r="V70" s="57">
        <v>17</v>
      </c>
      <c r="W70" s="59">
        <f t="shared" si="39"/>
        <v>0</v>
      </c>
      <c r="X70" s="49"/>
      <c r="Y70" s="50"/>
      <c r="Z70" s="50"/>
      <c r="AA70" s="50"/>
      <c r="AB70" s="50"/>
      <c r="AC70" s="51" t="str">
        <f t="shared" si="41"/>
        <v/>
      </c>
      <c r="AD70" s="59"/>
      <c r="AE70" s="50"/>
      <c r="AF70" s="50"/>
      <c r="AG70" s="50"/>
      <c r="AH70" s="50"/>
      <c r="AI70" s="99" t="str">
        <f t="shared" si="40"/>
        <v/>
      </c>
    </row>
    <row r="71" spans="1:35" x14ac:dyDescent="0.15">
      <c r="A71" s="82">
        <f>'Match Summary'!$B$8</f>
        <v>42148</v>
      </c>
      <c r="B71" s="64" t="str">
        <f>'Match Summary'!$C$8</f>
        <v>Thaxted</v>
      </c>
      <c r="C71" s="59">
        <v>10</v>
      </c>
      <c r="D71" s="61" t="s">
        <v>44</v>
      </c>
      <c r="E71" s="49"/>
      <c r="F71" s="51"/>
      <c r="G71" s="106" t="s">
        <v>199</v>
      </c>
      <c r="H71" s="59">
        <v>1</v>
      </c>
      <c r="I71" s="59" t="s">
        <v>201</v>
      </c>
      <c r="J71" s="57">
        <v>16</v>
      </c>
      <c r="K71" s="57">
        <v>18</v>
      </c>
      <c r="L71" s="50"/>
      <c r="M71" s="50"/>
      <c r="N71" s="49" t="str">
        <f t="shared" si="35"/>
        <v/>
      </c>
      <c r="O71" s="50" t="str">
        <f t="shared" si="36"/>
        <v/>
      </c>
      <c r="P71" s="50" t="str">
        <f t="shared" si="37"/>
        <v/>
      </c>
      <c r="Q71" s="51" t="str">
        <f t="shared" si="38"/>
        <v/>
      </c>
      <c r="R71" s="59">
        <v>7</v>
      </c>
      <c r="S71" s="50">
        <v>0</v>
      </c>
      <c r="T71" s="50">
        <v>1</v>
      </c>
      <c r="U71" s="57">
        <v>0</v>
      </c>
      <c r="V71" s="57">
        <v>36</v>
      </c>
      <c r="W71" s="59">
        <f t="shared" si="39"/>
        <v>2</v>
      </c>
      <c r="X71" s="49">
        <v>1</v>
      </c>
      <c r="Y71" s="50"/>
      <c r="Z71" s="57">
        <v>1</v>
      </c>
      <c r="AA71" s="50"/>
      <c r="AB71" s="50"/>
      <c r="AC71" s="51" t="str">
        <f t="shared" si="41"/>
        <v/>
      </c>
      <c r="AD71" s="59"/>
      <c r="AE71" s="50"/>
      <c r="AF71" s="50"/>
      <c r="AG71" s="50"/>
      <c r="AH71" s="50"/>
      <c r="AI71" s="99" t="str">
        <f t="shared" si="40"/>
        <v/>
      </c>
    </row>
    <row r="72" spans="1:35" x14ac:dyDescent="0.15">
      <c r="A72" s="82">
        <f>'Match Summary'!$B$8</f>
        <v>42148</v>
      </c>
      <c r="B72" s="64" t="str">
        <f>'Match Summary'!$C$8</f>
        <v>Thaxted</v>
      </c>
      <c r="C72" s="56">
        <v>11</v>
      </c>
      <c r="D72" s="65" t="s">
        <v>49</v>
      </c>
      <c r="E72" s="52"/>
      <c r="F72" s="54" t="s">
        <v>195</v>
      </c>
      <c r="G72" s="107" t="s">
        <v>199</v>
      </c>
      <c r="H72" s="56">
        <v>0</v>
      </c>
      <c r="I72" s="56" t="s">
        <v>203</v>
      </c>
      <c r="J72" s="53">
        <v>0</v>
      </c>
      <c r="K72" s="53">
        <v>3</v>
      </c>
      <c r="L72" s="53"/>
      <c r="M72" s="53"/>
      <c r="N72" s="52">
        <f t="shared" si="35"/>
        <v>1</v>
      </c>
      <c r="O72" s="53" t="str">
        <f t="shared" si="36"/>
        <v/>
      </c>
      <c r="P72" s="53" t="str">
        <f t="shared" si="37"/>
        <v/>
      </c>
      <c r="Q72" s="54" t="str">
        <f t="shared" si="38"/>
        <v/>
      </c>
      <c r="R72" s="56"/>
      <c r="S72" s="53"/>
      <c r="T72" s="53"/>
      <c r="U72" s="53"/>
      <c r="V72" s="53"/>
      <c r="W72" s="56" t="str">
        <f t="shared" si="39"/>
        <v/>
      </c>
      <c r="X72" s="52"/>
      <c r="Y72" s="53"/>
      <c r="Z72" s="53"/>
      <c r="AA72" s="53"/>
      <c r="AB72" s="53"/>
      <c r="AC72" s="54" t="str">
        <f t="shared" si="41"/>
        <v/>
      </c>
      <c r="AD72" s="56">
        <v>2</v>
      </c>
      <c r="AE72" s="53"/>
      <c r="AF72" s="53"/>
      <c r="AG72" s="53"/>
      <c r="AH72" s="53"/>
      <c r="AI72" s="100" t="str">
        <f t="shared" si="40"/>
        <v/>
      </c>
    </row>
    <row r="73" spans="1:35" ht="15" thickBot="1" x14ac:dyDescent="0.2">
      <c r="A73" s="83">
        <f>'Match Summary'!$B$8</f>
        <v>42148</v>
      </c>
      <c r="B73" s="84" t="str">
        <f>'Match Summary'!$C$8</f>
        <v>Thaxted</v>
      </c>
      <c r="C73" s="86"/>
      <c r="D73" s="86" t="s">
        <v>174</v>
      </c>
      <c r="E73" s="85"/>
      <c r="F73" s="85"/>
      <c r="G73" s="115"/>
      <c r="H73" s="86">
        <v>5</v>
      </c>
      <c r="I73" s="85"/>
      <c r="J73" s="85"/>
      <c r="K73" s="85"/>
      <c r="L73" s="85"/>
      <c r="M73" s="85"/>
      <c r="N73" s="85"/>
      <c r="O73" s="85"/>
      <c r="P73" s="87" t="str">
        <f t="shared" si="37"/>
        <v/>
      </c>
      <c r="Q73" s="88" t="str">
        <f t="shared" si="38"/>
        <v/>
      </c>
      <c r="R73" s="55">
        <f>SUBTOTAL(9,R62:R72)</f>
        <v>32.1</v>
      </c>
      <c r="S73" s="91">
        <f t="shared" ref="S73" si="42">SUBTOTAL(9,S62:S72)</f>
        <v>6</v>
      </c>
      <c r="T73" s="86">
        <f>SUBTOTAL(9,T62:T72)</f>
        <v>3</v>
      </c>
      <c r="U73" s="86">
        <f>SUBTOTAL(9,U62:U72)</f>
        <v>1</v>
      </c>
      <c r="V73" s="86">
        <f>SUBTOTAL(9,V62:V72)</f>
        <v>118</v>
      </c>
      <c r="W73" s="86">
        <f>SUBTOTAL(9,W62:W72)</f>
        <v>8</v>
      </c>
      <c r="X73" s="85"/>
      <c r="Y73" s="85"/>
      <c r="Z73" s="85"/>
      <c r="AA73" s="85"/>
      <c r="AB73" s="85"/>
      <c r="AC73" s="85" t="s">
        <v>259</v>
      </c>
      <c r="AD73" s="92">
        <v>1</v>
      </c>
      <c r="AE73" s="85"/>
      <c r="AF73" s="85"/>
      <c r="AG73" s="85"/>
      <c r="AH73" s="85"/>
      <c r="AI73" s="101"/>
    </row>
    <row r="74" spans="1:35" x14ac:dyDescent="0.15">
      <c r="A74" s="75">
        <f>'Match Summary'!$B$9</f>
        <v>42155</v>
      </c>
      <c r="B74" s="76" t="str">
        <f>'Match Summary'!$C$9</f>
        <v>Terling</v>
      </c>
      <c r="C74" s="77">
        <v>1</v>
      </c>
      <c r="D74" s="17" t="s">
        <v>111</v>
      </c>
      <c r="E74" s="79"/>
      <c r="F74" s="80"/>
      <c r="G74" s="105" t="s">
        <v>199</v>
      </c>
      <c r="H74" s="77">
        <v>81</v>
      </c>
      <c r="I74" s="77" t="s">
        <v>201</v>
      </c>
      <c r="J74" s="81">
        <v>107</v>
      </c>
      <c r="K74" s="81">
        <v>129</v>
      </c>
      <c r="L74" s="81">
        <v>10</v>
      </c>
      <c r="M74" s="81"/>
      <c r="N74" s="79" t="str">
        <f t="shared" si="31"/>
        <v/>
      </c>
      <c r="O74" s="81" t="str">
        <f t="shared" ref="O74:O169" si="43">IF(OR(H74&gt;0,H74=""),"",IF(I74="no","",1))</f>
        <v/>
      </c>
      <c r="P74" s="81">
        <f t="shared" si="32"/>
        <v>1</v>
      </c>
      <c r="Q74" s="80" t="str">
        <f t="shared" si="33"/>
        <v/>
      </c>
      <c r="R74" s="77"/>
      <c r="S74" s="81"/>
      <c r="T74" s="81"/>
      <c r="U74" s="81"/>
      <c r="V74" s="81"/>
      <c r="W74" s="77" t="str">
        <f>IF(R74="","",SUM(X74:AB74))</f>
        <v/>
      </c>
      <c r="X74" s="79"/>
      <c r="Y74" s="81"/>
      <c r="Z74" s="81"/>
      <c r="AA74" s="81"/>
      <c r="AB74" s="81"/>
      <c r="AC74" s="80" t="str">
        <f t="shared" ref="AC74:AC84" si="44">IF(AND(ISNUMBER(W74),W74&gt;=5),1,"")</f>
        <v/>
      </c>
      <c r="AD74" s="58"/>
      <c r="AE74" s="81"/>
      <c r="AF74" s="81"/>
      <c r="AG74" s="81"/>
      <c r="AH74" s="81"/>
      <c r="AI74" s="98" t="str">
        <f>IF(SUM(AE74:AH74)=0,"",SUM(AE74:AH74))</f>
        <v/>
      </c>
    </row>
    <row r="75" spans="1:35" x14ac:dyDescent="0.15">
      <c r="A75" s="82">
        <f>'Match Summary'!$B$9</f>
        <v>42155</v>
      </c>
      <c r="B75" s="64" t="str">
        <f>'Match Summary'!$C$9</f>
        <v>Terling</v>
      </c>
      <c r="C75" s="59">
        <v>2</v>
      </c>
      <c r="D75" s="17" t="s">
        <v>185</v>
      </c>
      <c r="E75" s="49"/>
      <c r="F75" s="51"/>
      <c r="G75" s="106" t="s">
        <v>199</v>
      </c>
      <c r="H75" s="59">
        <v>3</v>
      </c>
      <c r="I75" s="59" t="s">
        <v>201</v>
      </c>
      <c r="J75" s="57">
        <v>11</v>
      </c>
      <c r="K75" s="57">
        <v>19</v>
      </c>
      <c r="L75" s="50"/>
      <c r="M75" s="50"/>
      <c r="N75" s="49" t="str">
        <f t="shared" si="31"/>
        <v/>
      </c>
      <c r="O75" s="50" t="str">
        <f t="shared" si="43"/>
        <v/>
      </c>
      <c r="P75" s="50" t="str">
        <f t="shared" si="32"/>
        <v/>
      </c>
      <c r="Q75" s="51" t="str">
        <f t="shared" si="33"/>
        <v/>
      </c>
      <c r="R75" s="59">
        <v>4</v>
      </c>
      <c r="S75" s="50">
        <v>0</v>
      </c>
      <c r="T75" s="50">
        <v>0</v>
      </c>
      <c r="U75" s="57">
        <v>1</v>
      </c>
      <c r="V75" s="57">
        <v>7</v>
      </c>
      <c r="W75" s="59">
        <f t="shared" ref="W75:W84" si="45">IF(R75="","",SUM(X75:AB75))</f>
        <v>0</v>
      </c>
      <c r="X75" s="49"/>
      <c r="Y75" s="50"/>
      <c r="Z75" s="50"/>
      <c r="AA75" s="50"/>
      <c r="AB75" s="50"/>
      <c r="AC75" s="51" t="str">
        <f t="shared" si="44"/>
        <v/>
      </c>
      <c r="AD75" s="59"/>
      <c r="AE75" s="50"/>
      <c r="AF75" s="50"/>
      <c r="AG75" s="50"/>
      <c r="AH75" s="50"/>
      <c r="AI75" s="99" t="str">
        <f t="shared" ref="AI75:AI84" si="46">IF(SUM(AE75:AH75)=0,"",SUM(AE75:AH75))</f>
        <v/>
      </c>
    </row>
    <row r="76" spans="1:35" x14ac:dyDescent="0.15">
      <c r="A76" s="82">
        <f>'Match Summary'!$B$9</f>
        <v>42155</v>
      </c>
      <c r="B76" s="64" t="str">
        <f>'Match Summary'!$C$9</f>
        <v>Terling</v>
      </c>
      <c r="C76" s="59">
        <v>3</v>
      </c>
      <c r="D76" s="17" t="s">
        <v>117</v>
      </c>
      <c r="E76" s="49"/>
      <c r="F76" s="51"/>
      <c r="G76" s="106" t="s">
        <v>199</v>
      </c>
      <c r="H76" s="59">
        <v>0</v>
      </c>
      <c r="I76" s="59" t="s">
        <v>202</v>
      </c>
      <c r="J76" s="57">
        <v>7</v>
      </c>
      <c r="K76" s="57">
        <v>6</v>
      </c>
      <c r="L76" s="57"/>
      <c r="M76" s="50"/>
      <c r="N76" s="49" t="str">
        <f t="shared" si="31"/>
        <v/>
      </c>
      <c r="O76" s="50">
        <f t="shared" si="43"/>
        <v>1</v>
      </c>
      <c r="P76" s="50" t="str">
        <f t="shared" si="32"/>
        <v/>
      </c>
      <c r="Q76" s="51" t="str">
        <f t="shared" si="33"/>
        <v/>
      </c>
      <c r="R76" s="59"/>
      <c r="S76" s="50"/>
      <c r="T76" s="50"/>
      <c r="U76" s="57"/>
      <c r="V76" s="57"/>
      <c r="W76" s="59" t="str">
        <f t="shared" si="45"/>
        <v/>
      </c>
      <c r="X76" s="49"/>
      <c r="Y76" s="50"/>
      <c r="Z76" s="57"/>
      <c r="AA76" s="50"/>
      <c r="AB76" s="50"/>
      <c r="AC76" s="51" t="str">
        <f t="shared" si="44"/>
        <v/>
      </c>
      <c r="AD76" s="59"/>
      <c r="AE76" s="50"/>
      <c r="AF76" s="50"/>
      <c r="AG76" s="50"/>
      <c r="AH76" s="50"/>
      <c r="AI76" s="99" t="str">
        <f t="shared" si="46"/>
        <v/>
      </c>
    </row>
    <row r="77" spans="1:35" x14ac:dyDescent="0.15">
      <c r="A77" s="82">
        <f>'Match Summary'!$B$9</f>
        <v>42155</v>
      </c>
      <c r="B77" s="64" t="str">
        <f>'Match Summary'!$C$9</f>
        <v>Terling</v>
      </c>
      <c r="C77" s="59">
        <v>4</v>
      </c>
      <c r="D77" s="1" t="s">
        <v>47</v>
      </c>
      <c r="E77" s="49" t="s">
        <v>195</v>
      </c>
      <c r="F77" s="51"/>
      <c r="G77" s="106" t="s">
        <v>199</v>
      </c>
      <c r="H77" s="59">
        <v>85</v>
      </c>
      <c r="I77" s="59" t="s">
        <v>202</v>
      </c>
      <c r="J77" s="57">
        <v>86</v>
      </c>
      <c r="K77" s="57">
        <v>110</v>
      </c>
      <c r="L77" s="57">
        <v>13</v>
      </c>
      <c r="M77" s="50"/>
      <c r="N77" s="49" t="str">
        <f t="shared" si="31"/>
        <v/>
      </c>
      <c r="O77" s="50" t="str">
        <f t="shared" si="43"/>
        <v/>
      </c>
      <c r="P77" s="50">
        <f t="shared" si="32"/>
        <v>1</v>
      </c>
      <c r="Q77" s="51" t="str">
        <f t="shared" si="33"/>
        <v/>
      </c>
      <c r="R77" s="59">
        <v>9.1999999999999993</v>
      </c>
      <c r="S77" s="50">
        <v>0</v>
      </c>
      <c r="T77" s="50">
        <v>2</v>
      </c>
      <c r="U77" s="57">
        <v>0</v>
      </c>
      <c r="V77" s="57">
        <v>43</v>
      </c>
      <c r="W77" s="59">
        <f t="shared" si="45"/>
        <v>2</v>
      </c>
      <c r="X77" s="49">
        <v>2</v>
      </c>
      <c r="Y77" s="50"/>
      <c r="Z77" s="50"/>
      <c r="AA77" s="50"/>
      <c r="AB77" s="50"/>
      <c r="AC77" s="51" t="str">
        <f t="shared" si="44"/>
        <v/>
      </c>
      <c r="AD77" s="59"/>
      <c r="AE77" s="50">
        <v>2</v>
      </c>
      <c r="AF77" s="50"/>
      <c r="AG77" s="50"/>
      <c r="AH77" s="50"/>
      <c r="AI77" s="99">
        <f t="shared" si="46"/>
        <v>2</v>
      </c>
    </row>
    <row r="78" spans="1:35" x14ac:dyDescent="0.15">
      <c r="A78" s="82">
        <f>'Match Summary'!$B$9</f>
        <v>42155</v>
      </c>
      <c r="B78" s="64" t="str">
        <f>'Match Summary'!$C$9</f>
        <v>Terling</v>
      </c>
      <c r="C78" s="59">
        <v>5</v>
      </c>
      <c r="D78" s="17" t="s">
        <v>186</v>
      </c>
      <c r="E78" s="49"/>
      <c r="F78" s="51"/>
      <c r="G78" s="106" t="s">
        <v>199</v>
      </c>
      <c r="H78" s="59">
        <v>11</v>
      </c>
      <c r="I78" s="59" t="s">
        <v>201</v>
      </c>
      <c r="J78" s="57">
        <v>10</v>
      </c>
      <c r="K78" s="57">
        <v>11</v>
      </c>
      <c r="L78" s="57">
        <v>1</v>
      </c>
      <c r="M78" s="50"/>
      <c r="N78" s="49" t="str">
        <f t="shared" si="31"/>
        <v/>
      </c>
      <c r="O78" s="50" t="str">
        <f t="shared" si="43"/>
        <v/>
      </c>
      <c r="P78" s="50" t="str">
        <f t="shared" si="32"/>
        <v/>
      </c>
      <c r="Q78" s="51" t="str">
        <f t="shared" si="33"/>
        <v/>
      </c>
      <c r="R78" s="59">
        <v>2</v>
      </c>
      <c r="S78" s="50">
        <v>2</v>
      </c>
      <c r="T78" s="50">
        <v>0</v>
      </c>
      <c r="U78" s="57">
        <v>0</v>
      </c>
      <c r="V78" s="57">
        <v>0</v>
      </c>
      <c r="W78" s="59">
        <f t="shared" si="45"/>
        <v>0</v>
      </c>
      <c r="X78" s="49"/>
      <c r="Y78" s="50"/>
      <c r="Z78" s="57"/>
      <c r="AA78" s="50"/>
      <c r="AB78" s="50"/>
      <c r="AC78" s="51" t="str">
        <f t="shared" si="44"/>
        <v/>
      </c>
      <c r="AD78" s="59"/>
      <c r="AE78" s="50"/>
      <c r="AF78" s="50"/>
      <c r="AG78" s="50"/>
      <c r="AH78" s="50"/>
      <c r="AI78" s="99" t="str">
        <f t="shared" si="46"/>
        <v/>
      </c>
    </row>
    <row r="79" spans="1:35" x14ac:dyDescent="0.15">
      <c r="A79" s="82">
        <f>'Match Summary'!$B$9</f>
        <v>42155</v>
      </c>
      <c r="B79" s="64" t="str">
        <f>'Match Summary'!$C$9</f>
        <v>Terling</v>
      </c>
      <c r="C79" s="59">
        <v>6</v>
      </c>
      <c r="D79" s="1" t="s">
        <v>48</v>
      </c>
      <c r="E79" s="49"/>
      <c r="F79" s="51"/>
      <c r="G79" s="106" t="s">
        <v>199</v>
      </c>
      <c r="H79" s="59">
        <v>21</v>
      </c>
      <c r="I79" s="59" t="s">
        <v>201</v>
      </c>
      <c r="J79" s="57">
        <v>14</v>
      </c>
      <c r="K79" s="57">
        <v>14</v>
      </c>
      <c r="L79" s="57">
        <v>3</v>
      </c>
      <c r="M79" s="50"/>
      <c r="N79" s="49" t="str">
        <f t="shared" si="31"/>
        <v/>
      </c>
      <c r="O79" s="50" t="str">
        <f t="shared" si="43"/>
        <v/>
      </c>
      <c r="P79" s="50" t="str">
        <f t="shared" si="32"/>
        <v/>
      </c>
      <c r="Q79" s="51" t="str">
        <f t="shared" si="33"/>
        <v/>
      </c>
      <c r="R79" s="59">
        <v>7</v>
      </c>
      <c r="S79" s="50">
        <v>3</v>
      </c>
      <c r="T79" s="50">
        <v>0</v>
      </c>
      <c r="U79" s="57">
        <v>0</v>
      </c>
      <c r="V79" s="57">
        <v>10</v>
      </c>
      <c r="W79" s="59">
        <f t="shared" si="45"/>
        <v>2</v>
      </c>
      <c r="X79" s="49">
        <v>1</v>
      </c>
      <c r="Y79" s="50"/>
      <c r="Z79" s="57">
        <v>1</v>
      </c>
      <c r="AA79" s="50"/>
      <c r="AB79" s="50"/>
      <c r="AC79" s="51" t="str">
        <f t="shared" si="44"/>
        <v/>
      </c>
      <c r="AD79" s="59"/>
      <c r="AE79" s="50"/>
      <c r="AF79" s="50"/>
      <c r="AG79" s="50"/>
      <c r="AH79" s="50"/>
      <c r="AI79" s="99" t="str">
        <f t="shared" si="46"/>
        <v/>
      </c>
    </row>
    <row r="80" spans="1:35" x14ac:dyDescent="0.15">
      <c r="A80" s="82">
        <f>'Match Summary'!$B$9</f>
        <v>42155</v>
      </c>
      <c r="B80" s="64" t="str">
        <f>'Match Summary'!$C$9</f>
        <v>Terling</v>
      </c>
      <c r="C80" s="59">
        <v>7</v>
      </c>
      <c r="D80" s="1" t="s">
        <v>42</v>
      </c>
      <c r="E80" s="49"/>
      <c r="F80" s="51"/>
      <c r="G80" s="106" t="s">
        <v>199</v>
      </c>
      <c r="H80" s="59">
        <v>6</v>
      </c>
      <c r="I80" s="59" t="s">
        <v>203</v>
      </c>
      <c r="J80" s="57">
        <v>9</v>
      </c>
      <c r="K80" s="57">
        <v>15</v>
      </c>
      <c r="L80" s="57"/>
      <c r="M80" s="57"/>
      <c r="N80" s="49">
        <f t="shared" si="31"/>
        <v>1</v>
      </c>
      <c r="O80" s="50" t="str">
        <f t="shared" si="43"/>
        <v/>
      </c>
      <c r="P80" s="50" t="str">
        <f t="shared" si="32"/>
        <v/>
      </c>
      <c r="Q80" s="51" t="str">
        <f t="shared" si="33"/>
        <v/>
      </c>
      <c r="R80" s="59"/>
      <c r="S80" s="50"/>
      <c r="T80" s="50"/>
      <c r="U80" s="57"/>
      <c r="V80" s="57"/>
      <c r="W80" s="59" t="str">
        <f t="shared" si="45"/>
        <v/>
      </c>
      <c r="X80" s="49"/>
      <c r="Y80" s="50"/>
      <c r="Z80" s="57"/>
      <c r="AA80" s="50"/>
      <c r="AB80" s="50"/>
      <c r="AC80" s="51" t="str">
        <f>IF(AND(ISNUMBER(W80),W80&gt;=5),1,"")</f>
        <v/>
      </c>
      <c r="AD80" s="59"/>
      <c r="AE80" s="50">
        <v>1</v>
      </c>
      <c r="AF80" s="50"/>
      <c r="AG80" s="50"/>
      <c r="AH80" s="50"/>
      <c r="AI80" s="99">
        <f t="shared" si="46"/>
        <v>1</v>
      </c>
    </row>
    <row r="81" spans="1:35" x14ac:dyDescent="0.15">
      <c r="A81" s="82">
        <f>'Match Summary'!$B$9</f>
        <v>42155</v>
      </c>
      <c r="B81" s="64" t="str">
        <f>'Match Summary'!$C$9</f>
        <v>Terling</v>
      </c>
      <c r="C81" s="59">
        <v>8</v>
      </c>
      <c r="D81" s="1" t="s">
        <v>43</v>
      </c>
      <c r="E81" s="49"/>
      <c r="F81" s="51"/>
      <c r="G81" s="106" t="s">
        <v>199</v>
      </c>
      <c r="H81" s="59">
        <v>2</v>
      </c>
      <c r="I81" s="59" t="s">
        <v>201</v>
      </c>
      <c r="J81" s="57">
        <v>2</v>
      </c>
      <c r="K81" s="57">
        <v>6</v>
      </c>
      <c r="L81" s="50"/>
      <c r="M81" s="50"/>
      <c r="N81" s="49" t="str">
        <f t="shared" si="31"/>
        <v/>
      </c>
      <c r="O81" s="50" t="str">
        <f t="shared" si="43"/>
        <v/>
      </c>
      <c r="P81" s="50" t="str">
        <f t="shared" si="32"/>
        <v/>
      </c>
      <c r="Q81" s="51" t="str">
        <f t="shared" si="33"/>
        <v/>
      </c>
      <c r="R81" s="59"/>
      <c r="S81" s="50"/>
      <c r="T81" s="50"/>
      <c r="U81" s="57"/>
      <c r="V81" s="57"/>
      <c r="W81" s="59" t="str">
        <f t="shared" si="45"/>
        <v/>
      </c>
      <c r="X81" s="49"/>
      <c r="Y81" s="50"/>
      <c r="Z81" s="57"/>
      <c r="AA81" s="50"/>
      <c r="AB81" s="50"/>
      <c r="AC81" s="51" t="str">
        <f t="shared" si="44"/>
        <v/>
      </c>
      <c r="AD81" s="59"/>
      <c r="AE81" s="50">
        <v>1</v>
      </c>
      <c r="AF81" s="50"/>
      <c r="AG81" s="50"/>
      <c r="AH81" s="50"/>
      <c r="AI81" s="99">
        <f t="shared" si="46"/>
        <v>1</v>
      </c>
    </row>
    <row r="82" spans="1:35" x14ac:dyDescent="0.15">
      <c r="A82" s="82">
        <f>'Match Summary'!$B$9</f>
        <v>42155</v>
      </c>
      <c r="B82" s="64" t="str">
        <f>'Match Summary'!$C$9</f>
        <v>Terling</v>
      </c>
      <c r="C82" s="59">
        <v>9</v>
      </c>
      <c r="D82" s="1" t="s">
        <v>50</v>
      </c>
      <c r="E82" s="49"/>
      <c r="F82" s="51"/>
      <c r="G82" s="106" t="s">
        <v>200</v>
      </c>
      <c r="H82" s="59"/>
      <c r="I82" s="59" t="s">
        <v>204</v>
      </c>
      <c r="J82" s="57"/>
      <c r="K82" s="57"/>
      <c r="L82" s="50"/>
      <c r="M82" s="50"/>
      <c r="N82" s="49" t="str">
        <f t="shared" si="31"/>
        <v/>
      </c>
      <c r="O82" s="50" t="str">
        <f t="shared" si="43"/>
        <v/>
      </c>
      <c r="P82" s="50" t="str">
        <f t="shared" si="32"/>
        <v/>
      </c>
      <c r="Q82" s="51" t="str">
        <f t="shared" si="33"/>
        <v/>
      </c>
      <c r="R82" s="59">
        <v>5</v>
      </c>
      <c r="S82" s="57">
        <v>0</v>
      </c>
      <c r="T82" s="57">
        <v>0</v>
      </c>
      <c r="U82" s="57">
        <v>0</v>
      </c>
      <c r="V82" s="57">
        <v>14</v>
      </c>
      <c r="W82" s="59">
        <f t="shared" si="45"/>
        <v>1</v>
      </c>
      <c r="X82" s="49"/>
      <c r="Y82" s="50"/>
      <c r="Z82" s="50">
        <v>1</v>
      </c>
      <c r="AA82" s="50"/>
      <c r="AB82" s="50"/>
      <c r="AC82" s="51" t="str">
        <f t="shared" si="44"/>
        <v/>
      </c>
      <c r="AD82" s="59"/>
      <c r="AE82" s="50"/>
      <c r="AF82" s="50"/>
      <c r="AG82" s="50"/>
      <c r="AH82" s="50"/>
      <c r="AI82" s="99" t="str">
        <f t="shared" si="46"/>
        <v/>
      </c>
    </row>
    <row r="83" spans="1:35" x14ac:dyDescent="0.15">
      <c r="A83" s="82">
        <f>'Match Summary'!$B$9</f>
        <v>42155</v>
      </c>
      <c r="B83" s="64" t="str">
        <f>'Match Summary'!$C$9</f>
        <v>Terling</v>
      </c>
      <c r="C83" s="59">
        <v>10</v>
      </c>
      <c r="D83" s="1" t="s">
        <v>49</v>
      </c>
      <c r="E83" s="49"/>
      <c r="F83" s="51" t="s">
        <v>195</v>
      </c>
      <c r="G83" s="106" t="s">
        <v>200</v>
      </c>
      <c r="H83" s="59"/>
      <c r="I83" s="59" t="s">
        <v>204</v>
      </c>
      <c r="J83" s="57"/>
      <c r="K83" s="57"/>
      <c r="L83" s="50"/>
      <c r="M83" s="50"/>
      <c r="N83" s="49" t="str">
        <f t="shared" si="31"/>
        <v/>
      </c>
      <c r="O83" s="50" t="str">
        <f t="shared" si="43"/>
        <v/>
      </c>
      <c r="P83" s="50" t="str">
        <f t="shared" si="32"/>
        <v/>
      </c>
      <c r="Q83" s="51" t="str">
        <f t="shared" si="33"/>
        <v/>
      </c>
      <c r="R83" s="59"/>
      <c r="S83" s="50"/>
      <c r="T83" s="50"/>
      <c r="U83" s="50"/>
      <c r="V83" s="50"/>
      <c r="W83" s="59" t="str">
        <f t="shared" si="45"/>
        <v/>
      </c>
      <c r="X83" s="49"/>
      <c r="Y83" s="50"/>
      <c r="Z83" s="50"/>
      <c r="AA83" s="50"/>
      <c r="AB83" s="50"/>
      <c r="AC83" s="51" t="str">
        <f t="shared" si="44"/>
        <v/>
      </c>
      <c r="AD83" s="59">
        <v>8</v>
      </c>
      <c r="AE83" s="50"/>
      <c r="AF83" s="50"/>
      <c r="AG83" s="50"/>
      <c r="AH83" s="50">
        <v>2</v>
      </c>
      <c r="AI83" s="99">
        <f t="shared" si="46"/>
        <v>2</v>
      </c>
    </row>
    <row r="84" spans="1:35" x14ac:dyDescent="0.15">
      <c r="A84" s="82">
        <f>'Match Summary'!$B$9</f>
        <v>42155</v>
      </c>
      <c r="B84" s="64" t="str">
        <f>'Match Summary'!$C$9</f>
        <v>Terling</v>
      </c>
      <c r="C84" s="56">
        <v>11</v>
      </c>
      <c r="D84" s="1" t="s">
        <v>44</v>
      </c>
      <c r="E84" s="52"/>
      <c r="F84" s="54"/>
      <c r="G84" s="107" t="s">
        <v>200</v>
      </c>
      <c r="H84" s="56"/>
      <c r="I84" s="56" t="s">
        <v>204</v>
      </c>
      <c r="J84" s="53"/>
      <c r="K84" s="53"/>
      <c r="L84" s="53"/>
      <c r="M84" s="53"/>
      <c r="N84" s="52" t="str">
        <f t="shared" si="31"/>
        <v/>
      </c>
      <c r="O84" s="53" t="str">
        <f t="shared" si="43"/>
        <v/>
      </c>
      <c r="P84" s="53" t="str">
        <f t="shared" si="32"/>
        <v/>
      </c>
      <c r="Q84" s="54" t="str">
        <f t="shared" si="33"/>
        <v/>
      </c>
      <c r="R84" s="56">
        <v>10</v>
      </c>
      <c r="S84" s="53">
        <v>6</v>
      </c>
      <c r="T84" s="53">
        <v>0</v>
      </c>
      <c r="U84" s="53">
        <v>0</v>
      </c>
      <c r="V84" s="53">
        <v>16</v>
      </c>
      <c r="W84" s="56">
        <f t="shared" si="45"/>
        <v>4</v>
      </c>
      <c r="X84" s="52"/>
      <c r="Y84" s="53"/>
      <c r="Z84" s="53">
        <v>4</v>
      </c>
      <c r="AA84" s="53"/>
      <c r="AB84" s="53"/>
      <c r="AC84" s="54" t="str">
        <f t="shared" si="44"/>
        <v/>
      </c>
      <c r="AD84" s="56"/>
      <c r="AE84" s="53"/>
      <c r="AF84" s="53"/>
      <c r="AG84" s="53"/>
      <c r="AH84" s="53"/>
      <c r="AI84" s="100" t="str">
        <f t="shared" si="46"/>
        <v/>
      </c>
    </row>
    <row r="85" spans="1:35" ht="15" thickBot="1" x14ac:dyDescent="0.2">
      <c r="A85" s="83">
        <f>'Match Summary'!$B$9</f>
        <v>42155</v>
      </c>
      <c r="B85" s="84" t="str">
        <f>'Match Summary'!$C$9</f>
        <v>Terling</v>
      </c>
      <c r="C85" s="92"/>
      <c r="D85" s="86" t="s">
        <v>174</v>
      </c>
      <c r="E85" s="85"/>
      <c r="F85" s="85"/>
      <c r="G85" s="115"/>
      <c r="H85" s="86">
        <v>18</v>
      </c>
      <c r="I85" s="85"/>
      <c r="J85" s="85"/>
      <c r="K85" s="85"/>
      <c r="L85" s="85"/>
      <c r="M85" s="85"/>
      <c r="N85" s="85"/>
      <c r="O85" s="85" t="str">
        <f t="shared" si="43"/>
        <v/>
      </c>
      <c r="P85" s="87" t="str">
        <f t="shared" si="32"/>
        <v/>
      </c>
      <c r="Q85" s="88" t="str">
        <f t="shared" si="33"/>
        <v/>
      </c>
      <c r="R85" s="55">
        <f>SUBTOTAL(9,R74:R84)</f>
        <v>37.200000000000003</v>
      </c>
      <c r="S85" s="91">
        <f t="shared" ref="S85" si="47">SUBTOTAL(9,S74:S84)</f>
        <v>11</v>
      </c>
      <c r="T85" s="86">
        <f>SUBTOTAL(9,T74:T84)</f>
        <v>2</v>
      </c>
      <c r="U85" s="86">
        <f>SUBTOTAL(9,U74:U84)</f>
        <v>1</v>
      </c>
      <c r="V85" s="86">
        <f>SUBTOTAL(9,V74:V84)</f>
        <v>90</v>
      </c>
      <c r="W85" s="86">
        <f>SUBTOTAL(9,W74:W84)</f>
        <v>9</v>
      </c>
      <c r="X85" s="85"/>
      <c r="Y85" s="85"/>
      <c r="Z85" s="85"/>
      <c r="AA85" s="85"/>
      <c r="AB85" s="85"/>
      <c r="AC85" s="85" t="s">
        <v>259</v>
      </c>
      <c r="AD85" s="86">
        <v>1</v>
      </c>
      <c r="AE85" s="85"/>
      <c r="AF85" s="85"/>
      <c r="AG85" s="85"/>
      <c r="AH85" s="85"/>
      <c r="AI85" s="101"/>
    </row>
    <row r="86" spans="1:35" x14ac:dyDescent="0.15">
      <c r="A86" s="75">
        <f>'Match Summary'!$B$10</f>
        <v>42161</v>
      </c>
      <c r="B86" s="76" t="str">
        <f>'Match Summary'!$C$10</f>
        <v>TOUR_Alderney 1</v>
      </c>
      <c r="C86" s="77">
        <v>1</v>
      </c>
      <c r="D86" s="17" t="s">
        <v>156</v>
      </c>
      <c r="E86" s="79"/>
      <c r="F86" s="80"/>
      <c r="G86" s="94" t="s">
        <v>199</v>
      </c>
      <c r="H86" s="77">
        <v>35</v>
      </c>
      <c r="I86" s="77" t="s">
        <v>202</v>
      </c>
      <c r="J86" s="81">
        <v>34</v>
      </c>
      <c r="K86" s="81">
        <v>32</v>
      </c>
      <c r="L86" s="81">
        <v>5</v>
      </c>
      <c r="M86" s="81">
        <v>1</v>
      </c>
      <c r="N86" s="79" t="str">
        <f t="shared" si="31"/>
        <v/>
      </c>
      <c r="O86" s="81" t="str">
        <f t="shared" si="43"/>
        <v/>
      </c>
      <c r="P86" s="81" t="str">
        <f t="shared" si="32"/>
        <v/>
      </c>
      <c r="Q86" s="80" t="str">
        <f t="shared" si="33"/>
        <v/>
      </c>
      <c r="R86" s="77"/>
      <c r="S86" s="81"/>
      <c r="T86" s="81"/>
      <c r="U86" s="81"/>
      <c r="V86" s="81"/>
      <c r="W86" s="77" t="str">
        <f>IF(R86="","",SUM(X86:AB86))</f>
        <v/>
      </c>
      <c r="X86" s="79"/>
      <c r="Y86" s="81"/>
      <c r="Z86" s="81"/>
      <c r="AA86" s="81"/>
      <c r="AB86" s="81"/>
      <c r="AC86" s="80" t="str">
        <f t="shared" ref="AC86:AC96" si="48">IF(AND(ISNUMBER(W86),W86&gt;=5),1,"")</f>
        <v/>
      </c>
      <c r="AD86" s="77"/>
      <c r="AE86" s="81"/>
      <c r="AF86" s="81"/>
      <c r="AG86" s="81"/>
      <c r="AH86" s="81"/>
      <c r="AI86" s="98" t="str">
        <f>IF(SUM(AE86:AH86)=0,"",SUM(AE86:AH86))</f>
        <v/>
      </c>
    </row>
    <row r="87" spans="1:35" x14ac:dyDescent="0.15">
      <c r="A87" s="82">
        <f>'Match Summary'!$B$10</f>
        <v>42161</v>
      </c>
      <c r="B87" s="64" t="str">
        <f>'Match Summary'!$C$10</f>
        <v>TOUR_Alderney 1</v>
      </c>
      <c r="C87" s="59">
        <v>2</v>
      </c>
      <c r="D87" s="1" t="s">
        <v>48</v>
      </c>
      <c r="E87" s="49"/>
      <c r="F87" s="51"/>
      <c r="G87" s="95" t="s">
        <v>199</v>
      </c>
      <c r="H87" s="59">
        <v>82</v>
      </c>
      <c r="I87" s="59" t="s">
        <v>237</v>
      </c>
      <c r="J87" s="57">
        <v>89</v>
      </c>
      <c r="K87" s="57">
        <v>105</v>
      </c>
      <c r="L87" s="57">
        <v>8</v>
      </c>
      <c r="M87" s="50"/>
      <c r="N87" s="49" t="str">
        <f t="shared" si="31"/>
        <v/>
      </c>
      <c r="O87" s="50" t="str">
        <f t="shared" si="43"/>
        <v/>
      </c>
      <c r="P87" s="50">
        <f t="shared" si="32"/>
        <v>1</v>
      </c>
      <c r="Q87" s="51" t="str">
        <f t="shared" si="33"/>
        <v/>
      </c>
      <c r="R87" s="59">
        <v>6</v>
      </c>
      <c r="S87" s="50">
        <v>1</v>
      </c>
      <c r="T87" s="50">
        <v>1</v>
      </c>
      <c r="U87" s="57">
        <v>0</v>
      </c>
      <c r="V87" s="57">
        <v>34</v>
      </c>
      <c r="W87" s="59">
        <f t="shared" ref="W87:W96" si="49">IF(R87="","",SUM(X87:AB87))</f>
        <v>1</v>
      </c>
      <c r="X87" s="49">
        <v>1</v>
      </c>
      <c r="Y87" s="50"/>
      <c r="Z87" s="50"/>
      <c r="AA87" s="50"/>
      <c r="AB87" s="50"/>
      <c r="AC87" s="51" t="str">
        <f t="shared" si="48"/>
        <v/>
      </c>
      <c r="AD87" s="59"/>
      <c r="AE87" s="50">
        <v>2</v>
      </c>
      <c r="AF87" s="50">
        <v>1</v>
      </c>
      <c r="AG87" s="50"/>
      <c r="AH87" s="50"/>
      <c r="AI87" s="99">
        <f t="shared" ref="AI87:AI96" si="50">IF(SUM(AE87:AH87)=0,"",SUM(AE87:AH87))</f>
        <v>3</v>
      </c>
    </row>
    <row r="88" spans="1:35" x14ac:dyDescent="0.15">
      <c r="A88" s="82">
        <f>'Match Summary'!$B$10</f>
        <v>42161</v>
      </c>
      <c r="B88" s="64" t="str">
        <f>'Match Summary'!$C$10</f>
        <v>TOUR_Alderney 1</v>
      </c>
      <c r="C88" s="59">
        <v>3</v>
      </c>
      <c r="D88" s="1" t="s">
        <v>103</v>
      </c>
      <c r="E88" s="49"/>
      <c r="F88" s="51"/>
      <c r="G88" s="95" t="s">
        <v>199</v>
      </c>
      <c r="H88" s="59">
        <v>6</v>
      </c>
      <c r="I88" s="59" t="s">
        <v>201</v>
      </c>
      <c r="J88" s="57">
        <v>7</v>
      </c>
      <c r="K88" s="57">
        <v>22</v>
      </c>
      <c r="L88" s="57">
        <v>1</v>
      </c>
      <c r="M88" s="50"/>
      <c r="N88" s="49" t="str">
        <f t="shared" si="31"/>
        <v/>
      </c>
      <c r="O88" s="50" t="str">
        <f t="shared" si="43"/>
        <v/>
      </c>
      <c r="P88" s="50" t="str">
        <f t="shared" si="32"/>
        <v/>
      </c>
      <c r="Q88" s="51" t="str">
        <f t="shared" si="33"/>
        <v/>
      </c>
      <c r="R88" s="59"/>
      <c r="S88" s="50"/>
      <c r="T88" s="50"/>
      <c r="U88" s="57"/>
      <c r="V88" s="57"/>
      <c r="W88" s="59" t="str">
        <f t="shared" si="49"/>
        <v/>
      </c>
      <c r="X88" s="49"/>
      <c r="Y88" s="50"/>
      <c r="Z88" s="57"/>
      <c r="AA88" s="50"/>
      <c r="AB88" s="50"/>
      <c r="AC88" s="51" t="str">
        <f t="shared" si="48"/>
        <v/>
      </c>
      <c r="AD88" s="59"/>
      <c r="AE88" s="50"/>
      <c r="AF88" s="50"/>
      <c r="AG88" s="50"/>
      <c r="AH88" s="50"/>
      <c r="AI88" s="99" t="str">
        <f t="shared" si="50"/>
        <v/>
      </c>
    </row>
    <row r="89" spans="1:35" x14ac:dyDescent="0.15">
      <c r="A89" s="82">
        <f>'Match Summary'!$B$10</f>
        <v>42161</v>
      </c>
      <c r="B89" s="64" t="str">
        <f>'Match Summary'!$C$10</f>
        <v>TOUR_Alderney 1</v>
      </c>
      <c r="C89" s="59">
        <v>4</v>
      </c>
      <c r="D89" s="17" t="s">
        <v>111</v>
      </c>
      <c r="E89" s="49"/>
      <c r="F89" s="51"/>
      <c r="G89" s="95" t="s">
        <v>199</v>
      </c>
      <c r="H89" s="59">
        <v>7</v>
      </c>
      <c r="I89" s="59" t="s">
        <v>201</v>
      </c>
      <c r="J89" s="57">
        <v>7</v>
      </c>
      <c r="K89" s="57">
        <v>5</v>
      </c>
      <c r="L89" s="57">
        <v>1</v>
      </c>
      <c r="M89" s="50"/>
      <c r="N89" s="49" t="str">
        <f t="shared" si="31"/>
        <v/>
      </c>
      <c r="O89" s="50" t="str">
        <f t="shared" si="43"/>
        <v/>
      </c>
      <c r="P89" s="50" t="str">
        <f t="shared" si="32"/>
        <v/>
      </c>
      <c r="Q89" s="51" t="str">
        <f t="shared" si="33"/>
        <v/>
      </c>
      <c r="R89" s="59"/>
      <c r="S89" s="50"/>
      <c r="T89" s="50"/>
      <c r="U89" s="50"/>
      <c r="V89" s="50"/>
      <c r="W89" s="59" t="str">
        <f t="shared" si="49"/>
        <v/>
      </c>
      <c r="X89" s="49"/>
      <c r="Y89" s="50"/>
      <c r="Z89" s="50"/>
      <c r="AA89" s="50"/>
      <c r="AB89" s="50"/>
      <c r="AC89" s="51" t="str">
        <f t="shared" si="48"/>
        <v/>
      </c>
      <c r="AD89" s="59"/>
      <c r="AE89" s="50"/>
      <c r="AF89" s="50"/>
      <c r="AG89" s="50"/>
      <c r="AH89" s="50"/>
      <c r="AI89" s="99" t="str">
        <f t="shared" si="50"/>
        <v/>
      </c>
    </row>
    <row r="90" spans="1:35" x14ac:dyDescent="0.15">
      <c r="A90" s="82">
        <f>'Match Summary'!$B$10</f>
        <v>42161</v>
      </c>
      <c r="B90" s="64" t="str">
        <f>'Match Summary'!$C$10</f>
        <v>TOUR_Alderney 1</v>
      </c>
      <c r="C90" s="59">
        <v>5</v>
      </c>
      <c r="D90" s="1" t="s">
        <v>47</v>
      </c>
      <c r="E90" s="49" t="s">
        <v>195</v>
      </c>
      <c r="F90" s="51"/>
      <c r="G90" s="95" t="s">
        <v>199</v>
      </c>
      <c r="H90" s="59">
        <v>0</v>
      </c>
      <c r="I90" s="59" t="s">
        <v>201</v>
      </c>
      <c r="J90" s="57">
        <v>2</v>
      </c>
      <c r="K90" s="57">
        <v>3</v>
      </c>
      <c r="L90" s="57"/>
      <c r="M90" s="50"/>
      <c r="N90" s="49" t="str">
        <f t="shared" si="31"/>
        <v/>
      </c>
      <c r="O90" s="50">
        <f t="shared" si="43"/>
        <v>1</v>
      </c>
      <c r="P90" s="50" t="str">
        <f t="shared" si="32"/>
        <v/>
      </c>
      <c r="Q90" s="51" t="str">
        <f t="shared" si="33"/>
        <v/>
      </c>
      <c r="R90" s="59">
        <v>6</v>
      </c>
      <c r="S90" s="50">
        <v>1</v>
      </c>
      <c r="T90" s="50">
        <v>0</v>
      </c>
      <c r="U90" s="57">
        <v>0</v>
      </c>
      <c r="V90" s="57">
        <v>12</v>
      </c>
      <c r="W90" s="59">
        <f t="shared" si="49"/>
        <v>3</v>
      </c>
      <c r="X90" s="49">
        <v>1</v>
      </c>
      <c r="Y90" s="50"/>
      <c r="Z90" s="57">
        <v>2</v>
      </c>
      <c r="AA90" s="50"/>
      <c r="AB90" s="50"/>
      <c r="AC90" s="51" t="str">
        <f t="shared" si="48"/>
        <v/>
      </c>
      <c r="AD90" s="59"/>
      <c r="AE90" s="50"/>
      <c r="AF90" s="50"/>
      <c r="AG90" s="50"/>
      <c r="AH90" s="50"/>
      <c r="AI90" s="99" t="str">
        <f t="shared" si="50"/>
        <v/>
      </c>
    </row>
    <row r="91" spans="1:35" x14ac:dyDescent="0.15">
      <c r="A91" s="82">
        <f>'Match Summary'!$B$10</f>
        <v>42161</v>
      </c>
      <c r="B91" s="64" t="str">
        <f>'Match Summary'!$C$10</f>
        <v>TOUR_Alderney 1</v>
      </c>
      <c r="C91" s="59">
        <v>6</v>
      </c>
      <c r="D91" s="1" t="s">
        <v>40</v>
      </c>
      <c r="E91" s="49"/>
      <c r="F91" s="51"/>
      <c r="G91" s="95" t="s">
        <v>199</v>
      </c>
      <c r="H91" s="59">
        <v>5</v>
      </c>
      <c r="I91" s="59" t="s">
        <v>201</v>
      </c>
      <c r="J91" s="57">
        <v>7</v>
      </c>
      <c r="K91" s="57">
        <v>18</v>
      </c>
      <c r="L91" s="57">
        <v>1</v>
      </c>
      <c r="M91" s="50"/>
      <c r="N91" s="49" t="str">
        <f t="shared" si="31"/>
        <v/>
      </c>
      <c r="O91" s="50" t="str">
        <f t="shared" si="43"/>
        <v/>
      </c>
      <c r="P91" s="50" t="str">
        <f t="shared" si="32"/>
        <v/>
      </c>
      <c r="Q91" s="51" t="str">
        <f t="shared" si="33"/>
        <v/>
      </c>
      <c r="R91" s="59">
        <v>6</v>
      </c>
      <c r="S91" s="50">
        <v>2</v>
      </c>
      <c r="T91" s="50">
        <v>4</v>
      </c>
      <c r="U91" s="57">
        <v>1</v>
      </c>
      <c r="V91" s="57">
        <v>23</v>
      </c>
      <c r="W91" s="59">
        <f t="shared" si="49"/>
        <v>2</v>
      </c>
      <c r="X91" s="49">
        <v>2</v>
      </c>
      <c r="Y91" s="50"/>
      <c r="Z91" s="50"/>
      <c r="AA91" s="50"/>
      <c r="AB91" s="50"/>
      <c r="AC91" s="51" t="str">
        <f t="shared" si="48"/>
        <v/>
      </c>
      <c r="AD91" s="59"/>
      <c r="AE91" s="50"/>
      <c r="AF91" s="50"/>
      <c r="AG91" s="50"/>
      <c r="AH91" s="50"/>
      <c r="AI91" s="99" t="str">
        <f t="shared" si="50"/>
        <v/>
      </c>
    </row>
    <row r="92" spans="1:35" x14ac:dyDescent="0.15">
      <c r="A92" s="82">
        <f>'Match Summary'!$B$10</f>
        <v>42161</v>
      </c>
      <c r="B92" s="64" t="str">
        <f>'Match Summary'!$C$10</f>
        <v>TOUR_Alderney 1</v>
      </c>
      <c r="C92" s="59">
        <v>7</v>
      </c>
      <c r="D92" s="1" t="s">
        <v>45</v>
      </c>
      <c r="E92" s="49"/>
      <c r="F92" s="51"/>
      <c r="G92" s="95" t="s">
        <v>199</v>
      </c>
      <c r="H92" s="59">
        <v>14</v>
      </c>
      <c r="I92" s="59" t="s">
        <v>237</v>
      </c>
      <c r="J92" s="57">
        <v>12</v>
      </c>
      <c r="K92" s="57">
        <v>30</v>
      </c>
      <c r="L92" s="57">
        <v>1</v>
      </c>
      <c r="M92" s="57"/>
      <c r="N92" s="49" t="str">
        <f t="shared" si="31"/>
        <v/>
      </c>
      <c r="O92" s="50" t="str">
        <f t="shared" si="43"/>
        <v/>
      </c>
      <c r="P92" s="50" t="str">
        <f t="shared" si="32"/>
        <v/>
      </c>
      <c r="Q92" s="51" t="str">
        <f t="shared" si="33"/>
        <v/>
      </c>
      <c r="R92" s="59">
        <v>6</v>
      </c>
      <c r="S92" s="50">
        <v>1</v>
      </c>
      <c r="T92" s="50">
        <v>0</v>
      </c>
      <c r="U92" s="57">
        <v>0</v>
      </c>
      <c r="V92" s="57">
        <v>27</v>
      </c>
      <c r="W92" s="59">
        <f t="shared" si="49"/>
        <v>0</v>
      </c>
      <c r="X92" s="49"/>
      <c r="Y92" s="50"/>
      <c r="Z92" s="57"/>
      <c r="AA92" s="50"/>
      <c r="AB92" s="50"/>
      <c r="AC92" s="51" t="str">
        <f>IF(AND(ISNUMBER(W92),W92&gt;=5),1,"")</f>
        <v/>
      </c>
      <c r="AD92" s="59"/>
      <c r="AE92" s="50"/>
      <c r="AF92" s="50"/>
      <c r="AG92" s="50"/>
      <c r="AH92" s="50"/>
      <c r="AI92" s="99" t="str">
        <f t="shared" si="50"/>
        <v/>
      </c>
    </row>
    <row r="93" spans="1:35" x14ac:dyDescent="0.15">
      <c r="A93" s="82">
        <f>'Match Summary'!$B$10</f>
        <v>42161</v>
      </c>
      <c r="B93" s="64" t="str">
        <f>'Match Summary'!$C$10</f>
        <v>TOUR_Alderney 1</v>
      </c>
      <c r="C93" s="59">
        <v>8</v>
      </c>
      <c r="D93" s="17" t="s">
        <v>214</v>
      </c>
      <c r="E93" s="49"/>
      <c r="F93" s="51"/>
      <c r="G93" s="95" t="s">
        <v>199</v>
      </c>
      <c r="H93" s="59">
        <v>4</v>
      </c>
      <c r="I93" s="59" t="s">
        <v>203</v>
      </c>
      <c r="J93" s="57">
        <v>7</v>
      </c>
      <c r="K93" s="57">
        <v>10</v>
      </c>
      <c r="L93" s="50"/>
      <c r="M93" s="50"/>
      <c r="N93" s="49">
        <f t="shared" si="31"/>
        <v>1</v>
      </c>
      <c r="O93" s="50" t="str">
        <f t="shared" si="43"/>
        <v/>
      </c>
      <c r="P93" s="50" t="str">
        <f t="shared" si="32"/>
        <v/>
      </c>
      <c r="Q93" s="51" t="str">
        <f t="shared" si="33"/>
        <v/>
      </c>
      <c r="R93" s="59"/>
      <c r="S93" s="50"/>
      <c r="T93" s="50"/>
      <c r="U93" s="57"/>
      <c r="V93" s="57"/>
      <c r="W93" s="59" t="str">
        <f t="shared" si="49"/>
        <v/>
      </c>
      <c r="X93" s="49"/>
      <c r="Y93" s="50"/>
      <c r="Z93" s="57"/>
      <c r="AA93" s="50"/>
      <c r="AB93" s="50"/>
      <c r="AC93" s="51" t="str">
        <f t="shared" si="48"/>
        <v/>
      </c>
      <c r="AD93" s="59"/>
      <c r="AE93" s="50"/>
      <c r="AF93" s="50"/>
      <c r="AG93" s="50"/>
      <c r="AH93" s="50"/>
      <c r="AI93" s="99" t="str">
        <f t="shared" si="50"/>
        <v/>
      </c>
    </row>
    <row r="94" spans="1:35" x14ac:dyDescent="0.15">
      <c r="A94" s="82">
        <f>'Match Summary'!$B$10</f>
        <v>42161</v>
      </c>
      <c r="B94" s="64" t="str">
        <f>'Match Summary'!$C$10</f>
        <v>TOUR_Alderney 1</v>
      </c>
      <c r="C94" s="59">
        <v>9</v>
      </c>
      <c r="D94" s="1" t="s">
        <v>49</v>
      </c>
      <c r="E94" s="49"/>
      <c r="F94" s="51" t="s">
        <v>195</v>
      </c>
      <c r="G94" s="95" t="s">
        <v>199</v>
      </c>
      <c r="H94" s="59">
        <v>0</v>
      </c>
      <c r="I94" s="59" t="s">
        <v>201</v>
      </c>
      <c r="J94" s="57">
        <v>1</v>
      </c>
      <c r="K94" s="57">
        <v>5</v>
      </c>
      <c r="L94" s="50"/>
      <c r="M94" s="50"/>
      <c r="N94" s="49" t="str">
        <f t="shared" si="31"/>
        <v/>
      </c>
      <c r="O94" s="50">
        <f t="shared" si="43"/>
        <v>1</v>
      </c>
      <c r="P94" s="50" t="str">
        <f t="shared" si="32"/>
        <v/>
      </c>
      <c r="Q94" s="51" t="str">
        <f t="shared" si="33"/>
        <v/>
      </c>
      <c r="R94" s="59"/>
      <c r="S94" s="57"/>
      <c r="T94" s="57"/>
      <c r="U94" s="57"/>
      <c r="V94" s="57"/>
      <c r="W94" s="59" t="str">
        <f t="shared" si="49"/>
        <v/>
      </c>
      <c r="X94" s="49"/>
      <c r="Y94" s="50"/>
      <c r="Z94" s="50"/>
      <c r="AA94" s="50"/>
      <c r="AB94" s="50"/>
      <c r="AC94" s="51" t="str">
        <f t="shared" si="48"/>
        <v/>
      </c>
      <c r="AD94" s="59">
        <v>4</v>
      </c>
      <c r="AE94" s="50"/>
      <c r="AF94" s="50"/>
      <c r="AG94" s="50"/>
      <c r="AH94" s="50"/>
      <c r="AI94" s="99" t="str">
        <f t="shared" si="50"/>
        <v/>
      </c>
    </row>
    <row r="95" spans="1:35" x14ac:dyDescent="0.15">
      <c r="A95" s="82">
        <f>'Match Summary'!$B$10</f>
        <v>42161</v>
      </c>
      <c r="B95" s="64" t="str">
        <f>'Match Summary'!$C$10</f>
        <v>TOUR_Alderney 1</v>
      </c>
      <c r="C95" s="59">
        <v>10</v>
      </c>
      <c r="D95" s="17" t="s">
        <v>117</v>
      </c>
      <c r="E95" s="49"/>
      <c r="F95" s="51"/>
      <c r="G95" s="95" t="s">
        <v>200</v>
      </c>
      <c r="H95" s="59"/>
      <c r="I95" s="59" t="s">
        <v>204</v>
      </c>
      <c r="J95" s="57"/>
      <c r="K95" s="57"/>
      <c r="L95" s="50"/>
      <c r="M95" s="50"/>
      <c r="N95" s="49" t="str">
        <f t="shared" si="31"/>
        <v/>
      </c>
      <c r="O95" s="50" t="str">
        <f t="shared" si="43"/>
        <v/>
      </c>
      <c r="P95" s="50" t="str">
        <f t="shared" si="32"/>
        <v/>
      </c>
      <c r="Q95" s="51" t="str">
        <f t="shared" si="33"/>
        <v/>
      </c>
      <c r="R95" s="59"/>
      <c r="S95" s="50"/>
      <c r="T95" s="50"/>
      <c r="U95" s="50"/>
      <c r="V95" s="50"/>
      <c r="W95" s="59" t="str">
        <f t="shared" si="49"/>
        <v/>
      </c>
      <c r="X95" s="49"/>
      <c r="Y95" s="50"/>
      <c r="Z95" s="50"/>
      <c r="AA95" s="50"/>
      <c r="AB95" s="50"/>
      <c r="AC95" s="51" t="str">
        <f t="shared" si="48"/>
        <v/>
      </c>
      <c r="AD95" s="59"/>
      <c r="AE95" s="50"/>
      <c r="AF95" s="50"/>
      <c r="AG95" s="50"/>
      <c r="AH95" s="50"/>
      <c r="AI95" s="99" t="str">
        <f t="shared" si="50"/>
        <v/>
      </c>
    </row>
    <row r="96" spans="1:35" x14ac:dyDescent="0.15">
      <c r="A96" s="82">
        <f>'Match Summary'!$B$10</f>
        <v>42161</v>
      </c>
      <c r="B96" s="64" t="str">
        <f>'Match Summary'!$C$10</f>
        <v>TOUR_Alderney 1</v>
      </c>
      <c r="C96" s="56">
        <v>11</v>
      </c>
      <c r="D96" s="1" t="s">
        <v>44</v>
      </c>
      <c r="E96" s="52"/>
      <c r="F96" s="54"/>
      <c r="G96" s="96" t="s">
        <v>200</v>
      </c>
      <c r="H96" s="56"/>
      <c r="I96" s="56" t="s">
        <v>204</v>
      </c>
      <c r="J96" s="53"/>
      <c r="K96" s="53"/>
      <c r="L96" s="53"/>
      <c r="M96" s="53"/>
      <c r="N96" s="52" t="str">
        <f t="shared" si="31"/>
        <v/>
      </c>
      <c r="O96" s="53" t="str">
        <f t="shared" si="43"/>
        <v/>
      </c>
      <c r="P96" s="53" t="str">
        <f t="shared" si="32"/>
        <v/>
      </c>
      <c r="Q96" s="54" t="str">
        <f t="shared" si="33"/>
        <v/>
      </c>
      <c r="R96" s="56">
        <v>6</v>
      </c>
      <c r="S96" s="53">
        <v>1</v>
      </c>
      <c r="T96" s="53">
        <v>0</v>
      </c>
      <c r="U96" s="53">
        <v>0</v>
      </c>
      <c r="V96" s="53">
        <v>25</v>
      </c>
      <c r="W96" s="56">
        <f t="shared" si="49"/>
        <v>0</v>
      </c>
      <c r="X96" s="52"/>
      <c r="Y96" s="53"/>
      <c r="Z96" s="53"/>
      <c r="AA96" s="53"/>
      <c r="AB96" s="53"/>
      <c r="AC96" s="54" t="str">
        <f t="shared" si="48"/>
        <v/>
      </c>
      <c r="AD96" s="56"/>
      <c r="AE96" s="53"/>
      <c r="AF96" s="53"/>
      <c r="AG96" s="53"/>
      <c r="AH96" s="53"/>
      <c r="AI96" s="100" t="str">
        <f t="shared" si="50"/>
        <v/>
      </c>
    </row>
    <row r="97" spans="1:35" ht="15" thickBot="1" x14ac:dyDescent="0.2">
      <c r="A97" s="83">
        <f>'Match Summary'!$B$10</f>
        <v>42161</v>
      </c>
      <c r="B97" s="84" t="str">
        <f>'Match Summary'!$C$10</f>
        <v>TOUR_Alderney 1</v>
      </c>
      <c r="C97" s="85"/>
      <c r="D97" s="86" t="s">
        <v>174</v>
      </c>
      <c r="E97" s="85"/>
      <c r="F97" s="85"/>
      <c r="G97" s="115"/>
      <c r="H97" s="86">
        <v>7</v>
      </c>
      <c r="I97" s="85"/>
      <c r="J97" s="85"/>
      <c r="K97" s="85"/>
      <c r="L97" s="85"/>
      <c r="M97" s="85"/>
      <c r="N97" s="85"/>
      <c r="O97" s="85"/>
      <c r="P97" s="87"/>
      <c r="Q97" s="88"/>
      <c r="R97" s="86">
        <f>SUBTOTAL(9,R86:R96)</f>
        <v>30</v>
      </c>
      <c r="S97" s="91">
        <f t="shared" ref="S97" si="51">SUBTOTAL(9,S86:S96)</f>
        <v>6</v>
      </c>
      <c r="T97" s="86">
        <f>SUBTOTAL(9,T86:T96)</f>
        <v>5</v>
      </c>
      <c r="U97" s="86">
        <f>SUBTOTAL(9,U86:U96)</f>
        <v>1</v>
      </c>
      <c r="V97" s="86">
        <f>SUBTOTAL(9,V86:V96)</f>
        <v>121</v>
      </c>
      <c r="W97" s="86">
        <f>SUBTOTAL(9,W86:W96)</f>
        <v>6</v>
      </c>
      <c r="X97" s="85"/>
      <c r="Y97" s="85"/>
      <c r="Z97" s="85"/>
      <c r="AA97" s="85"/>
      <c r="AB97" s="85"/>
      <c r="AC97" s="85" t="s">
        <v>259</v>
      </c>
      <c r="AD97" s="92">
        <v>3</v>
      </c>
      <c r="AE97" s="85"/>
      <c r="AF97" s="85"/>
      <c r="AG97" s="85"/>
      <c r="AH97" s="85"/>
      <c r="AI97" s="101"/>
    </row>
    <row r="98" spans="1:35" x14ac:dyDescent="0.15">
      <c r="A98" s="75">
        <f>'Match Summary'!$B$11</f>
        <v>42162</v>
      </c>
      <c r="B98" s="76" t="str">
        <f>'Match Summary'!$C$11</f>
        <v>TOUR_Alderney 2</v>
      </c>
      <c r="C98" s="77">
        <v>1</v>
      </c>
      <c r="D98" s="97" t="s">
        <v>45</v>
      </c>
      <c r="E98" s="79"/>
      <c r="F98" s="80"/>
      <c r="G98" s="105" t="s">
        <v>199</v>
      </c>
      <c r="H98" s="77">
        <v>8</v>
      </c>
      <c r="I98" s="77" t="s">
        <v>202</v>
      </c>
      <c r="J98" s="81">
        <v>12</v>
      </c>
      <c r="K98" s="81">
        <v>12</v>
      </c>
      <c r="L98" s="81">
        <v>2</v>
      </c>
      <c r="M98" s="81"/>
      <c r="N98" s="79" t="str">
        <f t="shared" ref="N98" si="52">IF(I98="NO",1,"")</f>
        <v/>
      </c>
      <c r="O98" s="81" t="str">
        <f t="shared" ref="O98" si="53">IF(OR(H98&gt;0,H98=""),"",IF(I98="no","",1))</f>
        <v/>
      </c>
      <c r="P98" s="81" t="str">
        <f t="shared" ref="P98" si="54">IF(AND(H98&gt;=50,H98&lt;100),1,"")</f>
        <v/>
      </c>
      <c r="Q98" s="80" t="str">
        <f t="shared" ref="Q98" si="55">IF(H98&gt;=100,1,"")</f>
        <v/>
      </c>
      <c r="R98" s="77">
        <v>9</v>
      </c>
      <c r="S98" s="81">
        <v>1</v>
      </c>
      <c r="T98" s="81">
        <v>2</v>
      </c>
      <c r="U98" s="81">
        <v>0</v>
      </c>
      <c r="V98" s="81">
        <v>27</v>
      </c>
      <c r="W98" s="77">
        <f>IF(R98="","",SUM(X98:AB98))</f>
        <v>2</v>
      </c>
      <c r="X98" s="79"/>
      <c r="Y98" s="81"/>
      <c r="Z98" s="81">
        <v>2</v>
      </c>
      <c r="AA98" s="81"/>
      <c r="AB98" s="81"/>
      <c r="AC98" s="80" t="str">
        <f t="shared" ref="AC98:AC108" si="56">IF(AND(ISNUMBER(W98),W98&gt;=5),1,"")</f>
        <v/>
      </c>
      <c r="AD98" s="77"/>
      <c r="AE98" s="81"/>
      <c r="AF98" s="81"/>
      <c r="AG98" s="81"/>
      <c r="AH98" s="81"/>
      <c r="AI98" s="98" t="str">
        <f>IF(SUM(AE98:AH98)=0,"",SUM(AE98:AH98))</f>
        <v/>
      </c>
    </row>
    <row r="99" spans="1:35" x14ac:dyDescent="0.15">
      <c r="A99" s="82">
        <f>'Match Summary'!$B$11</f>
        <v>42162</v>
      </c>
      <c r="B99" s="64" t="str">
        <f>'Match Summary'!$C$11</f>
        <v>TOUR_Alderney 2</v>
      </c>
      <c r="C99" s="59">
        <v>2</v>
      </c>
      <c r="D99" s="60" t="s">
        <v>117</v>
      </c>
      <c r="E99" s="49"/>
      <c r="F99" s="51"/>
      <c r="G99" s="106" t="s">
        <v>199</v>
      </c>
      <c r="H99" s="59">
        <v>1</v>
      </c>
      <c r="I99" s="59" t="s">
        <v>201</v>
      </c>
      <c r="J99" s="57">
        <v>3</v>
      </c>
      <c r="K99" s="57">
        <v>5</v>
      </c>
      <c r="L99" s="50"/>
      <c r="M99" s="50"/>
      <c r="N99" s="49" t="str">
        <f t="shared" ref="N99:N108" si="57">IF(I99="NO",1,"")</f>
        <v/>
      </c>
      <c r="O99" s="50" t="str">
        <f t="shared" ref="O99:O108" si="58">IF(OR(H99&gt;0,H99=""),"",IF(I99="no","",1))</f>
        <v/>
      </c>
      <c r="P99" s="50" t="str">
        <f t="shared" ref="P99:P109" si="59">IF(AND(H99&gt;=50,H99&lt;100),1,"")</f>
        <v/>
      </c>
      <c r="Q99" s="51" t="str">
        <f t="shared" ref="Q99:Q109" si="60">IF(H99&gt;=100,1,"")</f>
        <v/>
      </c>
      <c r="R99" s="59"/>
      <c r="S99" s="50"/>
      <c r="T99" s="50"/>
      <c r="U99" s="50"/>
      <c r="V99" s="50"/>
      <c r="W99" s="59" t="str">
        <f t="shared" ref="W99:W108" si="61">IF(R99="","",SUM(X99:AB99))</f>
        <v/>
      </c>
      <c r="X99" s="49"/>
      <c r="Y99" s="50"/>
      <c r="Z99" s="50"/>
      <c r="AA99" s="50"/>
      <c r="AB99" s="50"/>
      <c r="AC99" s="51" t="str">
        <f t="shared" si="56"/>
        <v/>
      </c>
      <c r="AD99" s="59"/>
      <c r="AE99" s="50"/>
      <c r="AF99" s="50"/>
      <c r="AG99" s="50"/>
      <c r="AH99" s="50"/>
      <c r="AI99" s="99" t="str">
        <f t="shared" ref="AI99:AI108" si="62">IF(SUM(AE99:AH99)=0,"",SUM(AE99:AH99))</f>
        <v/>
      </c>
    </row>
    <row r="100" spans="1:35" x14ac:dyDescent="0.15">
      <c r="A100" s="82">
        <f>'Match Summary'!$B$11</f>
        <v>42162</v>
      </c>
      <c r="B100" s="64" t="str">
        <f>'Match Summary'!$C$11</f>
        <v>TOUR_Alderney 2</v>
      </c>
      <c r="C100" s="59">
        <v>3</v>
      </c>
      <c r="D100" s="60" t="s">
        <v>49</v>
      </c>
      <c r="E100" s="49"/>
      <c r="F100" s="51" t="s">
        <v>195</v>
      </c>
      <c r="G100" s="106" t="s">
        <v>199</v>
      </c>
      <c r="H100" s="59">
        <v>0</v>
      </c>
      <c r="I100" s="59" t="s">
        <v>201</v>
      </c>
      <c r="J100" s="57">
        <v>5</v>
      </c>
      <c r="K100" s="57">
        <v>8</v>
      </c>
      <c r="L100" s="57"/>
      <c r="M100" s="50"/>
      <c r="N100" s="49" t="str">
        <f t="shared" si="57"/>
        <v/>
      </c>
      <c r="O100" s="50">
        <f t="shared" si="58"/>
        <v>1</v>
      </c>
      <c r="P100" s="50" t="str">
        <f t="shared" si="59"/>
        <v/>
      </c>
      <c r="Q100" s="51" t="str">
        <f t="shared" si="60"/>
        <v/>
      </c>
      <c r="R100" s="59"/>
      <c r="S100" s="50"/>
      <c r="T100" s="50"/>
      <c r="U100" s="57"/>
      <c r="V100" s="57"/>
      <c r="W100" s="59" t="str">
        <f t="shared" si="61"/>
        <v/>
      </c>
      <c r="X100" s="49"/>
      <c r="Y100" s="50"/>
      <c r="Z100" s="57"/>
      <c r="AA100" s="50"/>
      <c r="AB100" s="50"/>
      <c r="AC100" s="51" t="str">
        <f t="shared" si="56"/>
        <v/>
      </c>
      <c r="AD100" s="59">
        <v>5</v>
      </c>
      <c r="AE100" s="50"/>
      <c r="AF100" s="50"/>
      <c r="AG100" s="50"/>
      <c r="AH100" s="50">
        <v>1</v>
      </c>
      <c r="AI100" s="99">
        <f t="shared" si="62"/>
        <v>1</v>
      </c>
    </row>
    <row r="101" spans="1:35" x14ac:dyDescent="0.15">
      <c r="A101" s="82">
        <f>'Match Summary'!$B$11</f>
        <v>42162</v>
      </c>
      <c r="B101" s="64" t="str">
        <f>'Match Summary'!$C$11</f>
        <v>TOUR_Alderney 2</v>
      </c>
      <c r="C101" s="59">
        <v>4</v>
      </c>
      <c r="D101" s="61" t="s">
        <v>47</v>
      </c>
      <c r="E101" s="49" t="s">
        <v>195</v>
      </c>
      <c r="F101" s="51"/>
      <c r="G101" s="106" t="s">
        <v>199</v>
      </c>
      <c r="H101" s="59">
        <v>12</v>
      </c>
      <c r="I101" s="59" t="s">
        <v>202</v>
      </c>
      <c r="J101" s="57">
        <v>23</v>
      </c>
      <c r="K101" s="57">
        <v>33</v>
      </c>
      <c r="L101" s="57">
        <v>1</v>
      </c>
      <c r="M101" s="50"/>
      <c r="N101" s="49" t="str">
        <f t="shared" si="57"/>
        <v/>
      </c>
      <c r="O101" s="50" t="str">
        <f t="shared" si="58"/>
        <v/>
      </c>
      <c r="P101" s="50" t="str">
        <f t="shared" si="59"/>
        <v/>
      </c>
      <c r="Q101" s="51" t="str">
        <f t="shared" si="60"/>
        <v/>
      </c>
      <c r="R101" s="59">
        <v>9</v>
      </c>
      <c r="S101" s="50">
        <v>2</v>
      </c>
      <c r="T101" s="50">
        <v>2</v>
      </c>
      <c r="U101" s="57">
        <v>0</v>
      </c>
      <c r="V101" s="57">
        <v>28</v>
      </c>
      <c r="W101" s="59">
        <f t="shared" si="61"/>
        <v>1</v>
      </c>
      <c r="X101" s="49"/>
      <c r="Y101" s="50"/>
      <c r="Z101" s="57">
        <v>1</v>
      </c>
      <c r="AA101" s="50"/>
      <c r="AB101" s="50"/>
      <c r="AC101" s="51" t="str">
        <f t="shared" si="56"/>
        <v/>
      </c>
      <c r="AD101" s="59"/>
      <c r="AE101" s="50"/>
      <c r="AF101" s="50"/>
      <c r="AG101" s="50"/>
      <c r="AH101" s="50"/>
      <c r="AI101" s="99" t="str">
        <f t="shared" si="62"/>
        <v/>
      </c>
    </row>
    <row r="102" spans="1:35" x14ac:dyDescent="0.15">
      <c r="A102" s="82">
        <f>'Match Summary'!$B$11</f>
        <v>42162</v>
      </c>
      <c r="B102" s="64" t="str">
        <f>'Match Summary'!$C$11</f>
        <v>TOUR_Alderney 2</v>
      </c>
      <c r="C102" s="59">
        <v>5</v>
      </c>
      <c r="D102" s="61" t="s">
        <v>40</v>
      </c>
      <c r="E102" s="49"/>
      <c r="F102" s="51"/>
      <c r="G102" s="106" t="s">
        <v>199</v>
      </c>
      <c r="H102" s="59">
        <v>12</v>
      </c>
      <c r="I102" s="59" t="s">
        <v>201</v>
      </c>
      <c r="J102" s="57">
        <v>47</v>
      </c>
      <c r="K102" s="57">
        <v>43</v>
      </c>
      <c r="L102" s="57">
        <v>1</v>
      </c>
      <c r="M102" s="50"/>
      <c r="N102" s="49" t="str">
        <f t="shared" si="57"/>
        <v/>
      </c>
      <c r="O102" s="50" t="str">
        <f t="shared" si="58"/>
        <v/>
      </c>
      <c r="P102" s="50" t="str">
        <f t="shared" si="59"/>
        <v/>
      </c>
      <c r="Q102" s="51" t="str">
        <f t="shared" si="60"/>
        <v/>
      </c>
      <c r="R102" s="59">
        <v>6</v>
      </c>
      <c r="S102" s="50">
        <v>2</v>
      </c>
      <c r="T102" s="50">
        <v>0</v>
      </c>
      <c r="U102" s="57">
        <v>1</v>
      </c>
      <c r="V102" s="57">
        <v>41</v>
      </c>
      <c r="W102" s="59">
        <f t="shared" si="61"/>
        <v>1</v>
      </c>
      <c r="X102" s="49"/>
      <c r="Y102" s="57">
        <v>1</v>
      </c>
      <c r="Z102" s="57"/>
      <c r="AA102" s="50"/>
      <c r="AB102" s="50"/>
      <c r="AC102" s="51" t="str">
        <f t="shared" si="56"/>
        <v/>
      </c>
      <c r="AD102" s="59"/>
      <c r="AE102" s="50"/>
      <c r="AF102" s="50">
        <v>1</v>
      </c>
      <c r="AG102" s="50"/>
      <c r="AH102" s="50"/>
      <c r="AI102" s="99">
        <f t="shared" si="62"/>
        <v>1</v>
      </c>
    </row>
    <row r="103" spans="1:35" x14ac:dyDescent="0.15">
      <c r="A103" s="82">
        <f>'Match Summary'!$B$11</f>
        <v>42162</v>
      </c>
      <c r="B103" s="64" t="str">
        <f>'Match Summary'!$C$11</f>
        <v>TOUR_Alderney 2</v>
      </c>
      <c r="C103" s="59">
        <v>6</v>
      </c>
      <c r="D103" s="61" t="s">
        <v>111</v>
      </c>
      <c r="E103" s="49"/>
      <c r="F103" s="51"/>
      <c r="G103" s="106" t="s">
        <v>199</v>
      </c>
      <c r="H103" s="59">
        <v>0</v>
      </c>
      <c r="I103" s="59" t="s">
        <v>201</v>
      </c>
      <c r="J103" s="57">
        <v>6</v>
      </c>
      <c r="K103" s="57">
        <v>10</v>
      </c>
      <c r="L103" s="57"/>
      <c r="M103" s="50"/>
      <c r="N103" s="49" t="str">
        <f t="shared" si="57"/>
        <v/>
      </c>
      <c r="O103" s="50">
        <f t="shared" si="58"/>
        <v>1</v>
      </c>
      <c r="P103" s="50" t="str">
        <f t="shared" si="59"/>
        <v/>
      </c>
      <c r="Q103" s="51" t="str">
        <f t="shared" si="60"/>
        <v/>
      </c>
      <c r="R103" s="59">
        <v>1</v>
      </c>
      <c r="S103" s="57">
        <v>0</v>
      </c>
      <c r="T103" s="57">
        <v>0</v>
      </c>
      <c r="U103" s="57">
        <v>0</v>
      </c>
      <c r="V103" s="57">
        <v>12</v>
      </c>
      <c r="W103" s="59">
        <f t="shared" si="61"/>
        <v>0</v>
      </c>
      <c r="X103" s="49"/>
      <c r="Y103" s="50"/>
      <c r="Z103" s="50"/>
      <c r="AA103" s="50"/>
      <c r="AB103" s="50"/>
      <c r="AC103" s="51" t="str">
        <f t="shared" si="56"/>
        <v/>
      </c>
      <c r="AD103" s="59"/>
      <c r="AE103" s="50"/>
      <c r="AF103" s="50"/>
      <c r="AG103" s="50"/>
      <c r="AH103" s="50"/>
      <c r="AI103" s="99" t="str">
        <f t="shared" si="62"/>
        <v/>
      </c>
    </row>
    <row r="104" spans="1:35" x14ac:dyDescent="0.15">
      <c r="A104" s="82">
        <f>'Match Summary'!$B$11</f>
        <v>42162</v>
      </c>
      <c r="B104" s="64" t="str">
        <f>'Match Summary'!$C$11</f>
        <v>TOUR_Alderney 2</v>
      </c>
      <c r="C104" s="59">
        <v>7</v>
      </c>
      <c r="D104" s="60" t="s">
        <v>156</v>
      </c>
      <c r="E104" s="49"/>
      <c r="F104" s="51"/>
      <c r="G104" s="106" t="s">
        <v>199</v>
      </c>
      <c r="H104" s="59">
        <v>29</v>
      </c>
      <c r="I104" s="59" t="s">
        <v>201</v>
      </c>
      <c r="J104" s="57">
        <v>26</v>
      </c>
      <c r="K104" s="57">
        <v>33</v>
      </c>
      <c r="L104" s="57">
        <v>5</v>
      </c>
      <c r="M104" s="57"/>
      <c r="N104" s="49" t="str">
        <f t="shared" si="57"/>
        <v/>
      </c>
      <c r="O104" s="50" t="str">
        <f t="shared" si="58"/>
        <v/>
      </c>
      <c r="P104" s="50" t="str">
        <f t="shared" si="59"/>
        <v/>
      </c>
      <c r="Q104" s="51" t="str">
        <f t="shared" si="60"/>
        <v/>
      </c>
      <c r="R104" s="59"/>
      <c r="S104" s="50"/>
      <c r="T104" s="50"/>
      <c r="U104" s="57"/>
      <c r="V104" s="57"/>
      <c r="W104" s="59" t="str">
        <f t="shared" si="61"/>
        <v/>
      </c>
      <c r="X104" s="49"/>
      <c r="Y104" s="50"/>
      <c r="Z104" s="57"/>
      <c r="AA104" s="50"/>
      <c r="AB104" s="50"/>
      <c r="AC104" s="51" t="str">
        <f>IF(AND(ISNUMBER(W104),W104&gt;=5),1,"")</f>
        <v/>
      </c>
      <c r="AD104" s="59"/>
      <c r="AE104" s="50"/>
      <c r="AF104" s="50"/>
      <c r="AG104" s="50"/>
      <c r="AH104" s="50"/>
      <c r="AI104" s="99" t="str">
        <f t="shared" si="62"/>
        <v/>
      </c>
    </row>
    <row r="105" spans="1:35" x14ac:dyDescent="0.15">
      <c r="A105" s="82">
        <f>'Match Summary'!$B$11</f>
        <v>42162</v>
      </c>
      <c r="B105" s="64" t="str">
        <f>'Match Summary'!$C$11</f>
        <v>TOUR_Alderney 2</v>
      </c>
      <c r="C105" s="59">
        <v>8</v>
      </c>
      <c r="D105" s="61" t="s">
        <v>48</v>
      </c>
      <c r="E105" s="49"/>
      <c r="F105" s="51"/>
      <c r="G105" s="106" t="s">
        <v>199</v>
      </c>
      <c r="H105" s="59">
        <v>9</v>
      </c>
      <c r="I105" s="59" t="s">
        <v>202</v>
      </c>
      <c r="J105" s="57">
        <v>25</v>
      </c>
      <c r="K105" s="57">
        <v>20</v>
      </c>
      <c r="L105" s="57">
        <v>1</v>
      </c>
      <c r="M105" s="50"/>
      <c r="N105" s="49" t="str">
        <f t="shared" si="57"/>
        <v/>
      </c>
      <c r="O105" s="50" t="str">
        <f t="shared" si="58"/>
        <v/>
      </c>
      <c r="P105" s="50" t="str">
        <f t="shared" si="59"/>
        <v/>
      </c>
      <c r="Q105" s="51" t="str">
        <f t="shared" si="60"/>
        <v/>
      </c>
      <c r="R105" s="59">
        <v>2</v>
      </c>
      <c r="S105" s="50">
        <v>0</v>
      </c>
      <c r="T105" s="50">
        <v>0</v>
      </c>
      <c r="U105" s="57">
        <v>0</v>
      </c>
      <c r="V105" s="57">
        <v>19</v>
      </c>
      <c r="W105" s="59">
        <f t="shared" si="61"/>
        <v>0</v>
      </c>
      <c r="X105" s="49"/>
      <c r="Y105" s="50"/>
      <c r="Z105" s="57"/>
      <c r="AA105" s="50"/>
      <c r="AB105" s="50"/>
      <c r="AC105" s="51" t="str">
        <f t="shared" si="56"/>
        <v/>
      </c>
      <c r="AD105" s="59"/>
      <c r="AE105" s="50"/>
      <c r="AF105" s="50">
        <v>1</v>
      </c>
      <c r="AG105" s="50"/>
      <c r="AH105" s="50"/>
      <c r="AI105" s="99">
        <f t="shared" si="62"/>
        <v>1</v>
      </c>
    </row>
    <row r="106" spans="1:35" x14ac:dyDescent="0.15">
      <c r="A106" s="82">
        <f>'Match Summary'!$B$11</f>
        <v>42162</v>
      </c>
      <c r="B106" s="64" t="str">
        <f>'Match Summary'!$C$11</f>
        <v>TOUR_Alderney 2</v>
      </c>
      <c r="C106" s="59">
        <v>9</v>
      </c>
      <c r="D106" s="61" t="s">
        <v>214</v>
      </c>
      <c r="E106" s="49"/>
      <c r="F106" s="51"/>
      <c r="G106" s="106" t="s">
        <v>199</v>
      </c>
      <c r="H106" s="59">
        <v>15</v>
      </c>
      <c r="I106" s="59" t="s">
        <v>203</v>
      </c>
      <c r="J106" s="57">
        <v>34</v>
      </c>
      <c r="K106" s="57">
        <v>35</v>
      </c>
      <c r="L106" s="57">
        <v>2</v>
      </c>
      <c r="M106" s="57">
        <v>1</v>
      </c>
      <c r="N106" s="49">
        <f t="shared" si="57"/>
        <v>1</v>
      </c>
      <c r="O106" s="50" t="str">
        <f t="shared" si="58"/>
        <v/>
      </c>
      <c r="P106" s="50" t="str">
        <f t="shared" si="59"/>
        <v/>
      </c>
      <c r="Q106" s="51" t="str">
        <f t="shared" si="60"/>
        <v/>
      </c>
      <c r="R106" s="59">
        <v>2</v>
      </c>
      <c r="S106" s="57">
        <v>0</v>
      </c>
      <c r="T106" s="57">
        <v>0</v>
      </c>
      <c r="U106" s="57">
        <v>0</v>
      </c>
      <c r="V106" s="57">
        <v>14</v>
      </c>
      <c r="W106" s="59">
        <f t="shared" si="61"/>
        <v>0</v>
      </c>
      <c r="X106" s="49"/>
      <c r="Y106" s="50"/>
      <c r="Z106" s="50"/>
      <c r="AA106" s="50"/>
      <c r="AB106" s="50"/>
      <c r="AC106" s="51" t="str">
        <f t="shared" si="56"/>
        <v/>
      </c>
      <c r="AD106" s="59"/>
      <c r="AE106" s="50"/>
      <c r="AF106" s="50"/>
      <c r="AG106" s="50"/>
      <c r="AH106" s="50"/>
      <c r="AI106" s="99" t="str">
        <f t="shared" si="62"/>
        <v/>
      </c>
    </row>
    <row r="107" spans="1:35" x14ac:dyDescent="0.15">
      <c r="A107" s="82">
        <f>'Match Summary'!$B$11</f>
        <v>42162</v>
      </c>
      <c r="B107" s="64" t="str">
        <f>'Match Summary'!$C$11</f>
        <v>TOUR_Alderney 2</v>
      </c>
      <c r="C107" s="59">
        <v>10</v>
      </c>
      <c r="D107" s="60" t="s">
        <v>103</v>
      </c>
      <c r="E107" s="49"/>
      <c r="F107" s="51"/>
      <c r="G107" s="106" t="s">
        <v>199</v>
      </c>
      <c r="H107" s="59">
        <v>1</v>
      </c>
      <c r="I107" s="59" t="s">
        <v>202</v>
      </c>
      <c r="J107" s="57">
        <v>17</v>
      </c>
      <c r="K107" s="57">
        <v>10</v>
      </c>
      <c r="L107" s="50"/>
      <c r="M107" s="50"/>
      <c r="N107" s="49" t="str">
        <f t="shared" si="57"/>
        <v/>
      </c>
      <c r="O107" s="50" t="str">
        <f t="shared" si="58"/>
        <v/>
      </c>
      <c r="P107" s="50" t="str">
        <f t="shared" si="59"/>
        <v/>
      </c>
      <c r="Q107" s="51" t="str">
        <f t="shared" si="60"/>
        <v/>
      </c>
      <c r="R107" s="59"/>
      <c r="S107" s="50"/>
      <c r="T107" s="50"/>
      <c r="U107" s="50"/>
      <c r="V107" s="50"/>
      <c r="W107" s="59" t="str">
        <f t="shared" si="61"/>
        <v/>
      </c>
      <c r="X107" s="49"/>
      <c r="Y107" s="50"/>
      <c r="Z107" s="50"/>
      <c r="AA107" s="50"/>
      <c r="AB107" s="50"/>
      <c r="AC107" s="51" t="str">
        <f t="shared" si="56"/>
        <v/>
      </c>
      <c r="AD107" s="59"/>
      <c r="AE107" s="50">
        <v>2</v>
      </c>
      <c r="AF107" s="50"/>
      <c r="AG107" s="50"/>
      <c r="AH107" s="50"/>
      <c r="AI107" s="99">
        <f t="shared" si="62"/>
        <v>2</v>
      </c>
    </row>
    <row r="108" spans="1:35" x14ac:dyDescent="0.15">
      <c r="A108" s="82">
        <f>'Match Summary'!$B$11</f>
        <v>42162</v>
      </c>
      <c r="B108" s="64" t="str">
        <f>'Match Summary'!$C$11</f>
        <v>TOUR_Alderney 2</v>
      </c>
      <c r="C108" s="56">
        <v>11</v>
      </c>
      <c r="D108" s="62" t="s">
        <v>44</v>
      </c>
      <c r="E108" s="52"/>
      <c r="F108" s="54"/>
      <c r="G108" s="107" t="s">
        <v>199</v>
      </c>
      <c r="H108" s="56">
        <v>0</v>
      </c>
      <c r="I108" s="56" t="s">
        <v>202</v>
      </c>
      <c r="J108" s="53">
        <v>16</v>
      </c>
      <c r="K108" s="53">
        <v>18</v>
      </c>
      <c r="L108" s="53"/>
      <c r="M108" s="53"/>
      <c r="N108" s="52" t="str">
        <f t="shared" si="57"/>
        <v/>
      </c>
      <c r="O108" s="53">
        <f t="shared" si="58"/>
        <v>1</v>
      </c>
      <c r="P108" s="53" t="str">
        <f t="shared" si="59"/>
        <v/>
      </c>
      <c r="Q108" s="54" t="str">
        <f t="shared" si="60"/>
        <v/>
      </c>
      <c r="R108" s="56">
        <v>7</v>
      </c>
      <c r="S108" s="53">
        <v>2</v>
      </c>
      <c r="T108" s="53">
        <v>0</v>
      </c>
      <c r="U108" s="53">
        <v>0</v>
      </c>
      <c r="V108" s="53">
        <v>18</v>
      </c>
      <c r="W108" s="56">
        <f t="shared" si="61"/>
        <v>0</v>
      </c>
      <c r="X108" s="52"/>
      <c r="Y108" s="53"/>
      <c r="Z108" s="53"/>
      <c r="AA108" s="53"/>
      <c r="AB108" s="53"/>
      <c r="AC108" s="54" t="str">
        <f t="shared" si="56"/>
        <v/>
      </c>
      <c r="AD108" s="56"/>
      <c r="AE108" s="53"/>
      <c r="AF108" s="53"/>
      <c r="AG108" s="53"/>
      <c r="AH108" s="53"/>
      <c r="AI108" s="100" t="str">
        <f t="shared" si="62"/>
        <v/>
      </c>
    </row>
    <row r="109" spans="1:35" ht="15" thickBot="1" x14ac:dyDescent="0.2">
      <c r="A109" s="83">
        <f>'Match Summary'!$B$11</f>
        <v>42162</v>
      </c>
      <c r="B109" s="84" t="str">
        <f>'Match Summary'!$C$11</f>
        <v>TOUR_Alderney 2</v>
      </c>
      <c r="C109" s="85"/>
      <c r="D109" s="86" t="s">
        <v>174</v>
      </c>
      <c r="E109" s="85"/>
      <c r="F109" s="85"/>
      <c r="G109" s="115"/>
      <c r="H109" s="86">
        <v>5</v>
      </c>
      <c r="I109" s="85"/>
      <c r="J109" s="85"/>
      <c r="K109" s="85"/>
      <c r="L109" s="85"/>
      <c r="M109" s="85"/>
      <c r="N109" s="85"/>
      <c r="O109" s="85"/>
      <c r="P109" s="87" t="str">
        <f t="shared" si="59"/>
        <v/>
      </c>
      <c r="Q109" s="88" t="str">
        <f t="shared" si="60"/>
        <v/>
      </c>
      <c r="R109" s="86">
        <f>SUBTOTAL(9,R98:R108)</f>
        <v>36</v>
      </c>
      <c r="S109" s="91">
        <f t="shared" ref="S109" si="63">SUBTOTAL(9,S98:S108)</f>
        <v>7</v>
      </c>
      <c r="T109" s="86">
        <f>SUBTOTAL(9,T98:T108)</f>
        <v>4</v>
      </c>
      <c r="U109" s="86">
        <f>SUBTOTAL(9,U98:U108)</f>
        <v>1</v>
      </c>
      <c r="V109" s="86">
        <f>SUBTOTAL(9,V98:V108)</f>
        <v>159</v>
      </c>
      <c r="W109" s="86">
        <f>SUBTOTAL(9,W98:W108)</f>
        <v>4</v>
      </c>
      <c r="X109" s="85"/>
      <c r="Y109" s="85"/>
      <c r="Z109" s="85"/>
      <c r="AA109" s="85"/>
      <c r="AB109" s="85"/>
      <c r="AC109" s="85" t="s">
        <v>259</v>
      </c>
      <c r="AD109" s="92">
        <v>4</v>
      </c>
      <c r="AE109" s="85"/>
      <c r="AF109" s="86"/>
      <c r="AG109" s="85"/>
      <c r="AH109" s="85"/>
      <c r="AI109" s="101"/>
    </row>
    <row r="110" spans="1:35" x14ac:dyDescent="0.15">
      <c r="A110" s="75">
        <f>'Match Summary'!$B$12</f>
        <v>42169</v>
      </c>
      <c r="B110" s="76" t="str">
        <f>'Match Summary'!$C$12</f>
        <v>Thaxted_</v>
      </c>
      <c r="C110" s="77">
        <v>1</v>
      </c>
      <c r="D110" s="17" t="s">
        <v>111</v>
      </c>
      <c r="E110" s="79"/>
      <c r="F110" s="80"/>
      <c r="G110" s="105" t="s">
        <v>199</v>
      </c>
      <c r="H110" s="77">
        <v>37</v>
      </c>
      <c r="I110" s="77" t="s">
        <v>202</v>
      </c>
      <c r="J110" s="81">
        <v>49</v>
      </c>
      <c r="K110" s="81">
        <v>45</v>
      </c>
      <c r="L110" s="81">
        <v>7</v>
      </c>
      <c r="M110" s="81"/>
      <c r="N110" s="79" t="str">
        <f t="shared" ref="N110" si="64">IF(I110="NO",1,"")</f>
        <v/>
      </c>
      <c r="O110" s="81" t="str">
        <f t="shared" ref="O110" si="65">IF(OR(H110&gt;0,H110=""),"",IF(I110="no","",1))</f>
        <v/>
      </c>
      <c r="P110" s="81" t="str">
        <f t="shared" ref="P110" si="66">IF(AND(H110&gt;=50,H110&lt;100),1,"")</f>
        <v/>
      </c>
      <c r="Q110" s="80" t="str">
        <f t="shared" ref="Q110" si="67">IF(H110&gt;=100,1,"")</f>
        <v/>
      </c>
      <c r="R110" s="77"/>
      <c r="S110" s="81"/>
      <c r="T110" s="81"/>
      <c r="U110" s="81"/>
      <c r="V110" s="81"/>
      <c r="W110" s="77" t="str">
        <f>IF(R110="","",SUM(X110:AB110))</f>
        <v/>
      </c>
      <c r="X110" s="79"/>
      <c r="Y110" s="81"/>
      <c r="Z110" s="81"/>
      <c r="AA110" s="81"/>
      <c r="AB110" s="81"/>
      <c r="AC110" s="80" t="str">
        <f t="shared" ref="AC110:AC120" si="68">IF(AND(ISNUMBER(W110),W110&gt;=5),1,"")</f>
        <v/>
      </c>
      <c r="AD110" s="77"/>
      <c r="AE110" s="81"/>
      <c r="AF110" s="81"/>
      <c r="AG110" s="81"/>
      <c r="AH110" s="81"/>
      <c r="AI110" s="98" t="str">
        <f>IF(SUM(AE110:AH110)=0,"",SUM(AE110:AH110))</f>
        <v/>
      </c>
    </row>
    <row r="111" spans="1:35" x14ac:dyDescent="0.15">
      <c r="A111" s="82">
        <f>'Match Summary'!$B$12</f>
        <v>42169</v>
      </c>
      <c r="B111" s="64" t="str">
        <f>'Match Summary'!$C$12</f>
        <v>Thaxted_</v>
      </c>
      <c r="C111" s="59">
        <v>2</v>
      </c>
      <c r="D111" s="1" t="s">
        <v>42</v>
      </c>
      <c r="E111" s="49"/>
      <c r="F111" s="51"/>
      <c r="G111" s="106" t="s">
        <v>199</v>
      </c>
      <c r="H111" s="59">
        <v>5</v>
      </c>
      <c r="I111" s="59" t="s">
        <v>202</v>
      </c>
      <c r="J111" s="57">
        <v>6</v>
      </c>
      <c r="K111" s="57">
        <v>13</v>
      </c>
      <c r="L111" s="57">
        <v>1</v>
      </c>
      <c r="M111" s="50"/>
      <c r="N111" s="49" t="str">
        <f t="shared" ref="N111:N120" si="69">IF(I111="NO",1,"")</f>
        <v/>
      </c>
      <c r="O111" s="50" t="str">
        <f t="shared" ref="O111:O120" si="70">IF(OR(H111&gt;0,H111=""),"",IF(I111="no","",1))</f>
        <v/>
      </c>
      <c r="P111" s="50" t="str">
        <f t="shared" ref="P111:P121" si="71">IF(AND(H111&gt;=50,H111&lt;100),1,"")</f>
        <v/>
      </c>
      <c r="Q111" s="51" t="str">
        <f t="shared" ref="Q111:Q121" si="72">IF(H111&gt;=100,1,"")</f>
        <v/>
      </c>
      <c r="R111" s="59"/>
      <c r="S111" s="50"/>
      <c r="T111" s="50"/>
      <c r="U111" s="50"/>
      <c r="V111" s="50"/>
      <c r="W111" s="59" t="str">
        <f t="shared" ref="W111:W120" si="73">IF(R111="","",SUM(X111:AB111))</f>
        <v/>
      </c>
      <c r="X111" s="49"/>
      <c r="Y111" s="50"/>
      <c r="Z111" s="50"/>
      <c r="AA111" s="50"/>
      <c r="AB111" s="50"/>
      <c r="AC111" s="51" t="str">
        <f t="shared" si="68"/>
        <v/>
      </c>
      <c r="AD111" s="59"/>
      <c r="AE111" s="50"/>
      <c r="AF111" s="50"/>
      <c r="AG111" s="50"/>
      <c r="AH111" s="50"/>
      <c r="AI111" s="99" t="str">
        <f t="shared" ref="AI111:AI120" si="74">IF(SUM(AE111:AH111)=0,"",SUM(AE111:AH111))</f>
        <v/>
      </c>
    </row>
    <row r="112" spans="1:35" x14ac:dyDescent="0.15">
      <c r="A112" s="82">
        <f>'Match Summary'!$B$12</f>
        <v>42169</v>
      </c>
      <c r="B112" s="64" t="str">
        <f>'Match Summary'!$C$12</f>
        <v>Thaxted_</v>
      </c>
      <c r="C112" s="59">
        <v>3</v>
      </c>
      <c r="D112" s="17" t="s">
        <v>239</v>
      </c>
      <c r="E112" s="49"/>
      <c r="F112" s="51"/>
      <c r="G112" s="106" t="s">
        <v>199</v>
      </c>
      <c r="H112" s="59">
        <v>12</v>
      </c>
      <c r="I112" s="59" t="s">
        <v>202</v>
      </c>
      <c r="J112" s="57">
        <v>36</v>
      </c>
      <c r="K112" s="57">
        <v>45</v>
      </c>
      <c r="L112" s="57">
        <v>1</v>
      </c>
      <c r="M112" s="50"/>
      <c r="N112" s="49" t="str">
        <f t="shared" si="69"/>
        <v/>
      </c>
      <c r="O112" s="50" t="str">
        <f t="shared" si="70"/>
        <v/>
      </c>
      <c r="P112" s="50" t="str">
        <f t="shared" si="71"/>
        <v/>
      </c>
      <c r="Q112" s="51" t="str">
        <f t="shared" si="72"/>
        <v/>
      </c>
      <c r="R112" s="59"/>
      <c r="S112" s="50"/>
      <c r="T112" s="50"/>
      <c r="U112" s="57"/>
      <c r="V112" s="57"/>
      <c r="W112" s="59" t="str">
        <f t="shared" si="73"/>
        <v/>
      </c>
      <c r="X112" s="49"/>
      <c r="Y112" s="50"/>
      <c r="Z112" s="57"/>
      <c r="AA112" s="50"/>
      <c r="AB112" s="50"/>
      <c r="AC112" s="51" t="str">
        <f t="shared" si="68"/>
        <v/>
      </c>
      <c r="AD112" s="59"/>
      <c r="AE112" s="50">
        <v>1</v>
      </c>
      <c r="AF112" s="50"/>
      <c r="AG112" s="50"/>
      <c r="AH112" s="50"/>
      <c r="AI112" s="99">
        <f t="shared" si="74"/>
        <v>1</v>
      </c>
    </row>
    <row r="113" spans="1:35" x14ac:dyDescent="0.15">
      <c r="A113" s="82">
        <f>'Match Summary'!$B$12</f>
        <v>42169</v>
      </c>
      <c r="B113" s="64" t="str">
        <f>'Match Summary'!$C$12</f>
        <v>Thaxted_</v>
      </c>
      <c r="C113" s="59">
        <v>4</v>
      </c>
      <c r="D113" s="1" t="s">
        <v>48</v>
      </c>
      <c r="E113" s="49"/>
      <c r="F113" s="51"/>
      <c r="G113" s="106" t="s">
        <v>199</v>
      </c>
      <c r="H113" s="59">
        <v>11</v>
      </c>
      <c r="I113" s="59" t="s">
        <v>202</v>
      </c>
      <c r="J113" s="57">
        <v>22</v>
      </c>
      <c r="K113" s="57">
        <v>28</v>
      </c>
      <c r="L113" s="57">
        <v>1</v>
      </c>
      <c r="M113" s="50"/>
      <c r="N113" s="49" t="str">
        <f t="shared" si="69"/>
        <v/>
      </c>
      <c r="O113" s="50" t="str">
        <f t="shared" si="70"/>
        <v/>
      </c>
      <c r="P113" s="50" t="str">
        <f t="shared" si="71"/>
        <v/>
      </c>
      <c r="Q113" s="51" t="str">
        <f t="shared" si="72"/>
        <v/>
      </c>
      <c r="R113" s="59">
        <v>3</v>
      </c>
      <c r="S113" s="50">
        <v>0</v>
      </c>
      <c r="T113" s="50">
        <v>0</v>
      </c>
      <c r="U113" s="57">
        <v>0</v>
      </c>
      <c r="V113" s="57">
        <v>21</v>
      </c>
      <c r="W113" s="59">
        <f t="shared" si="73"/>
        <v>1</v>
      </c>
      <c r="X113" s="49"/>
      <c r="Y113" s="50"/>
      <c r="Z113" s="50">
        <v>1</v>
      </c>
      <c r="AA113" s="50"/>
      <c r="AB113" s="50"/>
      <c r="AC113" s="51" t="str">
        <f t="shared" si="68"/>
        <v/>
      </c>
      <c r="AD113" s="59"/>
      <c r="AE113" s="50">
        <v>3</v>
      </c>
      <c r="AF113" s="50"/>
      <c r="AG113" s="50"/>
      <c r="AH113" s="50"/>
      <c r="AI113" s="99">
        <f t="shared" si="74"/>
        <v>3</v>
      </c>
    </row>
    <row r="114" spans="1:35" x14ac:dyDescent="0.15">
      <c r="A114" s="82">
        <f>'Match Summary'!$B$12</f>
        <v>42169</v>
      </c>
      <c r="B114" s="64" t="str">
        <f>'Match Summary'!$C$12</f>
        <v>Thaxted_</v>
      </c>
      <c r="C114" s="59">
        <v>5</v>
      </c>
      <c r="D114" s="17" t="s">
        <v>156</v>
      </c>
      <c r="E114" s="49"/>
      <c r="F114" s="51"/>
      <c r="G114" s="106" t="s">
        <v>199</v>
      </c>
      <c r="H114" s="59">
        <v>29</v>
      </c>
      <c r="I114" s="59" t="s">
        <v>201</v>
      </c>
      <c r="J114" s="57">
        <v>36</v>
      </c>
      <c r="K114" s="57">
        <v>37</v>
      </c>
      <c r="L114" s="57">
        <v>4</v>
      </c>
      <c r="M114" s="57">
        <v>1</v>
      </c>
      <c r="N114" s="49" t="str">
        <f t="shared" si="69"/>
        <v/>
      </c>
      <c r="O114" s="50" t="str">
        <f t="shared" si="70"/>
        <v/>
      </c>
      <c r="P114" s="50" t="str">
        <f t="shared" si="71"/>
        <v/>
      </c>
      <c r="Q114" s="51" t="str">
        <f t="shared" si="72"/>
        <v/>
      </c>
      <c r="R114" s="59"/>
      <c r="S114" s="50"/>
      <c r="T114" s="50"/>
      <c r="U114" s="57"/>
      <c r="V114" s="57"/>
      <c r="W114" s="59" t="str">
        <f t="shared" si="73"/>
        <v/>
      </c>
      <c r="X114" s="49"/>
      <c r="Y114" s="50"/>
      <c r="Z114" s="57"/>
      <c r="AA114" s="50"/>
      <c r="AB114" s="50"/>
      <c r="AC114" s="51" t="str">
        <f t="shared" si="68"/>
        <v/>
      </c>
      <c r="AD114" s="59"/>
      <c r="AE114" s="50"/>
      <c r="AF114" s="50"/>
      <c r="AG114" s="50"/>
      <c r="AH114" s="50"/>
      <c r="AI114" s="99" t="str">
        <f t="shared" si="74"/>
        <v/>
      </c>
    </row>
    <row r="115" spans="1:35" x14ac:dyDescent="0.15">
      <c r="A115" s="82">
        <f>'Match Summary'!$B$12</f>
        <v>42169</v>
      </c>
      <c r="B115" s="64" t="str">
        <f>'Match Summary'!$C$12</f>
        <v>Thaxted_</v>
      </c>
      <c r="C115" s="59">
        <v>6</v>
      </c>
      <c r="D115" s="1" t="s">
        <v>47</v>
      </c>
      <c r="E115" s="49" t="s">
        <v>195</v>
      </c>
      <c r="F115" s="51"/>
      <c r="G115" s="106" t="s">
        <v>199</v>
      </c>
      <c r="H115" s="59">
        <v>50</v>
      </c>
      <c r="I115" s="59" t="s">
        <v>202</v>
      </c>
      <c r="J115" s="57">
        <v>59</v>
      </c>
      <c r="K115" s="57">
        <v>65</v>
      </c>
      <c r="L115" s="57">
        <v>7</v>
      </c>
      <c r="M115" s="57">
        <v>2</v>
      </c>
      <c r="N115" s="49" t="str">
        <f t="shared" si="69"/>
        <v/>
      </c>
      <c r="O115" s="50" t="str">
        <f t="shared" si="70"/>
        <v/>
      </c>
      <c r="P115" s="50">
        <f t="shared" si="71"/>
        <v>1</v>
      </c>
      <c r="Q115" s="51" t="str">
        <f t="shared" si="72"/>
        <v/>
      </c>
      <c r="R115" s="59">
        <v>10</v>
      </c>
      <c r="S115" s="50">
        <v>5</v>
      </c>
      <c r="T115" s="50">
        <v>0</v>
      </c>
      <c r="U115" s="57">
        <v>0</v>
      </c>
      <c r="V115" s="57">
        <v>24</v>
      </c>
      <c r="W115" s="59">
        <f t="shared" si="73"/>
        <v>3</v>
      </c>
      <c r="X115" s="49"/>
      <c r="Y115" s="50"/>
      <c r="Z115" s="50">
        <v>3</v>
      </c>
      <c r="AA115" s="50"/>
      <c r="AB115" s="50"/>
      <c r="AC115" s="51" t="str">
        <f t="shared" si="68"/>
        <v/>
      </c>
      <c r="AD115" s="59"/>
      <c r="AE115" s="50">
        <v>2</v>
      </c>
      <c r="AF115" s="50"/>
      <c r="AG115" s="50"/>
      <c r="AH115" s="50"/>
      <c r="AI115" s="99">
        <f t="shared" si="74"/>
        <v>2</v>
      </c>
    </row>
    <row r="116" spans="1:35" x14ac:dyDescent="0.15">
      <c r="A116" s="82">
        <f>'Match Summary'!$B$12</f>
        <v>42169</v>
      </c>
      <c r="B116" s="64" t="str">
        <f>'Match Summary'!$C$12</f>
        <v>Thaxted_</v>
      </c>
      <c r="C116" s="59">
        <v>7</v>
      </c>
      <c r="D116" s="17" t="s">
        <v>185</v>
      </c>
      <c r="E116" s="49"/>
      <c r="F116" s="51"/>
      <c r="G116" s="106" t="s">
        <v>199</v>
      </c>
      <c r="H116" s="59">
        <v>4</v>
      </c>
      <c r="I116" s="59" t="s">
        <v>201</v>
      </c>
      <c r="J116" s="57">
        <v>11</v>
      </c>
      <c r="K116" s="57">
        <v>16</v>
      </c>
      <c r="L116" s="57"/>
      <c r="M116" s="57"/>
      <c r="N116" s="49" t="str">
        <f t="shared" si="69"/>
        <v/>
      </c>
      <c r="O116" s="50" t="str">
        <f t="shared" si="70"/>
        <v/>
      </c>
      <c r="P116" s="50" t="str">
        <f t="shared" si="71"/>
        <v/>
      </c>
      <c r="Q116" s="51" t="str">
        <f t="shared" si="72"/>
        <v/>
      </c>
      <c r="R116" s="59">
        <v>5</v>
      </c>
      <c r="S116" s="50">
        <v>0</v>
      </c>
      <c r="T116" s="50">
        <v>6</v>
      </c>
      <c r="U116" s="57">
        <v>0</v>
      </c>
      <c r="V116" s="57">
        <v>19</v>
      </c>
      <c r="W116" s="59">
        <f t="shared" si="73"/>
        <v>0</v>
      </c>
      <c r="X116" s="49"/>
      <c r="Y116" s="50"/>
      <c r="Z116" s="57"/>
      <c r="AA116" s="50"/>
      <c r="AB116" s="50"/>
      <c r="AC116" s="51" t="str">
        <f>IF(AND(ISNUMBER(W116),W116&gt;=5),1,"")</f>
        <v/>
      </c>
      <c r="AD116" s="59"/>
      <c r="AE116" s="50"/>
      <c r="AF116" s="50"/>
      <c r="AG116" s="50"/>
      <c r="AH116" s="50"/>
      <c r="AI116" s="99" t="str">
        <f t="shared" si="74"/>
        <v/>
      </c>
    </row>
    <row r="117" spans="1:35" x14ac:dyDescent="0.15">
      <c r="A117" s="82">
        <f>'Match Summary'!$B$12</f>
        <v>42169</v>
      </c>
      <c r="B117" s="64" t="str">
        <f>'Match Summary'!$C$12</f>
        <v>Thaxted_</v>
      </c>
      <c r="C117" s="59">
        <v>8</v>
      </c>
      <c r="D117" s="1" t="s">
        <v>50</v>
      </c>
      <c r="E117" s="49"/>
      <c r="F117" s="51"/>
      <c r="G117" s="106" t="s">
        <v>199</v>
      </c>
      <c r="H117" s="59">
        <v>7</v>
      </c>
      <c r="I117" s="59" t="s">
        <v>202</v>
      </c>
      <c r="J117" s="57">
        <v>20</v>
      </c>
      <c r="K117" s="57">
        <v>19</v>
      </c>
      <c r="L117" s="57">
        <v>1</v>
      </c>
      <c r="M117" s="50"/>
      <c r="N117" s="49" t="str">
        <f t="shared" si="69"/>
        <v/>
      </c>
      <c r="O117" s="50" t="str">
        <f t="shared" si="70"/>
        <v/>
      </c>
      <c r="P117" s="50" t="str">
        <f t="shared" si="71"/>
        <v/>
      </c>
      <c r="Q117" s="51" t="str">
        <f t="shared" si="72"/>
        <v/>
      </c>
      <c r="R117" s="59">
        <v>2</v>
      </c>
      <c r="S117" s="57">
        <v>0</v>
      </c>
      <c r="T117" s="57">
        <v>2</v>
      </c>
      <c r="U117" s="57">
        <v>0</v>
      </c>
      <c r="V117" s="57">
        <v>12</v>
      </c>
      <c r="W117" s="59">
        <f t="shared" si="73"/>
        <v>1</v>
      </c>
      <c r="X117" s="49"/>
      <c r="Y117" s="50"/>
      <c r="Z117" s="57">
        <v>1</v>
      </c>
      <c r="AA117" s="50"/>
      <c r="AB117" s="50"/>
      <c r="AC117" s="51" t="str">
        <f t="shared" si="68"/>
        <v/>
      </c>
      <c r="AD117" s="59"/>
      <c r="AE117" s="57">
        <v>1</v>
      </c>
      <c r="AF117" s="50"/>
      <c r="AG117" s="50"/>
      <c r="AH117" s="50"/>
      <c r="AI117" s="99">
        <f t="shared" si="74"/>
        <v>1</v>
      </c>
    </row>
    <row r="118" spans="1:35" x14ac:dyDescent="0.15">
      <c r="A118" s="82">
        <f>'Match Summary'!$B$12</f>
        <v>42169</v>
      </c>
      <c r="B118" s="64" t="str">
        <f>'Match Summary'!$C$12</f>
        <v>Thaxted_</v>
      </c>
      <c r="C118" s="59">
        <v>9</v>
      </c>
      <c r="D118" s="1" t="s">
        <v>45</v>
      </c>
      <c r="E118" s="49"/>
      <c r="F118" s="51"/>
      <c r="G118" s="106" t="s">
        <v>199</v>
      </c>
      <c r="H118" s="59">
        <v>14</v>
      </c>
      <c r="I118" s="59" t="s">
        <v>202</v>
      </c>
      <c r="J118" s="57">
        <v>13</v>
      </c>
      <c r="K118" s="57">
        <v>10</v>
      </c>
      <c r="L118" s="57">
        <v>2</v>
      </c>
      <c r="M118" s="50"/>
      <c r="N118" s="49" t="str">
        <f t="shared" si="69"/>
        <v/>
      </c>
      <c r="O118" s="50" t="str">
        <f t="shared" si="70"/>
        <v/>
      </c>
      <c r="P118" s="50" t="str">
        <f t="shared" si="71"/>
        <v/>
      </c>
      <c r="Q118" s="51" t="str">
        <f t="shared" si="72"/>
        <v/>
      </c>
      <c r="R118" s="59"/>
      <c r="S118" s="57"/>
      <c r="T118" s="57"/>
      <c r="U118" s="57"/>
      <c r="V118" s="57"/>
      <c r="W118" s="59" t="str">
        <f t="shared" si="73"/>
        <v/>
      </c>
      <c r="X118" s="49"/>
      <c r="Y118" s="50"/>
      <c r="Z118" s="50"/>
      <c r="AA118" s="50"/>
      <c r="AB118" s="50"/>
      <c r="AC118" s="51" t="str">
        <f t="shared" si="68"/>
        <v/>
      </c>
      <c r="AD118" s="59"/>
      <c r="AE118" s="50">
        <v>1</v>
      </c>
      <c r="AF118" s="50"/>
      <c r="AG118" s="50"/>
      <c r="AH118" s="50"/>
      <c r="AI118" s="99">
        <f t="shared" si="74"/>
        <v>1</v>
      </c>
    </row>
    <row r="119" spans="1:35" x14ac:dyDescent="0.15">
      <c r="A119" s="82">
        <f>'Match Summary'!$B$12</f>
        <v>42169</v>
      </c>
      <c r="B119" s="64" t="str">
        <f>'Match Summary'!$C$12</f>
        <v>Thaxted_</v>
      </c>
      <c r="C119" s="59">
        <v>10</v>
      </c>
      <c r="D119" s="1" t="s">
        <v>44</v>
      </c>
      <c r="E119" s="49"/>
      <c r="F119" s="51"/>
      <c r="G119" s="106" t="s">
        <v>199</v>
      </c>
      <c r="H119" s="59">
        <v>10</v>
      </c>
      <c r="I119" s="59" t="s">
        <v>203</v>
      </c>
      <c r="J119" s="57">
        <v>10</v>
      </c>
      <c r="K119" s="57">
        <v>12</v>
      </c>
      <c r="L119" s="57">
        <v>1</v>
      </c>
      <c r="M119" s="50"/>
      <c r="N119" s="49">
        <f t="shared" si="69"/>
        <v>1</v>
      </c>
      <c r="O119" s="50" t="str">
        <f t="shared" si="70"/>
        <v/>
      </c>
      <c r="P119" s="50" t="str">
        <f t="shared" si="71"/>
        <v/>
      </c>
      <c r="Q119" s="51" t="str">
        <f t="shared" si="72"/>
        <v/>
      </c>
      <c r="R119" s="59">
        <v>10.4</v>
      </c>
      <c r="S119" s="50">
        <v>6</v>
      </c>
      <c r="T119" s="50">
        <v>0</v>
      </c>
      <c r="U119" s="57">
        <v>0</v>
      </c>
      <c r="V119" s="57">
        <v>11</v>
      </c>
      <c r="W119" s="59">
        <f t="shared" si="73"/>
        <v>5</v>
      </c>
      <c r="X119" s="49">
        <v>1</v>
      </c>
      <c r="Y119" s="50"/>
      <c r="Z119" s="57">
        <v>4</v>
      </c>
      <c r="AA119" s="50"/>
      <c r="AB119" s="50"/>
      <c r="AC119" s="51">
        <f t="shared" si="68"/>
        <v>1</v>
      </c>
      <c r="AD119" s="59"/>
      <c r="AE119" s="57">
        <v>1</v>
      </c>
      <c r="AF119" s="50"/>
      <c r="AG119" s="50"/>
      <c r="AH119" s="50"/>
      <c r="AI119" s="99">
        <f t="shared" si="74"/>
        <v>1</v>
      </c>
    </row>
    <row r="120" spans="1:35" x14ac:dyDescent="0.15">
      <c r="A120" s="82">
        <f>'Match Summary'!$B$12</f>
        <v>42169</v>
      </c>
      <c r="B120" s="64" t="str">
        <f>'Match Summary'!$C$12</f>
        <v>Thaxted_</v>
      </c>
      <c r="C120" s="56">
        <v>11</v>
      </c>
      <c r="D120" s="1" t="s">
        <v>49</v>
      </c>
      <c r="E120" s="52"/>
      <c r="F120" s="54" t="s">
        <v>195</v>
      </c>
      <c r="G120" s="107" t="s">
        <v>199</v>
      </c>
      <c r="H120" s="56">
        <v>0</v>
      </c>
      <c r="I120" s="56" t="s">
        <v>203</v>
      </c>
      <c r="J120" s="53">
        <v>0</v>
      </c>
      <c r="K120" s="53">
        <v>4</v>
      </c>
      <c r="L120" s="53"/>
      <c r="M120" s="53"/>
      <c r="N120" s="52">
        <f t="shared" si="69"/>
        <v>1</v>
      </c>
      <c r="O120" s="53" t="str">
        <f t="shared" si="70"/>
        <v/>
      </c>
      <c r="P120" s="53" t="str">
        <f t="shared" si="71"/>
        <v/>
      </c>
      <c r="Q120" s="54" t="str">
        <f t="shared" si="72"/>
        <v/>
      </c>
      <c r="R120" s="56"/>
      <c r="S120" s="53"/>
      <c r="T120" s="53"/>
      <c r="U120" s="53"/>
      <c r="V120" s="53"/>
      <c r="W120" s="56" t="str">
        <f t="shared" si="73"/>
        <v/>
      </c>
      <c r="X120" s="52"/>
      <c r="Y120" s="53"/>
      <c r="Z120" s="53"/>
      <c r="AA120" s="53"/>
      <c r="AB120" s="53"/>
      <c r="AC120" s="54" t="str">
        <f t="shared" si="68"/>
        <v/>
      </c>
      <c r="AD120" s="56">
        <v>2</v>
      </c>
      <c r="AE120" s="53"/>
      <c r="AF120" s="53"/>
      <c r="AG120" s="53"/>
      <c r="AH120" s="53"/>
      <c r="AI120" s="100" t="str">
        <f t="shared" si="74"/>
        <v/>
      </c>
    </row>
    <row r="121" spans="1:35" ht="15" thickBot="1" x14ac:dyDescent="0.2">
      <c r="A121" s="83">
        <f>'Match Summary'!$B$12</f>
        <v>42169</v>
      </c>
      <c r="B121" s="84" t="str">
        <f>'Match Summary'!$C$12</f>
        <v>Thaxted_</v>
      </c>
      <c r="C121" s="85"/>
      <c r="D121" s="86" t="s">
        <v>174</v>
      </c>
      <c r="E121" s="85"/>
      <c r="F121" s="85"/>
      <c r="G121" s="115"/>
      <c r="H121" s="86">
        <v>16</v>
      </c>
      <c r="I121" s="85"/>
      <c r="J121" s="85"/>
      <c r="K121" s="85"/>
      <c r="L121" s="85"/>
      <c r="M121" s="85"/>
      <c r="N121" s="85"/>
      <c r="O121" s="85"/>
      <c r="P121" s="87" t="str">
        <f t="shared" si="71"/>
        <v/>
      </c>
      <c r="Q121" s="88" t="str">
        <f t="shared" si="72"/>
        <v/>
      </c>
      <c r="R121" s="86">
        <f>SUBTOTAL(9,R110:R120)</f>
        <v>30.4</v>
      </c>
      <c r="S121" s="91">
        <f t="shared" ref="S121" si="75">SUBTOTAL(9,S110:S120)</f>
        <v>11</v>
      </c>
      <c r="T121" s="86">
        <f>SUBTOTAL(9,T110:T120)</f>
        <v>8</v>
      </c>
      <c r="U121" s="86">
        <f>SUBTOTAL(9,U110:U120)</f>
        <v>0</v>
      </c>
      <c r="V121" s="86">
        <f>SUBTOTAL(9,V110:V120)</f>
        <v>87</v>
      </c>
      <c r="W121" s="86">
        <f>SUBTOTAL(9,W110:W120)</f>
        <v>10</v>
      </c>
      <c r="X121" s="85"/>
      <c r="Y121" s="85"/>
      <c r="Z121" s="85"/>
      <c r="AA121" s="85"/>
      <c r="AB121" s="85"/>
      <c r="AC121" s="85" t="s">
        <v>259</v>
      </c>
      <c r="AD121" s="92">
        <v>2</v>
      </c>
      <c r="AE121" s="85"/>
      <c r="AF121" s="85"/>
      <c r="AG121" s="85"/>
      <c r="AH121" s="85"/>
      <c r="AI121" s="101"/>
    </row>
    <row r="122" spans="1:35" x14ac:dyDescent="0.15">
      <c r="A122" s="75">
        <f>'Match Summary'!$B$13</f>
        <v>42176</v>
      </c>
      <c r="B122" s="76" t="str">
        <f>'Match Summary'!$C$13</f>
        <v>Judd_St_Tigers</v>
      </c>
      <c r="C122" s="77">
        <v>1</v>
      </c>
      <c r="D122" s="17" t="s">
        <v>111</v>
      </c>
      <c r="E122" s="79"/>
      <c r="F122" s="80"/>
      <c r="G122" s="116" t="s">
        <v>199</v>
      </c>
      <c r="H122" s="77">
        <v>11</v>
      </c>
      <c r="I122" s="77" t="s">
        <v>202</v>
      </c>
      <c r="J122" s="81">
        <v>25</v>
      </c>
      <c r="K122" s="81">
        <v>31</v>
      </c>
      <c r="L122" s="81">
        <v>2</v>
      </c>
      <c r="M122" s="81"/>
      <c r="N122" s="79" t="str">
        <f t="shared" ref="N122" si="76">IF(I122="NO",1,"")</f>
        <v/>
      </c>
      <c r="O122" s="81" t="str">
        <f t="shared" ref="O122" si="77">IF(OR(H122&gt;0,H122=""),"",IF(I122="no","",1))</f>
        <v/>
      </c>
      <c r="P122" s="81" t="str">
        <f t="shared" ref="P122" si="78">IF(AND(H122&gt;=50,H122&lt;100),1,"")</f>
        <v/>
      </c>
      <c r="Q122" s="80" t="str">
        <f t="shared" ref="Q122" si="79">IF(H122&gt;=100,1,"")</f>
        <v/>
      </c>
      <c r="R122" s="77"/>
      <c r="S122" s="81"/>
      <c r="T122" s="81"/>
      <c r="U122" s="81"/>
      <c r="V122" s="81"/>
      <c r="W122" s="77" t="str">
        <f>IF(R122="","",SUM(X122:AB122))</f>
        <v/>
      </c>
      <c r="X122" s="79"/>
      <c r="Y122" s="81"/>
      <c r="Z122" s="81"/>
      <c r="AA122" s="81"/>
      <c r="AB122" s="81"/>
      <c r="AC122" s="80" t="str">
        <f t="shared" ref="AC122:AC132" si="80">IF(AND(ISNUMBER(W122),W122&gt;=5),1,"")</f>
        <v/>
      </c>
      <c r="AD122" s="77"/>
      <c r="AE122" s="81"/>
      <c r="AF122" s="81"/>
      <c r="AG122" s="81"/>
      <c r="AH122" s="81"/>
      <c r="AI122" s="98" t="str">
        <f>IF(SUM(AE122:AH122)=0,"",SUM(AE122:AH122))</f>
        <v/>
      </c>
    </row>
    <row r="123" spans="1:35" x14ac:dyDescent="0.15">
      <c r="A123" s="82">
        <f>'Match Summary'!$B$13</f>
        <v>42176</v>
      </c>
      <c r="B123" s="64" t="str">
        <f>'Match Summary'!$C$13</f>
        <v>Judd_St_Tigers</v>
      </c>
      <c r="C123" s="59">
        <v>2</v>
      </c>
      <c r="D123" s="17" t="s">
        <v>160</v>
      </c>
      <c r="E123" s="49"/>
      <c r="F123" s="51"/>
      <c r="G123" s="117" t="s">
        <v>199</v>
      </c>
      <c r="H123" s="59">
        <v>26</v>
      </c>
      <c r="I123" s="59" t="s">
        <v>232</v>
      </c>
      <c r="J123" s="57">
        <v>20</v>
      </c>
      <c r="K123" s="57">
        <v>23</v>
      </c>
      <c r="L123" s="57">
        <v>5</v>
      </c>
      <c r="M123" s="50"/>
      <c r="N123" s="49" t="str">
        <f t="shared" ref="N123:N132" si="81">IF(I123="NO",1,"")</f>
        <v/>
      </c>
      <c r="O123" s="50" t="str">
        <f t="shared" ref="O123:O132" si="82">IF(OR(H123&gt;0,H123=""),"",IF(I123="no","",1))</f>
        <v/>
      </c>
      <c r="P123" s="50" t="str">
        <f t="shared" ref="P123:P132" si="83">IF(AND(H123&gt;=50,H123&lt;100),1,"")</f>
        <v/>
      </c>
      <c r="Q123" s="51" t="str">
        <f t="shared" ref="Q123:Q132" si="84">IF(H123&gt;=100,1,"")</f>
        <v/>
      </c>
      <c r="R123" s="59"/>
      <c r="S123" s="50"/>
      <c r="T123" s="50"/>
      <c r="U123" s="50"/>
      <c r="V123" s="50"/>
      <c r="W123" s="59" t="str">
        <f t="shared" ref="W123:W132" si="85">IF(R123="","",SUM(X123:AB123))</f>
        <v/>
      </c>
      <c r="X123" s="49"/>
      <c r="Y123" s="50"/>
      <c r="Z123" s="50"/>
      <c r="AA123" s="50"/>
      <c r="AB123" s="50"/>
      <c r="AC123" s="51" t="str">
        <f t="shared" si="80"/>
        <v/>
      </c>
      <c r="AD123" s="59"/>
      <c r="AE123" s="50"/>
      <c r="AF123" s="50"/>
      <c r="AG123" s="50"/>
      <c r="AH123" s="50"/>
      <c r="AI123" s="99" t="str">
        <f t="shared" ref="AI123:AI132" si="86">IF(SUM(AE123:AH123)=0,"",SUM(AE123:AH123))</f>
        <v/>
      </c>
    </row>
    <row r="124" spans="1:35" x14ac:dyDescent="0.15">
      <c r="A124" s="82">
        <f>'Match Summary'!$B$13</f>
        <v>42176</v>
      </c>
      <c r="B124" s="64" t="str">
        <f>'Match Summary'!$C$13</f>
        <v>Judd_St_Tigers</v>
      </c>
      <c r="C124" s="59">
        <v>3</v>
      </c>
      <c r="D124" s="1" t="s">
        <v>48</v>
      </c>
      <c r="E124" s="49"/>
      <c r="F124" s="51"/>
      <c r="G124" s="117" t="s">
        <v>199</v>
      </c>
      <c r="H124" s="59">
        <v>104</v>
      </c>
      <c r="I124" s="59" t="s">
        <v>203</v>
      </c>
      <c r="J124" s="57">
        <v>75</v>
      </c>
      <c r="K124" s="57">
        <v>123</v>
      </c>
      <c r="L124" s="57">
        <v>14</v>
      </c>
      <c r="M124" s="57">
        <v>1</v>
      </c>
      <c r="N124" s="49">
        <f t="shared" si="81"/>
        <v>1</v>
      </c>
      <c r="O124" s="50" t="str">
        <f t="shared" si="82"/>
        <v/>
      </c>
      <c r="P124" s="50" t="str">
        <f t="shared" si="83"/>
        <v/>
      </c>
      <c r="Q124" s="51">
        <f t="shared" si="84"/>
        <v>1</v>
      </c>
      <c r="R124" s="59">
        <v>9</v>
      </c>
      <c r="S124" s="50">
        <v>1</v>
      </c>
      <c r="T124" s="50">
        <v>1</v>
      </c>
      <c r="U124" s="57">
        <v>0</v>
      </c>
      <c r="V124" s="57">
        <v>18</v>
      </c>
      <c r="W124" s="59">
        <f t="shared" si="85"/>
        <v>3</v>
      </c>
      <c r="X124" s="49"/>
      <c r="Y124" s="57">
        <v>1</v>
      </c>
      <c r="Z124" s="57">
        <v>2</v>
      </c>
      <c r="AA124" s="50"/>
      <c r="AB124" s="50"/>
      <c r="AC124" s="51" t="str">
        <f t="shared" si="80"/>
        <v/>
      </c>
      <c r="AD124" s="59"/>
      <c r="AE124" s="50"/>
      <c r="AF124" s="50"/>
      <c r="AG124" s="50"/>
      <c r="AH124" s="50"/>
      <c r="AI124" s="99" t="str">
        <f t="shared" si="86"/>
        <v/>
      </c>
    </row>
    <row r="125" spans="1:35" x14ac:dyDescent="0.15">
      <c r="A125" s="82">
        <f>'Match Summary'!$B$13</f>
        <v>42176</v>
      </c>
      <c r="B125" s="64" t="str">
        <f>'Match Summary'!$C$13</f>
        <v>Judd_St_Tigers</v>
      </c>
      <c r="C125" s="59">
        <v>4</v>
      </c>
      <c r="D125" s="1" t="s">
        <v>47</v>
      </c>
      <c r="E125" s="49" t="s">
        <v>195</v>
      </c>
      <c r="F125" s="51"/>
      <c r="G125" s="117" t="s">
        <v>199</v>
      </c>
      <c r="H125" s="59">
        <v>24</v>
      </c>
      <c r="I125" s="59" t="s">
        <v>202</v>
      </c>
      <c r="J125" s="57">
        <v>31</v>
      </c>
      <c r="K125" s="57">
        <v>36</v>
      </c>
      <c r="L125" s="57">
        <v>5</v>
      </c>
      <c r="M125" s="50"/>
      <c r="N125" s="49" t="str">
        <f t="shared" si="81"/>
        <v/>
      </c>
      <c r="O125" s="50" t="str">
        <f t="shared" si="82"/>
        <v/>
      </c>
      <c r="P125" s="50" t="str">
        <f t="shared" si="83"/>
        <v/>
      </c>
      <c r="Q125" s="51" t="str">
        <f t="shared" si="84"/>
        <v/>
      </c>
      <c r="R125" s="59">
        <v>11</v>
      </c>
      <c r="S125" s="50">
        <v>2</v>
      </c>
      <c r="T125" s="50">
        <v>4</v>
      </c>
      <c r="U125" s="57">
        <v>0</v>
      </c>
      <c r="V125" s="57">
        <v>49</v>
      </c>
      <c r="W125" s="59">
        <f t="shared" si="85"/>
        <v>1</v>
      </c>
      <c r="X125" s="49"/>
      <c r="Y125" s="50"/>
      <c r="Z125" s="50">
        <v>1</v>
      </c>
      <c r="AA125" s="50"/>
      <c r="AB125" s="50"/>
      <c r="AC125" s="51" t="str">
        <f t="shared" si="80"/>
        <v/>
      </c>
      <c r="AD125" s="59"/>
      <c r="AE125" s="50"/>
      <c r="AF125" s="50"/>
      <c r="AG125" s="50"/>
      <c r="AH125" s="50"/>
      <c r="AI125" s="99" t="str">
        <f t="shared" si="86"/>
        <v/>
      </c>
    </row>
    <row r="126" spans="1:35" x14ac:dyDescent="0.15">
      <c r="A126" s="82">
        <f>'Match Summary'!$B$13</f>
        <v>42176</v>
      </c>
      <c r="B126" s="64" t="str">
        <f>'Match Summary'!$C$13</f>
        <v>Judd_St_Tigers</v>
      </c>
      <c r="C126" s="59">
        <v>5</v>
      </c>
      <c r="D126" s="17" t="s">
        <v>156</v>
      </c>
      <c r="E126" s="49"/>
      <c r="F126" s="51"/>
      <c r="G126" s="117" t="s">
        <v>199</v>
      </c>
      <c r="H126" s="59">
        <v>96</v>
      </c>
      <c r="I126" s="59" t="s">
        <v>201</v>
      </c>
      <c r="J126" s="57">
        <v>65</v>
      </c>
      <c r="K126" s="57">
        <v>79</v>
      </c>
      <c r="L126" s="57">
        <v>10</v>
      </c>
      <c r="M126" s="57">
        <v>4</v>
      </c>
      <c r="N126" s="49" t="str">
        <f t="shared" si="81"/>
        <v/>
      </c>
      <c r="O126" s="50" t="str">
        <f t="shared" si="82"/>
        <v/>
      </c>
      <c r="P126" s="50">
        <f t="shared" si="83"/>
        <v>1</v>
      </c>
      <c r="Q126" s="51" t="str">
        <f t="shared" si="84"/>
        <v/>
      </c>
      <c r="R126" s="59"/>
      <c r="S126" s="50"/>
      <c r="T126" s="50"/>
      <c r="U126" s="57"/>
      <c r="V126" s="57"/>
      <c r="W126" s="59" t="str">
        <f t="shared" si="85"/>
        <v/>
      </c>
      <c r="X126" s="49"/>
      <c r="Y126" s="50"/>
      <c r="Z126" s="57"/>
      <c r="AA126" s="50"/>
      <c r="AB126" s="50"/>
      <c r="AC126" s="51" t="str">
        <f t="shared" si="80"/>
        <v/>
      </c>
      <c r="AD126" s="59"/>
      <c r="AE126" s="50">
        <v>1</v>
      </c>
      <c r="AF126" s="50">
        <v>1</v>
      </c>
      <c r="AG126" s="50"/>
      <c r="AH126" s="50"/>
      <c r="AI126" s="99">
        <f t="shared" si="86"/>
        <v>2</v>
      </c>
    </row>
    <row r="127" spans="1:35" x14ac:dyDescent="0.15">
      <c r="A127" s="82">
        <f>'Match Summary'!$B$13</f>
        <v>42176</v>
      </c>
      <c r="B127" s="64" t="str">
        <f>'Match Summary'!$C$13</f>
        <v>Judd_St_Tigers</v>
      </c>
      <c r="C127" s="59">
        <v>6</v>
      </c>
      <c r="D127" s="1" t="s">
        <v>103</v>
      </c>
      <c r="E127" s="49"/>
      <c r="F127" s="51"/>
      <c r="G127" s="117" t="s">
        <v>200</v>
      </c>
      <c r="H127" s="59"/>
      <c r="I127" s="59"/>
      <c r="J127" s="57"/>
      <c r="K127" s="57"/>
      <c r="L127" s="57"/>
      <c r="M127" s="50"/>
      <c r="N127" s="49" t="str">
        <f t="shared" si="81"/>
        <v/>
      </c>
      <c r="O127" s="50" t="str">
        <f t="shared" si="82"/>
        <v/>
      </c>
      <c r="P127" s="50" t="str">
        <f t="shared" si="83"/>
        <v/>
      </c>
      <c r="Q127" s="51" t="str">
        <f t="shared" si="84"/>
        <v/>
      </c>
      <c r="R127" s="59"/>
      <c r="S127" s="50"/>
      <c r="T127" s="50"/>
      <c r="U127" s="50"/>
      <c r="V127" s="50"/>
      <c r="W127" s="59" t="str">
        <f t="shared" si="85"/>
        <v/>
      </c>
      <c r="X127" s="49"/>
      <c r="Y127" s="50"/>
      <c r="Z127" s="50"/>
      <c r="AA127" s="50"/>
      <c r="AB127" s="50"/>
      <c r="AC127" s="51" t="str">
        <f t="shared" si="80"/>
        <v/>
      </c>
      <c r="AD127" s="59"/>
      <c r="AE127" s="50">
        <v>2</v>
      </c>
      <c r="AF127" s="50"/>
      <c r="AG127" s="50"/>
      <c r="AH127" s="50"/>
      <c r="AI127" s="99">
        <f t="shared" si="86"/>
        <v>2</v>
      </c>
    </row>
    <row r="128" spans="1:35" x14ac:dyDescent="0.15">
      <c r="A128" s="82">
        <f>'Match Summary'!$B$13</f>
        <v>42176</v>
      </c>
      <c r="B128" s="64" t="str">
        <f>'Match Summary'!$C$13</f>
        <v>Judd_St_Tigers</v>
      </c>
      <c r="C128" s="59">
        <v>7</v>
      </c>
      <c r="D128" s="17" t="s">
        <v>185</v>
      </c>
      <c r="E128" s="49"/>
      <c r="F128" s="51"/>
      <c r="G128" s="117" t="s">
        <v>200</v>
      </c>
      <c r="H128" s="59"/>
      <c r="I128" s="59"/>
      <c r="J128" s="57"/>
      <c r="K128" s="57"/>
      <c r="L128" s="57"/>
      <c r="M128" s="57"/>
      <c r="N128" s="49" t="str">
        <f t="shared" si="81"/>
        <v/>
      </c>
      <c r="O128" s="50" t="str">
        <f t="shared" si="82"/>
        <v/>
      </c>
      <c r="P128" s="50" t="str">
        <f t="shared" si="83"/>
        <v/>
      </c>
      <c r="Q128" s="51" t="str">
        <f t="shared" si="84"/>
        <v/>
      </c>
      <c r="R128" s="59">
        <v>3</v>
      </c>
      <c r="S128" s="50">
        <v>0</v>
      </c>
      <c r="T128" s="50">
        <v>3</v>
      </c>
      <c r="U128" s="57">
        <v>0</v>
      </c>
      <c r="V128" s="57">
        <v>11</v>
      </c>
      <c r="W128" s="59">
        <f t="shared" si="85"/>
        <v>0</v>
      </c>
      <c r="X128" s="49"/>
      <c r="Y128" s="50"/>
      <c r="Z128" s="57"/>
      <c r="AA128" s="50"/>
      <c r="AB128" s="50"/>
      <c r="AC128" s="51" t="str">
        <f>IF(AND(ISNUMBER(W128),W128&gt;=5),1,"")</f>
        <v/>
      </c>
      <c r="AD128" s="59"/>
      <c r="AE128" s="50"/>
      <c r="AF128" s="50"/>
      <c r="AG128" s="50"/>
      <c r="AH128" s="50"/>
      <c r="AI128" s="99" t="str">
        <f t="shared" si="86"/>
        <v/>
      </c>
    </row>
    <row r="129" spans="1:36" x14ac:dyDescent="0.15">
      <c r="A129" s="82">
        <f>'Match Summary'!$B$13</f>
        <v>42176</v>
      </c>
      <c r="B129" s="64" t="str">
        <f>'Match Summary'!$C$13</f>
        <v>Judd_St_Tigers</v>
      </c>
      <c r="C129" s="59">
        <v>8</v>
      </c>
      <c r="D129" s="17" t="s">
        <v>117</v>
      </c>
      <c r="E129" s="49"/>
      <c r="F129" s="51"/>
      <c r="G129" s="117" t="s">
        <v>200</v>
      </c>
      <c r="H129" s="59"/>
      <c r="I129" s="59"/>
      <c r="J129" s="57"/>
      <c r="K129" s="57"/>
      <c r="L129" s="50"/>
      <c r="M129" s="50"/>
      <c r="N129" s="49" t="str">
        <f t="shared" si="81"/>
        <v/>
      </c>
      <c r="O129" s="50" t="str">
        <f t="shared" si="82"/>
        <v/>
      </c>
      <c r="P129" s="50" t="str">
        <f t="shared" si="83"/>
        <v/>
      </c>
      <c r="Q129" s="51" t="str">
        <f t="shared" si="84"/>
        <v/>
      </c>
      <c r="R129" s="59"/>
      <c r="S129" s="50"/>
      <c r="T129" s="50"/>
      <c r="U129" s="57"/>
      <c r="V129" s="57"/>
      <c r="W129" s="59" t="str">
        <f t="shared" si="85"/>
        <v/>
      </c>
      <c r="X129" s="49"/>
      <c r="Y129" s="50"/>
      <c r="Z129" s="57"/>
      <c r="AA129" s="50"/>
      <c r="AB129" s="50"/>
      <c r="AC129" s="51" t="str">
        <f t="shared" si="80"/>
        <v/>
      </c>
      <c r="AD129" s="59"/>
      <c r="AE129" s="50"/>
      <c r="AF129" s="50"/>
      <c r="AG129" s="50"/>
      <c r="AH129" s="50"/>
      <c r="AI129" s="99" t="str">
        <f t="shared" si="86"/>
        <v/>
      </c>
    </row>
    <row r="130" spans="1:36" x14ac:dyDescent="0.15">
      <c r="A130" s="82">
        <f>'Match Summary'!$B$13</f>
        <v>42176</v>
      </c>
      <c r="B130" s="64" t="str">
        <f>'Match Summary'!$C$13</f>
        <v>Judd_St_Tigers</v>
      </c>
      <c r="C130" s="59">
        <v>9</v>
      </c>
      <c r="D130" s="1" t="s">
        <v>50</v>
      </c>
      <c r="E130" s="49"/>
      <c r="F130" s="51"/>
      <c r="G130" s="117" t="s">
        <v>200</v>
      </c>
      <c r="H130" s="59"/>
      <c r="I130" s="59"/>
      <c r="J130" s="57"/>
      <c r="K130" s="57"/>
      <c r="L130" s="50"/>
      <c r="M130" s="50"/>
      <c r="N130" s="49" t="str">
        <f t="shared" si="81"/>
        <v/>
      </c>
      <c r="O130" s="50" t="str">
        <f t="shared" si="82"/>
        <v/>
      </c>
      <c r="P130" s="50" t="str">
        <f t="shared" si="83"/>
        <v/>
      </c>
      <c r="Q130" s="51" t="str">
        <f t="shared" si="84"/>
        <v/>
      </c>
      <c r="R130" s="59">
        <v>3</v>
      </c>
      <c r="S130" s="57">
        <v>1</v>
      </c>
      <c r="T130" s="57">
        <v>0</v>
      </c>
      <c r="U130" s="57">
        <v>0</v>
      </c>
      <c r="V130" s="57">
        <v>9</v>
      </c>
      <c r="W130" s="59">
        <f t="shared" si="85"/>
        <v>0</v>
      </c>
      <c r="X130" s="49"/>
      <c r="Y130" s="50"/>
      <c r="Z130" s="50"/>
      <c r="AA130" s="50"/>
      <c r="AB130" s="50"/>
      <c r="AC130" s="51" t="str">
        <f t="shared" si="80"/>
        <v/>
      </c>
      <c r="AD130" s="59"/>
      <c r="AE130" s="50"/>
      <c r="AF130" s="50"/>
      <c r="AG130" s="50"/>
      <c r="AH130" s="50"/>
      <c r="AI130" s="99" t="str">
        <f t="shared" si="86"/>
        <v/>
      </c>
    </row>
    <row r="131" spans="1:36" x14ac:dyDescent="0.15">
      <c r="A131" s="82">
        <f>'Match Summary'!$B$13</f>
        <v>42176</v>
      </c>
      <c r="B131" s="64" t="str">
        <f>'Match Summary'!$C$13</f>
        <v>Judd_St_Tigers</v>
      </c>
      <c r="C131" s="59">
        <v>10</v>
      </c>
      <c r="D131" s="1" t="s">
        <v>44</v>
      </c>
      <c r="E131" s="49"/>
      <c r="F131" s="51"/>
      <c r="G131" s="117" t="s">
        <v>200</v>
      </c>
      <c r="H131" s="59"/>
      <c r="I131" s="59"/>
      <c r="J131" s="57"/>
      <c r="K131" s="57"/>
      <c r="L131" s="50"/>
      <c r="M131" s="50"/>
      <c r="N131" s="49" t="str">
        <f t="shared" si="81"/>
        <v/>
      </c>
      <c r="O131" s="50" t="str">
        <f t="shared" si="82"/>
        <v/>
      </c>
      <c r="P131" s="50" t="str">
        <f t="shared" si="83"/>
        <v/>
      </c>
      <c r="Q131" s="51" t="str">
        <f t="shared" si="84"/>
        <v/>
      </c>
      <c r="R131" s="59">
        <v>15</v>
      </c>
      <c r="S131" s="50">
        <v>5</v>
      </c>
      <c r="T131" s="50">
        <v>0</v>
      </c>
      <c r="U131" s="57">
        <v>0</v>
      </c>
      <c r="V131" s="57">
        <v>23</v>
      </c>
      <c r="W131" s="59">
        <f t="shared" si="85"/>
        <v>2</v>
      </c>
      <c r="X131" s="49"/>
      <c r="Y131" s="57">
        <v>1</v>
      </c>
      <c r="Z131" s="57">
        <v>1</v>
      </c>
      <c r="AA131" s="50"/>
      <c r="AB131" s="50"/>
      <c r="AC131" s="51" t="str">
        <f t="shared" si="80"/>
        <v/>
      </c>
      <c r="AD131" s="59"/>
      <c r="AE131" s="50"/>
      <c r="AF131" s="50"/>
      <c r="AG131" s="50"/>
      <c r="AH131" s="50"/>
      <c r="AI131" s="99" t="str">
        <f t="shared" si="86"/>
        <v/>
      </c>
    </row>
    <row r="132" spans="1:36" x14ac:dyDescent="0.15">
      <c r="A132" s="82">
        <f>'Match Summary'!$B$13</f>
        <v>42176</v>
      </c>
      <c r="B132" s="64" t="str">
        <f>'Match Summary'!$C$13</f>
        <v>Judd_St_Tigers</v>
      </c>
      <c r="C132" s="56">
        <v>11</v>
      </c>
      <c r="D132" s="1" t="s">
        <v>49</v>
      </c>
      <c r="E132" s="52"/>
      <c r="F132" s="54" t="s">
        <v>195</v>
      </c>
      <c r="G132" s="107" t="s">
        <v>200</v>
      </c>
      <c r="H132" s="56"/>
      <c r="I132" s="56"/>
      <c r="J132" s="53"/>
      <c r="K132" s="53"/>
      <c r="L132" s="53"/>
      <c r="M132" s="53"/>
      <c r="N132" s="52" t="str">
        <f t="shared" si="81"/>
        <v/>
      </c>
      <c r="O132" s="53" t="str">
        <f t="shared" si="82"/>
        <v/>
      </c>
      <c r="P132" s="53" t="str">
        <f t="shared" si="83"/>
        <v/>
      </c>
      <c r="Q132" s="54" t="str">
        <f t="shared" si="84"/>
        <v/>
      </c>
      <c r="R132" s="56"/>
      <c r="S132" s="53"/>
      <c r="T132" s="53"/>
      <c r="U132" s="53"/>
      <c r="V132" s="53"/>
      <c r="W132" s="56" t="str">
        <f t="shared" si="85"/>
        <v/>
      </c>
      <c r="X132" s="52"/>
      <c r="Y132" s="53"/>
      <c r="Z132" s="53"/>
      <c r="AA132" s="53"/>
      <c r="AB132" s="53"/>
      <c r="AC132" s="54" t="str">
        <f t="shared" si="80"/>
        <v/>
      </c>
      <c r="AD132" s="56">
        <v>9</v>
      </c>
      <c r="AE132" s="53"/>
      <c r="AF132" s="53"/>
      <c r="AG132" s="53"/>
      <c r="AH132" s="53">
        <v>1</v>
      </c>
      <c r="AI132" s="100">
        <f t="shared" si="86"/>
        <v>1</v>
      </c>
    </row>
    <row r="133" spans="1:36" ht="15" thickBot="1" x14ac:dyDescent="0.2">
      <c r="A133" s="83">
        <f>'Match Summary'!$B$13</f>
        <v>42176</v>
      </c>
      <c r="B133" s="84" t="str">
        <f>'Match Summary'!$C$13</f>
        <v>Judd_St_Tigers</v>
      </c>
      <c r="C133" s="85"/>
      <c r="D133" s="86" t="s">
        <v>174</v>
      </c>
      <c r="E133" s="85"/>
      <c r="F133" s="85"/>
      <c r="G133" s="115"/>
      <c r="H133" s="86">
        <v>12</v>
      </c>
      <c r="I133" s="85"/>
      <c r="J133" s="85"/>
      <c r="K133" s="85"/>
      <c r="L133" s="85"/>
      <c r="M133" s="85"/>
      <c r="N133" s="85"/>
      <c r="O133" s="85"/>
      <c r="P133" s="87"/>
      <c r="Q133" s="88"/>
      <c r="R133" s="86">
        <f>SUBTOTAL(9,R122:R132)</f>
        <v>41</v>
      </c>
      <c r="S133" s="91">
        <f t="shared" ref="S133" si="87">SUBTOTAL(9,S122:S132)</f>
        <v>9</v>
      </c>
      <c r="T133" s="86">
        <f>SUBTOTAL(9,T122:T132)</f>
        <v>8</v>
      </c>
      <c r="U133" s="86">
        <f>SUBTOTAL(9,U122:U132)</f>
        <v>0</v>
      </c>
      <c r="V133" s="86">
        <f>SUBTOTAL(9,V122:V132)</f>
        <v>110</v>
      </c>
      <c r="W133" s="86">
        <f>SUBTOTAL(9,W122:W132)</f>
        <v>6</v>
      </c>
      <c r="X133" s="85"/>
      <c r="Y133" s="85"/>
      <c r="Z133" s="85"/>
      <c r="AA133" s="85"/>
      <c r="AB133" s="85"/>
      <c r="AC133" s="85" t="s">
        <v>259</v>
      </c>
      <c r="AD133" s="92">
        <v>2</v>
      </c>
      <c r="AE133" s="85"/>
      <c r="AF133" s="85"/>
      <c r="AG133" s="85"/>
      <c r="AH133" s="85"/>
      <c r="AI133" s="101"/>
    </row>
    <row r="134" spans="1:36" x14ac:dyDescent="0.15">
      <c r="A134" s="75">
        <f>'Match Summary'!$B$14</f>
        <v>42183</v>
      </c>
      <c r="B134" s="76" t="str">
        <f>'Match Summary'!$C$14</f>
        <v>Finchingfield</v>
      </c>
      <c r="C134" s="77">
        <v>1</v>
      </c>
      <c r="D134" s="17" t="s">
        <v>111</v>
      </c>
      <c r="E134" s="79"/>
      <c r="F134" s="80"/>
      <c r="G134" s="30" t="s">
        <v>199</v>
      </c>
      <c r="H134" s="77">
        <v>39</v>
      </c>
      <c r="I134" s="77" t="s">
        <v>202</v>
      </c>
      <c r="J134" s="81">
        <v>61</v>
      </c>
      <c r="K134" s="81">
        <v>60</v>
      </c>
      <c r="L134" s="81">
        <v>7</v>
      </c>
      <c r="M134" s="81"/>
      <c r="N134" s="79" t="str">
        <f t="shared" ref="N134" si="88">IF(I134="NO",1,"")</f>
        <v/>
      </c>
      <c r="O134" s="81" t="str">
        <f t="shared" ref="O134" si="89">IF(OR(H134&gt;0,H134=""),"",IF(I134="no","",1))</f>
        <v/>
      </c>
      <c r="P134" s="81" t="str">
        <f t="shared" ref="P134" si="90">IF(AND(H134&gt;=50,H134&lt;100),1,"")</f>
        <v/>
      </c>
      <c r="Q134" s="80" t="str">
        <f t="shared" ref="Q134" si="91">IF(H134&gt;=100,1,"")</f>
        <v/>
      </c>
      <c r="R134" s="77">
        <v>2.2999999999999998</v>
      </c>
      <c r="S134" s="81">
        <v>0</v>
      </c>
      <c r="T134" s="81">
        <v>1</v>
      </c>
      <c r="U134" s="81">
        <v>0</v>
      </c>
      <c r="V134" s="81">
        <v>6</v>
      </c>
      <c r="W134" s="77">
        <f>IF(R134="","",SUM(X134:AB134))</f>
        <v>2</v>
      </c>
      <c r="X134" s="79">
        <v>2</v>
      </c>
      <c r="Y134" s="81"/>
      <c r="Z134" s="81"/>
      <c r="AA134" s="81"/>
      <c r="AB134" s="81"/>
      <c r="AC134" s="80" t="str">
        <f t="shared" ref="AC134:AC144" si="92">IF(AND(ISNUMBER(W134),W134&gt;=5),1,"")</f>
        <v/>
      </c>
      <c r="AD134" s="77"/>
      <c r="AE134" s="81"/>
      <c r="AF134" s="81"/>
      <c r="AG134" s="81"/>
      <c r="AH134" s="81"/>
      <c r="AI134" s="98" t="str">
        <f>IF(SUM(AE134:AH134)=0,"",SUM(AE134:AH134))</f>
        <v/>
      </c>
    </row>
    <row r="135" spans="1:36" x14ac:dyDescent="0.15">
      <c r="A135" s="82">
        <f>'Match Summary'!$B$14</f>
        <v>42183</v>
      </c>
      <c r="B135" s="64" t="str">
        <f>'Match Summary'!$C$14</f>
        <v>Finchingfield</v>
      </c>
      <c r="C135" s="59">
        <v>2</v>
      </c>
      <c r="D135" s="1" t="s">
        <v>42</v>
      </c>
      <c r="E135" s="49"/>
      <c r="F135" s="51"/>
      <c r="G135" s="30" t="s">
        <v>199</v>
      </c>
      <c r="H135" s="59">
        <v>33</v>
      </c>
      <c r="I135" s="59" t="s">
        <v>201</v>
      </c>
      <c r="J135" s="57">
        <v>70</v>
      </c>
      <c r="K135" s="57">
        <v>73</v>
      </c>
      <c r="L135" s="57">
        <v>5</v>
      </c>
      <c r="M135" s="50"/>
      <c r="N135" s="49" t="str">
        <f t="shared" ref="N135:N144" si="93">IF(I135="NO",1,"")</f>
        <v/>
      </c>
      <c r="O135" s="50" t="str">
        <f t="shared" ref="O135:O144" si="94">IF(OR(H135&gt;0,H135=""),"",IF(I135="no","",1))</f>
        <v/>
      </c>
      <c r="P135" s="50" t="str">
        <f t="shared" ref="P135:P144" si="95">IF(AND(H135&gt;=50,H135&lt;100),1,"")</f>
        <v/>
      </c>
      <c r="Q135" s="51" t="str">
        <f t="shared" ref="Q135:Q144" si="96">IF(H135&gt;=100,1,"")</f>
        <v/>
      </c>
      <c r="R135" s="59"/>
      <c r="S135" s="50"/>
      <c r="T135" s="50"/>
      <c r="U135" s="50"/>
      <c r="V135" s="50"/>
      <c r="W135" s="59" t="str">
        <f t="shared" ref="W135:W205" si="97">IF(R135="","",SUM(X135:AB135))</f>
        <v/>
      </c>
      <c r="X135" s="49"/>
      <c r="Y135" s="50"/>
      <c r="Z135" s="50"/>
      <c r="AA135" s="50"/>
      <c r="AB135" s="50"/>
      <c r="AC135" s="51" t="str">
        <f t="shared" si="92"/>
        <v/>
      </c>
      <c r="AD135" s="59"/>
      <c r="AE135" s="50"/>
      <c r="AF135" s="50"/>
      <c r="AG135" s="50"/>
      <c r="AH135" s="50"/>
      <c r="AI135" s="99" t="str">
        <f t="shared" ref="AI135:AI144" si="98">IF(SUM(AE135:AH135)=0,"",SUM(AE135:AH135))</f>
        <v/>
      </c>
    </row>
    <row r="136" spans="1:36" x14ac:dyDescent="0.15">
      <c r="A136" s="82">
        <f>'Match Summary'!$B$14</f>
        <v>42183</v>
      </c>
      <c r="B136" s="64" t="str">
        <f>'Match Summary'!$C$14</f>
        <v>Finchingfield</v>
      </c>
      <c r="C136" s="59">
        <v>3</v>
      </c>
      <c r="D136" s="17" t="s">
        <v>186</v>
      </c>
      <c r="E136" s="49"/>
      <c r="F136" s="51"/>
      <c r="G136" s="30" t="s">
        <v>199</v>
      </c>
      <c r="H136" s="59">
        <v>63</v>
      </c>
      <c r="I136" s="59" t="s">
        <v>221</v>
      </c>
      <c r="J136" s="57">
        <v>62</v>
      </c>
      <c r="K136" s="57">
        <v>69</v>
      </c>
      <c r="L136" s="57">
        <v>7</v>
      </c>
      <c r="M136" s="57">
        <v>1</v>
      </c>
      <c r="N136" s="49" t="str">
        <f t="shared" si="93"/>
        <v/>
      </c>
      <c r="O136" s="50" t="str">
        <f t="shared" si="94"/>
        <v/>
      </c>
      <c r="P136" s="50">
        <f t="shared" si="95"/>
        <v>1</v>
      </c>
      <c r="Q136" s="51" t="str">
        <f t="shared" si="96"/>
        <v/>
      </c>
      <c r="R136" s="59">
        <v>3</v>
      </c>
      <c r="S136" s="50">
        <v>11</v>
      </c>
      <c r="T136" s="50">
        <v>0</v>
      </c>
      <c r="U136" s="57">
        <v>0</v>
      </c>
      <c r="V136" s="57">
        <v>3</v>
      </c>
      <c r="W136" s="59">
        <f t="shared" si="97"/>
        <v>1</v>
      </c>
      <c r="X136" s="49"/>
      <c r="Y136" s="50"/>
      <c r="Z136" s="57">
        <v>1</v>
      </c>
      <c r="AA136" s="50"/>
      <c r="AB136" s="50"/>
      <c r="AC136" s="51" t="str">
        <f t="shared" si="92"/>
        <v/>
      </c>
      <c r="AD136" s="59"/>
      <c r="AE136" s="50"/>
      <c r="AF136" s="50"/>
      <c r="AG136" s="50"/>
      <c r="AH136" s="50"/>
      <c r="AI136" s="99" t="str">
        <f t="shared" si="98"/>
        <v/>
      </c>
      <c r="AJ136" t="str">
        <f t="shared" ref="AJ136" si="99">IF(X136&gt;=5,1,"")</f>
        <v/>
      </c>
    </row>
    <row r="137" spans="1:36" x14ac:dyDescent="0.15">
      <c r="A137" s="82">
        <f>'Match Summary'!$B$14</f>
        <v>42183</v>
      </c>
      <c r="B137" s="64" t="str">
        <f>'Match Summary'!$C$14</f>
        <v>Finchingfield</v>
      </c>
      <c r="C137" s="59">
        <v>4</v>
      </c>
      <c r="D137" s="17" t="s">
        <v>156</v>
      </c>
      <c r="E137" s="49"/>
      <c r="F137" s="51"/>
      <c r="G137" s="30" t="s">
        <v>199</v>
      </c>
      <c r="H137" s="59">
        <v>4</v>
      </c>
      <c r="I137" s="59" t="s">
        <v>201</v>
      </c>
      <c r="J137" s="57">
        <v>6</v>
      </c>
      <c r="K137" s="57">
        <v>11</v>
      </c>
      <c r="L137" s="57">
        <v>1</v>
      </c>
      <c r="M137" s="50"/>
      <c r="N137" s="49" t="str">
        <f t="shared" si="93"/>
        <v/>
      </c>
      <c r="O137" s="50" t="str">
        <f t="shared" si="94"/>
        <v/>
      </c>
      <c r="P137" s="50" t="str">
        <f t="shared" si="95"/>
        <v/>
      </c>
      <c r="Q137" s="51" t="str">
        <f t="shared" si="96"/>
        <v/>
      </c>
      <c r="R137" s="59"/>
      <c r="S137" s="50"/>
      <c r="T137" s="50"/>
      <c r="U137" s="50"/>
      <c r="V137" s="50"/>
      <c r="W137" s="59" t="str">
        <f t="shared" si="97"/>
        <v/>
      </c>
      <c r="X137" s="49"/>
      <c r="Y137" s="50"/>
      <c r="Z137" s="50"/>
      <c r="AA137" s="50"/>
      <c r="AB137" s="50"/>
      <c r="AC137" s="51" t="str">
        <f t="shared" si="92"/>
        <v/>
      </c>
      <c r="AD137" s="59"/>
      <c r="AE137" s="50">
        <v>1</v>
      </c>
      <c r="AF137" s="50"/>
      <c r="AG137" s="50"/>
      <c r="AH137" s="50"/>
      <c r="AI137" s="99">
        <f t="shared" si="98"/>
        <v>1</v>
      </c>
    </row>
    <row r="138" spans="1:36" x14ac:dyDescent="0.15">
      <c r="A138" s="82">
        <f>'Match Summary'!$B$14</f>
        <v>42183</v>
      </c>
      <c r="B138" s="64" t="str">
        <f>'Match Summary'!$C$14</f>
        <v>Finchingfield</v>
      </c>
      <c r="C138" s="59">
        <v>5</v>
      </c>
      <c r="D138" s="1" t="s">
        <v>48</v>
      </c>
      <c r="E138" s="49"/>
      <c r="F138" s="51"/>
      <c r="G138" s="30" t="s">
        <v>199</v>
      </c>
      <c r="H138" s="59">
        <v>66</v>
      </c>
      <c r="I138" s="59" t="s">
        <v>203</v>
      </c>
      <c r="J138" s="57">
        <v>43</v>
      </c>
      <c r="K138" s="57">
        <v>57</v>
      </c>
      <c r="L138" s="57">
        <v>9</v>
      </c>
      <c r="M138" s="57">
        <v>1</v>
      </c>
      <c r="N138" s="49">
        <f t="shared" si="93"/>
        <v>1</v>
      </c>
      <c r="O138" s="50" t="str">
        <f t="shared" si="94"/>
        <v/>
      </c>
      <c r="P138" s="50">
        <f t="shared" si="95"/>
        <v>1</v>
      </c>
      <c r="Q138" s="51" t="str">
        <f t="shared" si="96"/>
        <v/>
      </c>
      <c r="R138" s="59">
        <v>5</v>
      </c>
      <c r="S138" s="50">
        <v>2</v>
      </c>
      <c r="T138" s="50">
        <v>0</v>
      </c>
      <c r="U138" s="57">
        <v>0</v>
      </c>
      <c r="V138" s="57">
        <v>11</v>
      </c>
      <c r="W138" s="59">
        <f t="shared" si="97"/>
        <v>0</v>
      </c>
      <c r="X138" s="49"/>
      <c r="Y138" s="50"/>
      <c r="Z138" s="57"/>
      <c r="AA138" s="50"/>
      <c r="AB138" s="50"/>
      <c r="AC138" s="51" t="str">
        <f t="shared" si="92"/>
        <v/>
      </c>
      <c r="AD138" s="59"/>
      <c r="AE138" s="50">
        <v>1</v>
      </c>
      <c r="AF138" s="50"/>
      <c r="AG138" s="50"/>
      <c r="AH138" s="50"/>
      <c r="AI138" s="99">
        <f t="shared" si="98"/>
        <v>1</v>
      </c>
    </row>
    <row r="139" spans="1:36" x14ac:dyDescent="0.15">
      <c r="A139" s="82">
        <f>'Match Summary'!$B$14</f>
        <v>42183</v>
      </c>
      <c r="B139" s="64" t="str">
        <f>'Match Summary'!$C$14</f>
        <v>Finchingfield</v>
      </c>
      <c r="C139" s="59">
        <v>6</v>
      </c>
      <c r="D139" s="17" t="s">
        <v>118</v>
      </c>
      <c r="E139" s="49"/>
      <c r="F139" s="51"/>
      <c r="G139" s="30" t="s">
        <v>199</v>
      </c>
      <c r="H139" s="59">
        <v>9</v>
      </c>
      <c r="I139" s="59" t="s">
        <v>203</v>
      </c>
      <c r="J139" s="57">
        <v>6</v>
      </c>
      <c r="K139" s="57">
        <v>9</v>
      </c>
      <c r="L139" s="57">
        <v>2</v>
      </c>
      <c r="M139" s="50"/>
      <c r="N139" s="49">
        <f t="shared" si="93"/>
        <v>1</v>
      </c>
      <c r="O139" s="50" t="str">
        <f t="shared" si="94"/>
        <v/>
      </c>
      <c r="P139" s="50" t="str">
        <f t="shared" si="95"/>
        <v/>
      </c>
      <c r="Q139" s="51" t="str">
        <f t="shared" si="96"/>
        <v/>
      </c>
      <c r="R139" s="59">
        <v>4</v>
      </c>
      <c r="S139" s="50">
        <v>2</v>
      </c>
      <c r="T139" s="50">
        <v>0</v>
      </c>
      <c r="U139" s="57">
        <v>0</v>
      </c>
      <c r="V139" s="57">
        <v>9</v>
      </c>
      <c r="W139" s="59">
        <f t="shared" si="97"/>
        <v>1</v>
      </c>
      <c r="X139" s="49">
        <v>1</v>
      </c>
      <c r="Y139" s="50"/>
      <c r="Z139" s="50"/>
      <c r="AA139" s="50"/>
      <c r="AB139" s="50"/>
      <c r="AC139" s="51" t="str">
        <f t="shared" si="92"/>
        <v/>
      </c>
      <c r="AD139" s="59"/>
      <c r="AE139" s="50"/>
      <c r="AF139" s="50"/>
      <c r="AG139" s="50"/>
      <c r="AH139" s="50"/>
      <c r="AI139" s="99" t="str">
        <f t="shared" si="98"/>
        <v/>
      </c>
    </row>
    <row r="140" spans="1:36" x14ac:dyDescent="0.15">
      <c r="A140" s="82">
        <f>'Match Summary'!$B$14</f>
        <v>42183</v>
      </c>
      <c r="B140" s="64" t="str">
        <f>'Match Summary'!$C$14</f>
        <v>Finchingfield</v>
      </c>
      <c r="C140" s="59">
        <v>7</v>
      </c>
      <c r="D140" s="17" t="s">
        <v>160</v>
      </c>
      <c r="E140" s="49"/>
      <c r="F140" s="51"/>
      <c r="G140" s="30" t="s">
        <v>200</v>
      </c>
      <c r="H140" s="59"/>
      <c r="I140" s="59" t="s">
        <v>204</v>
      </c>
      <c r="J140" s="57"/>
      <c r="K140" s="57"/>
      <c r="L140" s="57"/>
      <c r="M140" s="57"/>
      <c r="N140" s="49" t="str">
        <f t="shared" si="93"/>
        <v/>
      </c>
      <c r="O140" s="50" t="str">
        <f t="shared" si="94"/>
        <v/>
      </c>
      <c r="P140" s="50" t="str">
        <f t="shared" si="95"/>
        <v/>
      </c>
      <c r="Q140" s="51" t="str">
        <f t="shared" si="96"/>
        <v/>
      </c>
      <c r="R140" s="59"/>
      <c r="S140" s="50"/>
      <c r="T140" s="50"/>
      <c r="U140" s="57"/>
      <c r="V140" s="57"/>
      <c r="W140" s="59" t="str">
        <f t="shared" si="97"/>
        <v/>
      </c>
      <c r="X140" s="49"/>
      <c r="Y140" s="50"/>
      <c r="Z140" s="57"/>
      <c r="AA140" s="50"/>
      <c r="AB140" s="50"/>
      <c r="AC140" s="51" t="str">
        <f>IF(AND(ISNUMBER(W140),W140&gt;=5),1,"")</f>
        <v/>
      </c>
      <c r="AD140" s="59"/>
      <c r="AE140" s="50"/>
      <c r="AF140" s="50"/>
      <c r="AG140" s="50"/>
      <c r="AH140" s="50"/>
      <c r="AI140" s="99" t="str">
        <f t="shared" si="98"/>
        <v/>
      </c>
    </row>
    <row r="141" spans="1:36" x14ac:dyDescent="0.15">
      <c r="A141" s="82">
        <f>'Match Summary'!$B$14</f>
        <v>42183</v>
      </c>
      <c r="B141" s="64" t="str">
        <f>'Match Summary'!$C$14</f>
        <v>Finchingfield</v>
      </c>
      <c r="C141" s="59">
        <v>8</v>
      </c>
      <c r="D141" s="1" t="s">
        <v>102</v>
      </c>
      <c r="E141" s="49"/>
      <c r="F141" s="51"/>
      <c r="G141" s="30" t="s">
        <v>200</v>
      </c>
      <c r="H141" s="59"/>
      <c r="I141" s="59" t="s">
        <v>204</v>
      </c>
      <c r="J141" s="57"/>
      <c r="K141" s="57"/>
      <c r="L141" s="50"/>
      <c r="M141" s="50"/>
      <c r="N141" s="49" t="str">
        <f t="shared" si="93"/>
        <v/>
      </c>
      <c r="O141" s="50" t="str">
        <f t="shared" si="94"/>
        <v/>
      </c>
      <c r="P141" s="50" t="str">
        <f t="shared" si="95"/>
        <v/>
      </c>
      <c r="Q141" s="51" t="str">
        <f t="shared" si="96"/>
        <v/>
      </c>
      <c r="R141" s="59">
        <v>4</v>
      </c>
      <c r="S141" s="50">
        <v>0</v>
      </c>
      <c r="T141" s="50">
        <v>0</v>
      </c>
      <c r="U141" s="57">
        <v>0</v>
      </c>
      <c r="V141" s="57">
        <v>19</v>
      </c>
      <c r="W141" s="59">
        <f t="shared" si="97"/>
        <v>2</v>
      </c>
      <c r="X141" s="49">
        <v>1</v>
      </c>
      <c r="Y141" s="50"/>
      <c r="Z141" s="57">
        <v>1</v>
      </c>
      <c r="AA141" s="50"/>
      <c r="AB141" s="50"/>
      <c r="AC141" s="51" t="str">
        <f t="shared" si="92"/>
        <v/>
      </c>
      <c r="AD141" s="59"/>
      <c r="AE141" s="50"/>
      <c r="AF141" s="50"/>
      <c r="AG141" s="50"/>
      <c r="AH141" s="50"/>
      <c r="AI141" s="99" t="str">
        <f t="shared" si="98"/>
        <v/>
      </c>
    </row>
    <row r="142" spans="1:36" x14ac:dyDescent="0.15">
      <c r="A142" s="82">
        <f>'Match Summary'!$B$14</f>
        <v>42183</v>
      </c>
      <c r="B142" s="64" t="str">
        <f>'Match Summary'!$C$14</f>
        <v>Finchingfield</v>
      </c>
      <c r="C142" s="59">
        <v>9</v>
      </c>
      <c r="D142" s="1" t="s">
        <v>44</v>
      </c>
      <c r="E142" s="49" t="s">
        <v>195</v>
      </c>
      <c r="F142" s="51"/>
      <c r="G142" s="30" t="s">
        <v>200</v>
      </c>
      <c r="H142" s="59"/>
      <c r="I142" s="59" t="s">
        <v>204</v>
      </c>
      <c r="J142" s="57"/>
      <c r="K142" s="57"/>
      <c r="L142" s="50"/>
      <c r="M142" s="50"/>
      <c r="N142" s="49" t="str">
        <f t="shared" si="93"/>
        <v/>
      </c>
      <c r="O142" s="50" t="str">
        <f t="shared" si="94"/>
        <v/>
      </c>
      <c r="P142" s="50" t="str">
        <f t="shared" si="95"/>
        <v/>
      </c>
      <c r="Q142" s="51" t="str">
        <f t="shared" si="96"/>
        <v/>
      </c>
      <c r="R142" s="59">
        <v>4</v>
      </c>
      <c r="S142" s="57">
        <v>1</v>
      </c>
      <c r="T142" s="57">
        <v>0</v>
      </c>
      <c r="U142" s="57">
        <v>0</v>
      </c>
      <c r="V142" s="57">
        <v>8</v>
      </c>
      <c r="W142" s="59">
        <f t="shared" si="97"/>
        <v>3</v>
      </c>
      <c r="X142" s="49">
        <v>2</v>
      </c>
      <c r="Y142" s="57">
        <v>1</v>
      </c>
      <c r="Z142" s="50"/>
      <c r="AA142" s="50"/>
      <c r="AB142" s="50"/>
      <c r="AC142" s="51" t="str">
        <f t="shared" si="92"/>
        <v/>
      </c>
      <c r="AD142" s="59"/>
      <c r="AE142" s="50"/>
      <c r="AF142" s="50"/>
      <c r="AG142" s="50"/>
      <c r="AH142" s="50"/>
      <c r="AI142" s="99" t="str">
        <f t="shared" si="98"/>
        <v/>
      </c>
    </row>
    <row r="143" spans="1:36" x14ac:dyDescent="0.15">
      <c r="A143" s="82">
        <f>'Match Summary'!$B$14</f>
        <v>42183</v>
      </c>
      <c r="B143" s="64" t="str">
        <f>'Match Summary'!$C$14</f>
        <v>Finchingfield</v>
      </c>
      <c r="C143" s="59">
        <v>10</v>
      </c>
      <c r="D143" s="1" t="s">
        <v>49</v>
      </c>
      <c r="E143" s="49"/>
      <c r="F143" s="51" t="s">
        <v>195</v>
      </c>
      <c r="G143" s="30" t="s">
        <v>200</v>
      </c>
      <c r="H143" s="59"/>
      <c r="I143" s="59" t="s">
        <v>204</v>
      </c>
      <c r="J143" s="57"/>
      <c r="K143" s="57"/>
      <c r="L143" s="50"/>
      <c r="M143" s="50"/>
      <c r="N143" s="49" t="str">
        <f t="shared" si="93"/>
        <v/>
      </c>
      <c r="O143" s="50" t="str">
        <f t="shared" si="94"/>
        <v/>
      </c>
      <c r="P143" s="50" t="str">
        <f t="shared" si="95"/>
        <v/>
      </c>
      <c r="Q143" s="51" t="str">
        <f t="shared" si="96"/>
        <v/>
      </c>
      <c r="R143" s="59"/>
      <c r="S143" s="50"/>
      <c r="T143" s="50"/>
      <c r="U143" s="50"/>
      <c r="V143" s="50"/>
      <c r="W143" s="59" t="str">
        <f t="shared" si="97"/>
        <v/>
      </c>
      <c r="X143" s="49"/>
      <c r="Y143" s="50"/>
      <c r="Z143" s="50"/>
      <c r="AA143" s="50"/>
      <c r="AB143" s="50"/>
      <c r="AC143" s="51" t="str">
        <f t="shared" si="92"/>
        <v/>
      </c>
      <c r="AD143" s="59">
        <v>4</v>
      </c>
      <c r="AE143" s="50"/>
      <c r="AF143" s="50"/>
      <c r="AG143" s="50"/>
      <c r="AH143" s="50"/>
      <c r="AI143" s="99" t="str">
        <f t="shared" si="98"/>
        <v/>
      </c>
    </row>
    <row r="144" spans="1:36" x14ac:dyDescent="0.15">
      <c r="A144" s="82">
        <f>'Match Summary'!$B$14</f>
        <v>42183</v>
      </c>
      <c r="B144" s="64" t="str">
        <f>'Match Summary'!$C$14</f>
        <v>Finchingfield</v>
      </c>
      <c r="C144" s="56">
        <v>11</v>
      </c>
      <c r="D144" s="62"/>
      <c r="E144" s="52"/>
      <c r="F144" s="54"/>
      <c r="G144" s="107"/>
      <c r="H144" s="56"/>
      <c r="I144" s="56"/>
      <c r="J144" s="53"/>
      <c r="K144" s="53"/>
      <c r="L144" s="53"/>
      <c r="M144" s="53"/>
      <c r="N144" s="52" t="str">
        <f t="shared" si="93"/>
        <v/>
      </c>
      <c r="O144" s="53" t="str">
        <f t="shared" si="94"/>
        <v/>
      </c>
      <c r="P144" s="53" t="str">
        <f t="shared" si="95"/>
        <v/>
      </c>
      <c r="Q144" s="54" t="str">
        <f t="shared" si="96"/>
        <v/>
      </c>
      <c r="R144" s="56"/>
      <c r="S144" s="53"/>
      <c r="T144" s="53"/>
      <c r="U144" s="53"/>
      <c r="V144" s="53"/>
      <c r="W144" s="56" t="str">
        <f t="shared" si="97"/>
        <v/>
      </c>
      <c r="X144" s="52"/>
      <c r="Y144" s="53"/>
      <c r="Z144" s="53"/>
      <c r="AA144" s="53"/>
      <c r="AB144" s="53"/>
      <c r="AC144" s="54" t="str">
        <f t="shared" si="92"/>
        <v/>
      </c>
      <c r="AD144" s="56"/>
      <c r="AE144" s="53"/>
      <c r="AF144" s="53"/>
      <c r="AG144" s="53"/>
      <c r="AH144" s="53"/>
      <c r="AI144" s="100" t="str">
        <f t="shared" si="98"/>
        <v/>
      </c>
    </row>
    <row r="145" spans="1:35" ht="15" thickBot="1" x14ac:dyDescent="0.2">
      <c r="A145" s="83">
        <f>'Match Summary'!$B$14</f>
        <v>42183</v>
      </c>
      <c r="B145" s="84" t="str">
        <f>'Match Summary'!$C$14</f>
        <v>Finchingfield</v>
      </c>
      <c r="C145" s="85"/>
      <c r="D145" s="86" t="s">
        <v>174</v>
      </c>
      <c r="E145" s="85"/>
      <c r="F145" s="85"/>
      <c r="G145" s="115"/>
      <c r="H145" s="86">
        <v>28</v>
      </c>
      <c r="I145" s="86"/>
      <c r="J145" s="85"/>
      <c r="K145" s="85"/>
      <c r="L145" s="85"/>
      <c r="M145" s="85"/>
      <c r="N145" s="85"/>
      <c r="O145" s="85"/>
      <c r="P145" s="87"/>
      <c r="Q145" s="88"/>
      <c r="R145" s="86">
        <f>SUBTOTAL(9,R134:R144)</f>
        <v>22.3</v>
      </c>
      <c r="S145" s="91">
        <f t="shared" ref="S145" si="100">SUBTOTAL(9,S134:S144)</f>
        <v>16</v>
      </c>
      <c r="T145" s="86">
        <f>SUBTOTAL(9,T134:T144)</f>
        <v>1</v>
      </c>
      <c r="U145" s="86">
        <f>SUBTOTAL(9,U134:U144)</f>
        <v>0</v>
      </c>
      <c r="V145" s="86">
        <f>SUBTOTAL(9,V134:V144)</f>
        <v>56</v>
      </c>
      <c r="W145" s="86">
        <f>SUBTOTAL(9,W134:W144)</f>
        <v>9</v>
      </c>
      <c r="X145" s="85"/>
      <c r="Y145" s="85"/>
      <c r="Z145" s="85"/>
      <c r="AA145" s="85"/>
      <c r="AB145" s="85"/>
      <c r="AC145" s="85" t="s">
        <v>259</v>
      </c>
      <c r="AD145" s="92">
        <v>2</v>
      </c>
      <c r="AE145" s="85"/>
      <c r="AF145" s="85"/>
      <c r="AG145" s="85"/>
      <c r="AH145" s="85"/>
      <c r="AI145" s="101"/>
    </row>
    <row r="146" spans="1:35" x14ac:dyDescent="0.15">
      <c r="A146" s="75">
        <f>'Match Summary'!$B$15</f>
        <v>42190</v>
      </c>
      <c r="B146" s="76" t="str">
        <f>'Match Summary'!$C$15</f>
        <v>Lindsell</v>
      </c>
      <c r="C146" s="77">
        <v>1</v>
      </c>
      <c r="D146" s="97" t="s">
        <v>160</v>
      </c>
      <c r="E146" s="79"/>
      <c r="F146" s="80"/>
      <c r="G146" s="116" t="s">
        <v>199</v>
      </c>
      <c r="H146" s="77">
        <v>18</v>
      </c>
      <c r="I146" s="77" t="s">
        <v>202</v>
      </c>
      <c r="J146" s="81">
        <v>34</v>
      </c>
      <c r="K146" s="81">
        <v>50</v>
      </c>
      <c r="L146" s="81">
        <v>3</v>
      </c>
      <c r="M146" s="81"/>
      <c r="N146" s="79" t="str">
        <f t="shared" si="31"/>
        <v/>
      </c>
      <c r="O146" s="81" t="str">
        <f t="shared" si="43"/>
        <v/>
      </c>
      <c r="P146" s="81" t="str">
        <f t="shared" si="32"/>
        <v/>
      </c>
      <c r="Q146" s="80" t="str">
        <f t="shared" si="33"/>
        <v/>
      </c>
      <c r="R146" s="77"/>
      <c r="S146" s="81"/>
      <c r="T146" s="81"/>
      <c r="U146" s="81"/>
      <c r="V146" s="81"/>
      <c r="W146" s="77" t="str">
        <f t="shared" si="97"/>
        <v/>
      </c>
      <c r="X146" s="79"/>
      <c r="Y146" s="81"/>
      <c r="Z146" s="81"/>
      <c r="AA146" s="81"/>
      <c r="AB146" s="81"/>
      <c r="AC146" s="80" t="str">
        <f t="shared" ref="AC146:AC156" si="101">IF(AND(ISNUMBER(W146),W146&gt;=5),1,"")</f>
        <v/>
      </c>
      <c r="AD146" s="77"/>
      <c r="AE146" s="81">
        <v>1</v>
      </c>
      <c r="AF146" s="81"/>
      <c r="AG146" s="81"/>
      <c r="AH146" s="81"/>
      <c r="AI146" s="98">
        <f>IF(SUM(AE146:AH146)=0,"",SUM(AE146:AH146))</f>
        <v>1</v>
      </c>
    </row>
    <row r="147" spans="1:35" x14ac:dyDescent="0.15">
      <c r="A147" s="82">
        <f>'Match Summary'!$B$15</f>
        <v>42190</v>
      </c>
      <c r="B147" s="64" t="str">
        <f>'Match Summary'!$C$15</f>
        <v>Lindsell</v>
      </c>
      <c r="C147" s="59">
        <v>2</v>
      </c>
      <c r="D147" s="61" t="s">
        <v>111</v>
      </c>
      <c r="E147" s="49"/>
      <c r="F147" s="51"/>
      <c r="G147" s="117" t="s">
        <v>199</v>
      </c>
      <c r="H147" s="59">
        <v>5</v>
      </c>
      <c r="I147" s="59" t="s">
        <v>201</v>
      </c>
      <c r="J147" s="57">
        <v>18</v>
      </c>
      <c r="K147" s="57">
        <v>18</v>
      </c>
      <c r="L147" s="57">
        <v>1</v>
      </c>
      <c r="M147" s="50"/>
      <c r="N147" s="49" t="str">
        <f t="shared" si="31"/>
        <v/>
      </c>
      <c r="O147" s="50" t="str">
        <f t="shared" si="43"/>
        <v/>
      </c>
      <c r="P147" s="50" t="str">
        <f t="shared" si="32"/>
        <v/>
      </c>
      <c r="Q147" s="51" t="str">
        <f t="shared" si="33"/>
        <v/>
      </c>
      <c r="R147" s="59">
        <v>2</v>
      </c>
      <c r="S147" s="50">
        <v>0</v>
      </c>
      <c r="T147" s="50">
        <v>1</v>
      </c>
      <c r="U147" s="57">
        <v>1</v>
      </c>
      <c r="V147" s="57">
        <v>12</v>
      </c>
      <c r="W147" s="59">
        <f t="shared" si="97"/>
        <v>0</v>
      </c>
      <c r="X147" s="49"/>
      <c r="Y147" s="50"/>
      <c r="Z147" s="50"/>
      <c r="AA147" s="50"/>
      <c r="AB147" s="50"/>
      <c r="AC147" s="51" t="str">
        <f t="shared" si="101"/>
        <v/>
      </c>
      <c r="AD147" s="59"/>
      <c r="AE147" s="50"/>
      <c r="AF147" s="50"/>
      <c r="AG147" s="50"/>
      <c r="AH147" s="50"/>
      <c r="AI147" s="99" t="str">
        <f t="shared" ref="AI147:AI156" si="102">IF(SUM(AE147:AH147)=0,"",SUM(AE147:AH147))</f>
        <v/>
      </c>
    </row>
    <row r="148" spans="1:35" x14ac:dyDescent="0.15">
      <c r="A148" s="82">
        <f>'Match Summary'!$B$15</f>
        <v>42190</v>
      </c>
      <c r="B148" s="64" t="str">
        <f>'Match Summary'!$C$15</f>
        <v>Lindsell</v>
      </c>
      <c r="C148" s="59">
        <v>3</v>
      </c>
      <c r="D148" s="61" t="s">
        <v>186</v>
      </c>
      <c r="E148" s="49"/>
      <c r="F148" s="51"/>
      <c r="G148" s="117" t="s">
        <v>199</v>
      </c>
      <c r="H148" s="59">
        <v>75</v>
      </c>
      <c r="I148" s="59" t="s">
        <v>203</v>
      </c>
      <c r="J148" s="57">
        <v>81</v>
      </c>
      <c r="K148" s="57">
        <v>68</v>
      </c>
      <c r="L148" s="57">
        <v>13</v>
      </c>
      <c r="M148" s="57">
        <v>1</v>
      </c>
      <c r="N148" s="49">
        <f t="shared" si="31"/>
        <v>1</v>
      </c>
      <c r="O148" s="50" t="str">
        <f t="shared" si="43"/>
        <v/>
      </c>
      <c r="P148" s="50">
        <f t="shared" si="32"/>
        <v>1</v>
      </c>
      <c r="Q148" s="51" t="str">
        <f t="shared" si="33"/>
        <v/>
      </c>
      <c r="R148" s="59">
        <v>6</v>
      </c>
      <c r="S148" s="50">
        <v>0</v>
      </c>
      <c r="T148" s="50">
        <v>0</v>
      </c>
      <c r="U148" s="57">
        <v>0</v>
      </c>
      <c r="V148" s="57">
        <v>24</v>
      </c>
      <c r="W148" s="59">
        <f t="shared" si="97"/>
        <v>2</v>
      </c>
      <c r="X148" s="49">
        <v>1</v>
      </c>
      <c r="Y148" s="50"/>
      <c r="Z148" s="57">
        <v>1</v>
      </c>
      <c r="AA148" s="50"/>
      <c r="AB148" s="50"/>
      <c r="AC148" s="51" t="str">
        <f t="shared" si="101"/>
        <v/>
      </c>
      <c r="AD148" s="59"/>
      <c r="AE148" s="50">
        <v>1</v>
      </c>
      <c r="AF148" s="50"/>
      <c r="AG148" s="50"/>
      <c r="AH148" s="50"/>
      <c r="AI148" s="99">
        <f t="shared" si="102"/>
        <v>1</v>
      </c>
    </row>
    <row r="149" spans="1:35" x14ac:dyDescent="0.15">
      <c r="A149" s="82">
        <f>'Match Summary'!$B$15</f>
        <v>42190</v>
      </c>
      <c r="B149" s="64" t="str">
        <f>'Match Summary'!$C$15</f>
        <v>Lindsell</v>
      </c>
      <c r="C149" s="59">
        <v>4</v>
      </c>
      <c r="D149" s="61" t="s">
        <v>41</v>
      </c>
      <c r="E149" s="49"/>
      <c r="F149" s="51"/>
      <c r="G149" s="117" t="s">
        <v>199</v>
      </c>
      <c r="H149" s="59">
        <v>10</v>
      </c>
      <c r="I149" s="59" t="s">
        <v>202</v>
      </c>
      <c r="J149" s="57">
        <v>12</v>
      </c>
      <c r="K149" s="57">
        <v>13</v>
      </c>
      <c r="L149" s="57">
        <v>2</v>
      </c>
      <c r="M149" s="50"/>
      <c r="N149" s="49" t="str">
        <f t="shared" si="31"/>
        <v/>
      </c>
      <c r="O149" s="50" t="str">
        <f t="shared" si="43"/>
        <v/>
      </c>
      <c r="P149" s="50" t="str">
        <f t="shared" si="32"/>
        <v/>
      </c>
      <c r="Q149" s="51" t="str">
        <f t="shared" si="33"/>
        <v/>
      </c>
      <c r="R149" s="59"/>
      <c r="S149" s="50"/>
      <c r="T149" s="50"/>
      <c r="U149" s="50"/>
      <c r="V149" s="50"/>
      <c r="W149" s="59" t="str">
        <f t="shared" si="97"/>
        <v/>
      </c>
      <c r="X149" s="49"/>
      <c r="Y149" s="50"/>
      <c r="Z149" s="50"/>
      <c r="AA149" s="50"/>
      <c r="AB149" s="50"/>
      <c r="AC149" s="51" t="str">
        <f t="shared" si="101"/>
        <v/>
      </c>
      <c r="AD149" s="59"/>
      <c r="AE149" s="50">
        <v>2</v>
      </c>
      <c r="AF149" s="50"/>
      <c r="AG149" s="50"/>
      <c r="AH149" s="50"/>
      <c r="AI149" s="99">
        <f t="shared" si="102"/>
        <v>2</v>
      </c>
    </row>
    <row r="150" spans="1:35" x14ac:dyDescent="0.15">
      <c r="A150" s="82">
        <f>'Match Summary'!$B$15</f>
        <v>42190</v>
      </c>
      <c r="B150" s="64" t="str">
        <f>'Match Summary'!$C$15</f>
        <v>Lindsell</v>
      </c>
      <c r="C150" s="59">
        <v>5</v>
      </c>
      <c r="D150" s="61" t="s">
        <v>48</v>
      </c>
      <c r="E150" s="49"/>
      <c r="F150" s="51"/>
      <c r="G150" s="117" t="s">
        <v>199</v>
      </c>
      <c r="H150" s="59">
        <v>11</v>
      </c>
      <c r="I150" s="59" t="s">
        <v>203</v>
      </c>
      <c r="J150" s="57">
        <v>19</v>
      </c>
      <c r="K150" s="57">
        <v>23</v>
      </c>
      <c r="L150" s="57">
        <v>2</v>
      </c>
      <c r="M150" s="50"/>
      <c r="N150" s="49">
        <f t="shared" si="31"/>
        <v>1</v>
      </c>
      <c r="O150" s="50" t="str">
        <f t="shared" si="43"/>
        <v/>
      </c>
      <c r="P150" s="50" t="str">
        <f t="shared" si="32"/>
        <v/>
      </c>
      <c r="Q150" s="51" t="str">
        <f t="shared" si="33"/>
        <v/>
      </c>
      <c r="R150" s="59">
        <v>5</v>
      </c>
      <c r="S150" s="50">
        <v>1</v>
      </c>
      <c r="T150" s="50">
        <v>3</v>
      </c>
      <c r="U150" s="57">
        <v>0</v>
      </c>
      <c r="V150" s="57">
        <v>35</v>
      </c>
      <c r="W150" s="59">
        <f t="shared" si="97"/>
        <v>1</v>
      </c>
      <c r="X150" s="49"/>
      <c r="Y150" s="50"/>
      <c r="Z150" s="57">
        <v>1</v>
      </c>
      <c r="AA150" s="50"/>
      <c r="AB150" s="50"/>
      <c r="AC150" s="51" t="str">
        <f t="shared" si="101"/>
        <v/>
      </c>
      <c r="AD150" s="59"/>
      <c r="AE150" s="50">
        <v>1</v>
      </c>
      <c r="AF150" s="50"/>
      <c r="AG150" s="50"/>
      <c r="AH150" s="50"/>
      <c r="AI150" s="99">
        <f t="shared" si="102"/>
        <v>1</v>
      </c>
    </row>
    <row r="151" spans="1:35" x14ac:dyDescent="0.15">
      <c r="A151" s="82">
        <f>'Match Summary'!$B$15</f>
        <v>42190</v>
      </c>
      <c r="B151" s="64" t="str">
        <f>'Match Summary'!$C$15</f>
        <v>Lindsell</v>
      </c>
      <c r="C151" s="59">
        <v>6</v>
      </c>
      <c r="D151" s="60" t="s">
        <v>156</v>
      </c>
      <c r="E151" s="49"/>
      <c r="F151" s="51"/>
      <c r="G151" s="117" t="s">
        <v>200</v>
      </c>
      <c r="H151" s="59"/>
      <c r="I151" s="59" t="s">
        <v>204</v>
      </c>
      <c r="J151" s="57"/>
      <c r="K151" s="57"/>
      <c r="L151" s="57"/>
      <c r="M151" s="50"/>
      <c r="N151" s="49" t="str">
        <f t="shared" si="31"/>
        <v/>
      </c>
      <c r="O151" s="50" t="str">
        <f t="shared" si="43"/>
        <v/>
      </c>
      <c r="P151" s="50" t="str">
        <f t="shared" si="32"/>
        <v/>
      </c>
      <c r="Q151" s="51" t="str">
        <f t="shared" si="33"/>
        <v/>
      </c>
      <c r="R151" s="59"/>
      <c r="S151" s="50"/>
      <c r="T151" s="50"/>
      <c r="U151" s="50"/>
      <c r="V151" s="50"/>
      <c r="W151" s="59" t="str">
        <f t="shared" si="97"/>
        <v/>
      </c>
      <c r="X151" s="49"/>
      <c r="Y151" s="50"/>
      <c r="Z151" s="50"/>
      <c r="AA151" s="50"/>
      <c r="AB151" s="50"/>
      <c r="AC151" s="51" t="str">
        <f t="shared" si="101"/>
        <v/>
      </c>
      <c r="AD151" s="59"/>
      <c r="AE151" s="50"/>
      <c r="AF151" s="50"/>
      <c r="AG151" s="50"/>
      <c r="AH151" s="50"/>
      <c r="AI151" s="99" t="str">
        <f t="shared" si="102"/>
        <v/>
      </c>
    </row>
    <row r="152" spans="1:35" x14ac:dyDescent="0.15">
      <c r="A152" s="82">
        <f>'Match Summary'!$B$15</f>
        <v>42190</v>
      </c>
      <c r="B152" s="64" t="str">
        <f>'Match Summary'!$C$15</f>
        <v>Lindsell</v>
      </c>
      <c r="C152" s="59">
        <v>7</v>
      </c>
      <c r="D152" s="60" t="s">
        <v>102</v>
      </c>
      <c r="E152" s="49"/>
      <c r="F152" s="51"/>
      <c r="G152" s="117" t="s">
        <v>200</v>
      </c>
      <c r="H152" s="59"/>
      <c r="I152" s="59" t="s">
        <v>204</v>
      </c>
      <c r="J152" s="57"/>
      <c r="K152" s="57"/>
      <c r="L152" s="57"/>
      <c r="M152" s="57"/>
      <c r="N152" s="49" t="str">
        <f t="shared" si="31"/>
        <v/>
      </c>
      <c r="O152" s="50" t="str">
        <f t="shared" si="43"/>
        <v/>
      </c>
      <c r="P152" s="50" t="str">
        <f t="shared" si="32"/>
        <v/>
      </c>
      <c r="Q152" s="51" t="str">
        <f t="shared" si="33"/>
        <v/>
      </c>
      <c r="R152" s="59">
        <v>0.2</v>
      </c>
      <c r="S152" s="57">
        <v>0</v>
      </c>
      <c r="T152" s="57">
        <v>0</v>
      </c>
      <c r="U152" s="57">
        <v>0</v>
      </c>
      <c r="V152" s="57">
        <v>0</v>
      </c>
      <c r="W152" s="59">
        <f t="shared" si="97"/>
        <v>1</v>
      </c>
      <c r="X152" s="49"/>
      <c r="Y152" s="50"/>
      <c r="Z152" s="57">
        <v>1</v>
      </c>
      <c r="AA152" s="50"/>
      <c r="AB152" s="50"/>
      <c r="AC152" s="51" t="str">
        <f>IF(AND(ISNUMBER(W152),W152&gt;=5),1,"")</f>
        <v/>
      </c>
      <c r="AD152" s="59"/>
      <c r="AE152" s="50"/>
      <c r="AF152" s="50"/>
      <c r="AG152" s="50"/>
      <c r="AH152" s="50"/>
      <c r="AI152" s="99" t="str">
        <f t="shared" si="102"/>
        <v/>
      </c>
    </row>
    <row r="153" spans="1:35" x14ac:dyDescent="0.15">
      <c r="A153" s="82">
        <f>'Match Summary'!$B$15</f>
        <v>42190</v>
      </c>
      <c r="B153" s="64" t="str">
        <f>'Match Summary'!$C$15</f>
        <v>Lindsell</v>
      </c>
      <c r="C153" s="59">
        <v>8</v>
      </c>
      <c r="D153" s="60" t="s">
        <v>117</v>
      </c>
      <c r="E153" s="49"/>
      <c r="F153" s="51" t="s">
        <v>195</v>
      </c>
      <c r="G153" s="117" t="s">
        <v>200</v>
      </c>
      <c r="H153" s="59"/>
      <c r="I153" s="59" t="s">
        <v>204</v>
      </c>
      <c r="J153" s="57"/>
      <c r="K153" s="57"/>
      <c r="L153" s="50"/>
      <c r="M153" s="50"/>
      <c r="N153" s="49" t="str">
        <f t="shared" si="31"/>
        <v/>
      </c>
      <c r="O153" s="50" t="str">
        <f t="shared" si="43"/>
        <v/>
      </c>
      <c r="P153" s="50" t="str">
        <f t="shared" si="32"/>
        <v/>
      </c>
      <c r="Q153" s="51" t="str">
        <f t="shared" si="33"/>
        <v/>
      </c>
      <c r="R153" s="59"/>
      <c r="S153" s="50"/>
      <c r="T153" s="50"/>
      <c r="U153" s="57"/>
      <c r="V153" s="57"/>
      <c r="W153" s="59" t="str">
        <f t="shared" si="97"/>
        <v/>
      </c>
      <c r="X153" s="49"/>
      <c r="Y153" s="50"/>
      <c r="Z153" s="57"/>
      <c r="AA153" s="50"/>
      <c r="AB153" s="50"/>
      <c r="AC153" s="51" t="str">
        <f t="shared" si="101"/>
        <v/>
      </c>
      <c r="AD153" s="59">
        <v>1</v>
      </c>
      <c r="AE153" s="50"/>
      <c r="AF153" s="50"/>
      <c r="AG153" s="50"/>
      <c r="AH153" s="50">
        <v>2</v>
      </c>
      <c r="AI153" s="99">
        <f t="shared" si="102"/>
        <v>2</v>
      </c>
    </row>
    <row r="154" spans="1:35" x14ac:dyDescent="0.15">
      <c r="A154" s="82">
        <f>'Match Summary'!$B$15</f>
        <v>42190</v>
      </c>
      <c r="B154" s="64" t="str">
        <f>'Match Summary'!$C$15</f>
        <v>Lindsell</v>
      </c>
      <c r="C154" s="59">
        <v>9</v>
      </c>
      <c r="D154" s="60" t="s">
        <v>45</v>
      </c>
      <c r="E154" s="49"/>
      <c r="F154" s="51"/>
      <c r="G154" s="117" t="s">
        <v>200</v>
      </c>
      <c r="H154" s="59"/>
      <c r="I154" s="59" t="s">
        <v>204</v>
      </c>
      <c r="J154" s="57"/>
      <c r="K154" s="57"/>
      <c r="L154" s="50"/>
      <c r="M154" s="50"/>
      <c r="N154" s="49" t="str">
        <f t="shared" si="31"/>
        <v/>
      </c>
      <c r="O154" s="50" t="str">
        <f t="shared" si="43"/>
        <v/>
      </c>
      <c r="P154" s="50" t="str">
        <f t="shared" si="32"/>
        <v/>
      </c>
      <c r="Q154" s="51" t="str">
        <f t="shared" si="33"/>
        <v/>
      </c>
      <c r="R154" s="59">
        <v>7</v>
      </c>
      <c r="S154" s="57">
        <v>2</v>
      </c>
      <c r="T154" s="57">
        <v>1</v>
      </c>
      <c r="U154" s="57">
        <v>0</v>
      </c>
      <c r="V154" s="57">
        <v>43</v>
      </c>
      <c r="W154" s="59">
        <f t="shared" si="97"/>
        <v>4</v>
      </c>
      <c r="X154" s="49">
        <v>1</v>
      </c>
      <c r="Y154" s="50"/>
      <c r="Z154" s="57">
        <v>3</v>
      </c>
      <c r="AA154" s="50"/>
      <c r="AB154" s="50"/>
      <c r="AC154" s="51" t="str">
        <f t="shared" si="101"/>
        <v/>
      </c>
      <c r="AD154" s="59"/>
      <c r="AE154" s="50"/>
      <c r="AF154" s="50"/>
      <c r="AG154" s="50"/>
      <c r="AH154" s="50"/>
      <c r="AI154" s="99" t="str">
        <f t="shared" si="102"/>
        <v/>
      </c>
    </row>
    <row r="155" spans="1:35" x14ac:dyDescent="0.15">
      <c r="A155" s="82">
        <f>'Match Summary'!$B$15</f>
        <v>42190</v>
      </c>
      <c r="B155" s="64" t="str">
        <f>'Match Summary'!$C$15</f>
        <v>Lindsell</v>
      </c>
      <c r="C155" s="59">
        <v>10</v>
      </c>
      <c r="D155" s="61" t="s">
        <v>44</v>
      </c>
      <c r="E155" s="49" t="s">
        <v>195</v>
      </c>
      <c r="F155" s="51"/>
      <c r="G155" s="117" t="s">
        <v>200</v>
      </c>
      <c r="H155" s="59"/>
      <c r="I155" s="59" t="s">
        <v>204</v>
      </c>
      <c r="J155" s="57"/>
      <c r="K155" s="57"/>
      <c r="L155" s="50"/>
      <c r="M155" s="50"/>
      <c r="N155" s="49" t="str">
        <f t="shared" si="31"/>
        <v/>
      </c>
      <c r="O155" s="50" t="str">
        <f t="shared" si="43"/>
        <v/>
      </c>
      <c r="P155" s="50" t="str">
        <f t="shared" si="32"/>
        <v/>
      </c>
      <c r="Q155" s="51" t="str">
        <f t="shared" si="33"/>
        <v/>
      </c>
      <c r="R155" s="59">
        <v>7</v>
      </c>
      <c r="S155" s="50">
        <v>1</v>
      </c>
      <c r="T155" s="50">
        <v>0</v>
      </c>
      <c r="U155" s="57">
        <v>0</v>
      </c>
      <c r="V155" s="57">
        <v>11</v>
      </c>
      <c r="W155" s="59">
        <f t="shared" si="97"/>
        <v>1</v>
      </c>
      <c r="X155" s="49"/>
      <c r="Y155" s="50"/>
      <c r="Z155" s="50">
        <v>1</v>
      </c>
      <c r="AA155" s="50"/>
      <c r="AB155" s="50"/>
      <c r="AC155" s="51" t="str">
        <f t="shared" si="101"/>
        <v/>
      </c>
      <c r="AD155" s="59"/>
      <c r="AE155" s="50"/>
      <c r="AF155" s="50"/>
      <c r="AG155" s="50"/>
      <c r="AH155" s="50"/>
      <c r="AI155" s="99" t="str">
        <f t="shared" si="102"/>
        <v/>
      </c>
    </row>
    <row r="156" spans="1:35" x14ac:dyDescent="0.15">
      <c r="A156" s="82">
        <f>'Match Summary'!$B$15</f>
        <v>42190</v>
      </c>
      <c r="B156" s="64" t="str">
        <f>'Match Summary'!$C$15</f>
        <v>Lindsell</v>
      </c>
      <c r="C156" s="56">
        <v>11</v>
      </c>
      <c r="D156" s="62"/>
      <c r="E156" s="52"/>
      <c r="F156" s="54"/>
      <c r="G156" s="107"/>
      <c r="H156" s="56"/>
      <c r="I156" s="56"/>
      <c r="J156" s="53"/>
      <c r="K156" s="53"/>
      <c r="L156" s="53"/>
      <c r="M156" s="53"/>
      <c r="N156" s="52" t="str">
        <f t="shared" si="31"/>
        <v/>
      </c>
      <c r="O156" s="53" t="str">
        <f t="shared" si="43"/>
        <v/>
      </c>
      <c r="P156" s="53" t="str">
        <f t="shared" si="32"/>
        <v/>
      </c>
      <c r="Q156" s="54" t="str">
        <f t="shared" si="33"/>
        <v/>
      </c>
      <c r="R156" s="56"/>
      <c r="S156" s="53"/>
      <c r="T156" s="53"/>
      <c r="U156" s="53"/>
      <c r="V156" s="53"/>
      <c r="W156" s="56" t="str">
        <f t="shared" si="97"/>
        <v/>
      </c>
      <c r="X156" s="52"/>
      <c r="Y156" s="53"/>
      <c r="Z156" s="53"/>
      <c r="AA156" s="53"/>
      <c r="AB156" s="53"/>
      <c r="AC156" s="54" t="str">
        <f t="shared" si="101"/>
        <v/>
      </c>
      <c r="AD156" s="56"/>
      <c r="AE156" s="53"/>
      <c r="AF156" s="53"/>
      <c r="AG156" s="53"/>
      <c r="AH156" s="53"/>
      <c r="AI156" s="100" t="str">
        <f t="shared" si="102"/>
        <v/>
      </c>
    </row>
    <row r="157" spans="1:35" ht="15" thickBot="1" x14ac:dyDescent="0.2">
      <c r="A157" s="83">
        <f>'Match Summary'!$B$15</f>
        <v>42190</v>
      </c>
      <c r="B157" s="84" t="str">
        <f>'Match Summary'!$C$15</f>
        <v>Lindsell</v>
      </c>
      <c r="C157" s="85"/>
      <c r="D157" s="86" t="s">
        <v>174</v>
      </c>
      <c r="E157" s="85"/>
      <c r="F157" s="85"/>
      <c r="G157" s="115"/>
      <c r="H157" s="86">
        <v>8</v>
      </c>
      <c r="I157" s="86"/>
      <c r="J157" s="85"/>
      <c r="K157" s="85"/>
      <c r="L157" s="85"/>
      <c r="M157" s="85"/>
      <c r="N157" s="85"/>
      <c r="O157" s="85" t="str">
        <f t="shared" si="43"/>
        <v/>
      </c>
      <c r="P157" s="87" t="str">
        <f t="shared" si="32"/>
        <v/>
      </c>
      <c r="Q157" s="88" t="str">
        <f t="shared" si="33"/>
        <v/>
      </c>
      <c r="R157" s="86">
        <f>SUBTOTAL(9,R146:R156)</f>
        <v>27.2</v>
      </c>
      <c r="S157" s="91">
        <f t="shared" ref="S157" si="103">SUBTOTAL(9,S146:S156)</f>
        <v>4</v>
      </c>
      <c r="T157" s="86">
        <f>SUBTOTAL(9,T146:T156)</f>
        <v>5</v>
      </c>
      <c r="U157" s="86">
        <f>SUBTOTAL(9,U146:U156)</f>
        <v>1</v>
      </c>
      <c r="V157" s="86">
        <f>SUBTOTAL(9,V146:V156)</f>
        <v>125</v>
      </c>
      <c r="W157" s="86">
        <f>SUBTOTAL(9,W146:W156)</f>
        <v>9</v>
      </c>
      <c r="X157" s="85"/>
      <c r="Y157" s="85"/>
      <c r="Z157" s="85"/>
      <c r="AA157" s="85"/>
      <c r="AB157" s="85"/>
      <c r="AC157" s="85" t="s">
        <v>259</v>
      </c>
      <c r="AD157" s="92">
        <v>0</v>
      </c>
      <c r="AE157" s="85"/>
      <c r="AF157" s="85"/>
      <c r="AG157" s="85"/>
      <c r="AH157" s="85"/>
      <c r="AI157" s="101"/>
    </row>
    <row r="158" spans="1:35" x14ac:dyDescent="0.15">
      <c r="A158" s="75">
        <f>'Match Summary'!$B$16</f>
        <v>42197</v>
      </c>
      <c r="B158" s="76" t="str">
        <f>'Match Summary'!$C$16</f>
        <v>Abridge</v>
      </c>
      <c r="C158" s="77">
        <v>1</v>
      </c>
      <c r="D158" s="78" t="s">
        <v>111</v>
      </c>
      <c r="E158" s="79"/>
      <c r="F158" s="80"/>
      <c r="G158" s="116" t="s">
        <v>199</v>
      </c>
      <c r="H158" s="77">
        <v>89</v>
      </c>
      <c r="I158" s="77" t="s">
        <v>203</v>
      </c>
      <c r="J158" s="81">
        <v>88</v>
      </c>
      <c r="K158" s="81">
        <v>120</v>
      </c>
      <c r="L158" s="81">
        <v>18</v>
      </c>
      <c r="M158" s="81"/>
      <c r="N158" s="79">
        <f t="shared" si="31"/>
        <v>1</v>
      </c>
      <c r="O158" s="81" t="str">
        <f t="shared" si="43"/>
        <v/>
      </c>
      <c r="P158" s="81">
        <f t="shared" si="32"/>
        <v>1</v>
      </c>
      <c r="Q158" s="80" t="str">
        <f t="shared" si="33"/>
        <v/>
      </c>
      <c r="R158" s="77">
        <v>4</v>
      </c>
      <c r="S158" s="81">
        <v>0</v>
      </c>
      <c r="T158" s="81">
        <v>5</v>
      </c>
      <c r="U158" s="81">
        <v>0</v>
      </c>
      <c r="V158" s="81">
        <v>30</v>
      </c>
      <c r="W158" s="77">
        <f t="shared" si="97"/>
        <v>0</v>
      </c>
      <c r="X158" s="79"/>
      <c r="Y158" s="81"/>
      <c r="Z158" s="81"/>
      <c r="AA158" s="81"/>
      <c r="AB158" s="81"/>
      <c r="AC158" s="80" t="str">
        <f t="shared" ref="AC158:AC168" si="104">IF(AND(ISNUMBER(W158),W158&gt;=5),1,"")</f>
        <v/>
      </c>
      <c r="AD158" s="77"/>
      <c r="AE158" s="81"/>
      <c r="AF158" s="81"/>
      <c r="AG158" s="81"/>
      <c r="AH158" s="81"/>
      <c r="AI158" s="98" t="str">
        <f>IF(SUM(AE158:AH158)=0,"",SUM(AE158:AH158))</f>
        <v/>
      </c>
    </row>
    <row r="159" spans="1:35" x14ac:dyDescent="0.15">
      <c r="A159" s="82">
        <f>'Match Summary'!$B$16</f>
        <v>42197</v>
      </c>
      <c r="B159" s="64" t="str">
        <f>'Match Summary'!$C$16</f>
        <v>Abridge</v>
      </c>
      <c r="C159" s="59">
        <v>2</v>
      </c>
      <c r="D159" s="60" t="s">
        <v>160</v>
      </c>
      <c r="E159" s="49"/>
      <c r="F159" s="51"/>
      <c r="G159" s="117" t="s">
        <v>199</v>
      </c>
      <c r="H159" s="59">
        <v>96</v>
      </c>
      <c r="I159" s="59" t="s">
        <v>202</v>
      </c>
      <c r="J159" s="57">
        <v>92</v>
      </c>
      <c r="K159" s="57">
        <v>103</v>
      </c>
      <c r="L159" s="57">
        <v>17</v>
      </c>
      <c r="M159" s="50"/>
      <c r="N159" s="49" t="str">
        <f t="shared" si="31"/>
        <v/>
      </c>
      <c r="O159" s="50" t="str">
        <f t="shared" si="43"/>
        <v/>
      </c>
      <c r="P159" s="50">
        <f t="shared" si="32"/>
        <v>1</v>
      </c>
      <c r="Q159" s="51" t="str">
        <f t="shared" si="33"/>
        <v/>
      </c>
      <c r="R159" s="59"/>
      <c r="S159" s="50"/>
      <c r="T159" s="50"/>
      <c r="U159" s="50"/>
      <c r="V159" s="50"/>
      <c r="W159" s="59" t="str">
        <f t="shared" si="97"/>
        <v/>
      </c>
      <c r="X159" s="49"/>
      <c r="Y159" s="50"/>
      <c r="Z159" s="50"/>
      <c r="AA159" s="50"/>
      <c r="AB159" s="50"/>
      <c r="AC159" s="51" t="str">
        <f t="shared" si="104"/>
        <v/>
      </c>
      <c r="AD159" s="59"/>
      <c r="AE159" s="50">
        <v>1</v>
      </c>
      <c r="AF159" s="50"/>
      <c r="AG159" s="50"/>
      <c r="AH159" s="50"/>
      <c r="AI159" s="99">
        <f t="shared" ref="AI159:AI167" si="105">IF(SUM(AE159:AH159)=0,"",SUM(AE159:AH159))</f>
        <v>1</v>
      </c>
    </row>
    <row r="160" spans="1:35" x14ac:dyDescent="0.15">
      <c r="A160" s="82">
        <f>'Match Summary'!$B$16</f>
        <v>42197</v>
      </c>
      <c r="B160" s="64" t="str">
        <f>'Match Summary'!$C$16</f>
        <v>Abridge</v>
      </c>
      <c r="C160" s="59">
        <v>3</v>
      </c>
      <c r="D160" s="61" t="s">
        <v>47</v>
      </c>
      <c r="E160" s="49" t="s">
        <v>195</v>
      </c>
      <c r="F160" s="51"/>
      <c r="G160" s="117" t="s">
        <v>199</v>
      </c>
      <c r="H160" s="59">
        <v>16</v>
      </c>
      <c r="I160" s="59" t="s">
        <v>203</v>
      </c>
      <c r="J160" s="57">
        <v>22</v>
      </c>
      <c r="K160" s="57">
        <v>17</v>
      </c>
      <c r="L160" s="57">
        <v>3</v>
      </c>
      <c r="M160" s="50"/>
      <c r="N160" s="49">
        <f t="shared" si="31"/>
        <v>1</v>
      </c>
      <c r="O160" s="50" t="str">
        <f t="shared" si="43"/>
        <v/>
      </c>
      <c r="P160" s="50" t="str">
        <f t="shared" si="32"/>
        <v/>
      </c>
      <c r="Q160" s="51" t="str">
        <f t="shared" si="33"/>
        <v/>
      </c>
      <c r="R160" s="59">
        <v>8</v>
      </c>
      <c r="S160" s="50">
        <v>2</v>
      </c>
      <c r="T160" s="50">
        <v>0</v>
      </c>
      <c r="U160" s="57">
        <v>0</v>
      </c>
      <c r="V160" s="57">
        <v>44</v>
      </c>
      <c r="W160" s="59">
        <f t="shared" si="97"/>
        <v>1</v>
      </c>
      <c r="X160" s="49"/>
      <c r="Y160" s="50"/>
      <c r="Z160" s="57">
        <v>1</v>
      </c>
      <c r="AA160" s="50"/>
      <c r="AB160" s="50"/>
      <c r="AC160" s="51" t="str">
        <f t="shared" si="104"/>
        <v/>
      </c>
      <c r="AD160" s="59"/>
      <c r="AE160" s="50"/>
      <c r="AF160" s="50"/>
      <c r="AG160" s="50"/>
      <c r="AH160" s="50"/>
      <c r="AI160" s="99" t="str">
        <f t="shared" si="105"/>
        <v/>
      </c>
    </row>
    <row r="161" spans="1:35" x14ac:dyDescent="0.15">
      <c r="A161" s="82">
        <f>'Match Summary'!$B$16</f>
        <v>42197</v>
      </c>
      <c r="B161" s="64" t="str">
        <f>'Match Summary'!$C$16</f>
        <v>Abridge</v>
      </c>
      <c r="C161" s="59">
        <v>4</v>
      </c>
      <c r="D161" s="60" t="s">
        <v>156</v>
      </c>
      <c r="E161" s="49"/>
      <c r="F161" s="51"/>
      <c r="G161" s="117" t="s">
        <v>200</v>
      </c>
      <c r="H161" s="59"/>
      <c r="I161" s="59" t="s">
        <v>204</v>
      </c>
      <c r="J161" s="57"/>
      <c r="K161" s="57"/>
      <c r="L161" s="57"/>
      <c r="M161" s="50"/>
      <c r="N161" s="49" t="str">
        <f t="shared" si="31"/>
        <v/>
      </c>
      <c r="O161" s="50" t="str">
        <f t="shared" si="43"/>
        <v/>
      </c>
      <c r="P161" s="50" t="str">
        <f t="shared" si="32"/>
        <v/>
      </c>
      <c r="Q161" s="51" t="str">
        <f t="shared" si="33"/>
        <v/>
      </c>
      <c r="R161" s="59"/>
      <c r="S161" s="50"/>
      <c r="T161" s="50"/>
      <c r="U161" s="50"/>
      <c r="V161" s="50"/>
      <c r="W161" s="59" t="str">
        <f t="shared" si="97"/>
        <v/>
      </c>
      <c r="X161" s="49"/>
      <c r="Y161" s="50"/>
      <c r="Z161" s="50"/>
      <c r="AA161" s="50"/>
      <c r="AB161" s="50"/>
      <c r="AC161" s="51" t="str">
        <f t="shared" si="104"/>
        <v/>
      </c>
      <c r="AD161" s="59"/>
      <c r="AE161" s="50"/>
      <c r="AF161" s="50"/>
      <c r="AG161" s="50"/>
      <c r="AH161" s="50"/>
      <c r="AI161" s="99" t="str">
        <f t="shared" si="105"/>
        <v/>
      </c>
    </row>
    <row r="162" spans="1:35" x14ac:dyDescent="0.15">
      <c r="A162" s="82">
        <f>'Match Summary'!$B$16</f>
        <v>42197</v>
      </c>
      <c r="B162" s="64" t="str">
        <f>'Match Summary'!$C$16</f>
        <v>Abridge</v>
      </c>
      <c r="C162" s="59">
        <v>5</v>
      </c>
      <c r="D162" s="61" t="s">
        <v>268</v>
      </c>
      <c r="E162" s="49"/>
      <c r="F162" s="51"/>
      <c r="G162" s="117" t="s">
        <v>200</v>
      </c>
      <c r="H162" s="59"/>
      <c r="I162" s="59" t="s">
        <v>204</v>
      </c>
      <c r="J162" s="57"/>
      <c r="K162" s="57"/>
      <c r="L162" s="57"/>
      <c r="M162" s="50"/>
      <c r="N162" s="49" t="str">
        <f t="shared" si="31"/>
        <v/>
      </c>
      <c r="O162" s="50" t="str">
        <f t="shared" si="43"/>
        <v/>
      </c>
      <c r="P162" s="50" t="str">
        <f t="shared" si="32"/>
        <v/>
      </c>
      <c r="Q162" s="51" t="str">
        <f t="shared" si="33"/>
        <v/>
      </c>
      <c r="R162" s="59"/>
      <c r="S162" s="50"/>
      <c r="T162" s="50"/>
      <c r="U162" s="57"/>
      <c r="V162" s="57"/>
      <c r="W162" s="59" t="str">
        <f t="shared" si="97"/>
        <v/>
      </c>
      <c r="X162" s="49"/>
      <c r="Y162" s="50"/>
      <c r="Z162" s="57"/>
      <c r="AA162" s="50"/>
      <c r="AB162" s="50"/>
      <c r="AC162" s="51" t="str">
        <f t="shared" si="104"/>
        <v/>
      </c>
      <c r="AD162" s="59"/>
      <c r="AE162" s="50"/>
      <c r="AF162" s="50"/>
      <c r="AG162" s="50"/>
      <c r="AH162" s="50"/>
      <c r="AI162" s="99" t="str">
        <f t="shared" si="105"/>
        <v/>
      </c>
    </row>
    <row r="163" spans="1:35" x14ac:dyDescent="0.15">
      <c r="A163" s="82">
        <f>'Match Summary'!$B$16</f>
        <v>42197</v>
      </c>
      <c r="B163" s="64" t="str">
        <f>'Match Summary'!$C$16</f>
        <v>Abridge</v>
      </c>
      <c r="C163" s="59">
        <v>6</v>
      </c>
      <c r="D163" s="61" t="s">
        <v>48</v>
      </c>
      <c r="E163" s="49"/>
      <c r="F163" s="51"/>
      <c r="G163" s="117" t="s">
        <v>200</v>
      </c>
      <c r="H163" s="59"/>
      <c r="I163" s="59" t="s">
        <v>204</v>
      </c>
      <c r="J163" s="57"/>
      <c r="K163" s="57"/>
      <c r="L163" s="57"/>
      <c r="M163" s="50"/>
      <c r="N163" s="49" t="str">
        <f t="shared" si="31"/>
        <v/>
      </c>
      <c r="O163" s="50" t="str">
        <f t="shared" si="43"/>
        <v/>
      </c>
      <c r="P163" s="50" t="str">
        <f t="shared" si="32"/>
        <v/>
      </c>
      <c r="Q163" s="51" t="str">
        <f t="shared" si="33"/>
        <v/>
      </c>
      <c r="R163" s="59">
        <v>10</v>
      </c>
      <c r="S163" s="50">
        <v>4</v>
      </c>
      <c r="T163" s="50">
        <v>0</v>
      </c>
      <c r="U163" s="57">
        <v>0</v>
      </c>
      <c r="V163" s="57">
        <v>49</v>
      </c>
      <c r="W163" s="59">
        <f t="shared" si="97"/>
        <v>1</v>
      </c>
      <c r="X163" s="49">
        <v>1</v>
      </c>
      <c r="Y163" s="50"/>
      <c r="Z163" s="50"/>
      <c r="AA163" s="50"/>
      <c r="AB163" s="50"/>
      <c r="AC163" s="51" t="str">
        <f t="shared" si="104"/>
        <v/>
      </c>
      <c r="AD163" s="59"/>
      <c r="AE163" s="50"/>
      <c r="AF163" s="50"/>
      <c r="AG163" s="50"/>
      <c r="AH163" s="50"/>
      <c r="AI163" s="99" t="str">
        <f t="shared" si="105"/>
        <v/>
      </c>
    </row>
    <row r="164" spans="1:35" x14ac:dyDescent="0.15">
      <c r="A164" s="82">
        <f>'Match Summary'!$B$16</f>
        <v>42197</v>
      </c>
      <c r="B164" s="64" t="str">
        <f>'Match Summary'!$C$16</f>
        <v>Abridge</v>
      </c>
      <c r="C164" s="59">
        <v>7</v>
      </c>
      <c r="D164" s="61" t="s">
        <v>214</v>
      </c>
      <c r="E164" s="49"/>
      <c r="F164" s="51"/>
      <c r="G164" s="117" t="s">
        <v>200</v>
      </c>
      <c r="H164" s="59"/>
      <c r="I164" s="59" t="s">
        <v>204</v>
      </c>
      <c r="J164" s="57"/>
      <c r="K164" s="57"/>
      <c r="L164" s="57"/>
      <c r="M164" s="57"/>
      <c r="N164" s="49" t="str">
        <f t="shared" si="31"/>
        <v/>
      </c>
      <c r="O164" s="50" t="str">
        <f t="shared" si="43"/>
        <v/>
      </c>
      <c r="P164" s="50" t="str">
        <f t="shared" si="32"/>
        <v/>
      </c>
      <c r="Q164" s="51" t="str">
        <f t="shared" si="33"/>
        <v/>
      </c>
      <c r="R164" s="59"/>
      <c r="S164" s="50"/>
      <c r="T164" s="50"/>
      <c r="U164" s="57"/>
      <c r="V164" s="57"/>
      <c r="W164" s="59" t="str">
        <f t="shared" si="97"/>
        <v/>
      </c>
      <c r="X164" s="49"/>
      <c r="Y164" s="50"/>
      <c r="Z164" s="57"/>
      <c r="AA164" s="50"/>
      <c r="AB164" s="50"/>
      <c r="AC164" s="51" t="str">
        <f>IF(AND(ISNUMBER(W164),W164&gt;=5),1,"")</f>
        <v/>
      </c>
      <c r="AD164" s="59"/>
      <c r="AE164" s="50"/>
      <c r="AF164" s="50"/>
      <c r="AG164" s="50"/>
      <c r="AH164" s="50"/>
      <c r="AI164" s="99" t="str">
        <f t="shared" si="105"/>
        <v/>
      </c>
    </row>
    <row r="165" spans="1:35" x14ac:dyDescent="0.15">
      <c r="A165" s="82">
        <f>'Match Summary'!$B$16</f>
        <v>42197</v>
      </c>
      <c r="B165" s="64" t="str">
        <f>'Match Summary'!$C$16</f>
        <v>Abridge</v>
      </c>
      <c r="C165" s="59">
        <v>8</v>
      </c>
      <c r="D165" s="60" t="s">
        <v>50</v>
      </c>
      <c r="E165" s="49"/>
      <c r="F165" s="51"/>
      <c r="G165" s="117" t="s">
        <v>200</v>
      </c>
      <c r="H165" s="59"/>
      <c r="I165" s="59" t="s">
        <v>204</v>
      </c>
      <c r="J165" s="57"/>
      <c r="K165" s="57"/>
      <c r="L165" s="50"/>
      <c r="M165" s="50"/>
      <c r="N165" s="49" t="str">
        <f t="shared" si="31"/>
        <v/>
      </c>
      <c r="O165" s="50" t="str">
        <f t="shared" si="43"/>
        <v/>
      </c>
      <c r="P165" s="50" t="str">
        <f t="shared" si="32"/>
        <v/>
      </c>
      <c r="Q165" s="51" t="str">
        <f t="shared" si="33"/>
        <v/>
      </c>
      <c r="R165" s="59">
        <v>3</v>
      </c>
      <c r="S165" s="50">
        <v>0</v>
      </c>
      <c r="T165" s="50">
        <v>1</v>
      </c>
      <c r="U165" s="57">
        <v>0</v>
      </c>
      <c r="V165" s="57">
        <v>28</v>
      </c>
      <c r="W165" s="59">
        <f t="shared" si="97"/>
        <v>0</v>
      </c>
      <c r="X165" s="49"/>
      <c r="Y165" s="50"/>
      <c r="Z165" s="57"/>
      <c r="AA165" s="50"/>
      <c r="AB165" s="50"/>
      <c r="AC165" s="51" t="str">
        <f t="shared" si="104"/>
        <v/>
      </c>
      <c r="AD165" s="59"/>
      <c r="AE165" s="50"/>
      <c r="AF165" s="50"/>
      <c r="AG165" s="50"/>
      <c r="AH165" s="50"/>
      <c r="AI165" s="99" t="str">
        <f t="shared" si="105"/>
        <v/>
      </c>
    </row>
    <row r="166" spans="1:35" x14ac:dyDescent="0.15">
      <c r="A166" s="82">
        <f>'Match Summary'!$B$16</f>
        <v>42197</v>
      </c>
      <c r="B166" s="64" t="str">
        <f>'Match Summary'!$C$16</f>
        <v>Abridge</v>
      </c>
      <c r="C166" s="59">
        <v>9</v>
      </c>
      <c r="D166" s="60" t="s">
        <v>102</v>
      </c>
      <c r="E166" s="49"/>
      <c r="F166" s="51"/>
      <c r="G166" s="117" t="s">
        <v>200</v>
      </c>
      <c r="H166" s="59"/>
      <c r="I166" s="59" t="s">
        <v>204</v>
      </c>
      <c r="J166" s="57"/>
      <c r="K166" s="57"/>
      <c r="L166" s="50"/>
      <c r="M166" s="50"/>
      <c r="N166" s="49" t="str">
        <f t="shared" si="31"/>
        <v/>
      </c>
      <c r="O166" s="50" t="str">
        <f t="shared" si="43"/>
        <v/>
      </c>
      <c r="P166" s="50" t="str">
        <f t="shared" si="32"/>
        <v/>
      </c>
      <c r="Q166" s="51" t="str">
        <f t="shared" si="33"/>
        <v/>
      </c>
      <c r="R166" s="59">
        <v>2</v>
      </c>
      <c r="S166" s="57">
        <v>0</v>
      </c>
      <c r="T166" s="57">
        <v>0</v>
      </c>
      <c r="U166" s="57">
        <v>0</v>
      </c>
      <c r="V166" s="57">
        <v>20</v>
      </c>
      <c r="W166" s="59">
        <f t="shared" si="97"/>
        <v>0</v>
      </c>
      <c r="X166" s="49"/>
      <c r="Y166" s="50"/>
      <c r="Z166" s="50"/>
      <c r="AA166" s="50"/>
      <c r="AB166" s="50"/>
      <c r="AC166" s="51" t="str">
        <f t="shared" si="104"/>
        <v/>
      </c>
      <c r="AD166" s="59"/>
      <c r="AE166" s="50">
        <v>1</v>
      </c>
      <c r="AF166" s="50"/>
      <c r="AG166" s="50"/>
      <c r="AH166" s="50"/>
      <c r="AI166" s="99">
        <f t="shared" si="105"/>
        <v>1</v>
      </c>
    </row>
    <row r="167" spans="1:35" x14ac:dyDescent="0.15">
      <c r="A167" s="82">
        <f>'Match Summary'!$B$16</f>
        <v>42197</v>
      </c>
      <c r="B167" s="64" t="str">
        <f>'Match Summary'!$C$16</f>
        <v>Abridge</v>
      </c>
      <c r="C167" s="59">
        <v>10</v>
      </c>
      <c r="D167" s="60" t="s">
        <v>44</v>
      </c>
      <c r="E167" s="49"/>
      <c r="F167" s="51"/>
      <c r="G167" s="117" t="s">
        <v>200</v>
      </c>
      <c r="H167" s="59"/>
      <c r="I167" s="59" t="s">
        <v>204</v>
      </c>
      <c r="J167" s="57"/>
      <c r="K167" s="57"/>
      <c r="L167" s="50"/>
      <c r="M167" s="50"/>
      <c r="N167" s="49" t="str">
        <f t="shared" si="31"/>
        <v/>
      </c>
      <c r="O167" s="50" t="str">
        <f t="shared" si="43"/>
        <v/>
      </c>
      <c r="P167" s="50" t="str">
        <f t="shared" si="32"/>
        <v/>
      </c>
      <c r="Q167" s="51" t="str">
        <f t="shared" si="33"/>
        <v/>
      </c>
      <c r="R167" s="59">
        <v>13</v>
      </c>
      <c r="S167" s="57">
        <v>2</v>
      </c>
      <c r="T167" s="57">
        <v>0</v>
      </c>
      <c r="U167" s="57">
        <v>0</v>
      </c>
      <c r="V167" s="57">
        <v>41</v>
      </c>
      <c r="W167" s="59">
        <f t="shared" si="97"/>
        <v>1</v>
      </c>
      <c r="X167" s="49"/>
      <c r="Y167" s="50"/>
      <c r="Z167" s="50">
        <v>1</v>
      </c>
      <c r="AA167" s="50"/>
      <c r="AB167" s="50"/>
      <c r="AC167" s="51" t="str">
        <f t="shared" si="104"/>
        <v/>
      </c>
      <c r="AD167" s="59"/>
      <c r="AE167" s="50"/>
      <c r="AF167" s="50"/>
      <c r="AG167" s="50"/>
      <c r="AH167" s="50"/>
      <c r="AI167" s="99" t="str">
        <f t="shared" si="105"/>
        <v/>
      </c>
    </row>
    <row r="168" spans="1:35" x14ac:dyDescent="0.15">
      <c r="A168" s="82">
        <f>'Match Summary'!$B$16</f>
        <v>42197</v>
      </c>
      <c r="B168" s="64" t="str">
        <f>'Match Summary'!$C$16</f>
        <v>Abridge</v>
      </c>
      <c r="C168" s="56">
        <v>11</v>
      </c>
      <c r="D168" s="62" t="s">
        <v>49</v>
      </c>
      <c r="E168" s="52"/>
      <c r="F168" s="54" t="s">
        <v>195</v>
      </c>
      <c r="G168" s="107" t="s">
        <v>200</v>
      </c>
      <c r="H168" s="56"/>
      <c r="I168" s="56" t="s">
        <v>204</v>
      </c>
      <c r="J168" s="53"/>
      <c r="K168" s="53"/>
      <c r="L168" s="53"/>
      <c r="M168" s="53"/>
      <c r="N168" s="52" t="str">
        <f t="shared" si="31"/>
        <v/>
      </c>
      <c r="O168" s="53" t="str">
        <f t="shared" si="43"/>
        <v/>
      </c>
      <c r="P168" s="53" t="str">
        <f t="shared" si="32"/>
        <v/>
      </c>
      <c r="Q168" s="54" t="str">
        <f t="shared" si="33"/>
        <v/>
      </c>
      <c r="R168" s="56"/>
      <c r="S168" s="53"/>
      <c r="T168" s="53"/>
      <c r="U168" s="53"/>
      <c r="V168" s="53"/>
      <c r="W168" s="56" t="str">
        <f t="shared" si="97"/>
        <v/>
      </c>
      <c r="X168" s="52"/>
      <c r="Y168" s="53"/>
      <c r="Z168" s="53"/>
      <c r="AA168" s="53"/>
      <c r="AB168" s="53"/>
      <c r="AC168" s="54" t="str">
        <f t="shared" si="104"/>
        <v/>
      </c>
      <c r="AD168" s="56">
        <v>1</v>
      </c>
      <c r="AE168" s="53"/>
      <c r="AF168" s="53"/>
      <c r="AG168" s="53"/>
      <c r="AH168" s="53"/>
      <c r="AI168" s="100" t="str">
        <f>IF(SUM(AE168:AH168)=0,"",SUM(AE168:AH168))</f>
        <v/>
      </c>
    </row>
    <row r="169" spans="1:35" ht="15" thickBot="1" x14ac:dyDescent="0.2">
      <c r="A169" s="83">
        <f>'Match Summary'!$B$16</f>
        <v>42197</v>
      </c>
      <c r="B169" s="84" t="str">
        <f>'Match Summary'!$C$16</f>
        <v>Abridge</v>
      </c>
      <c r="C169" s="85"/>
      <c r="D169" s="86" t="s">
        <v>174</v>
      </c>
      <c r="E169" s="85"/>
      <c r="F169" s="85"/>
      <c r="G169" s="115"/>
      <c r="H169" s="86">
        <v>21</v>
      </c>
      <c r="I169" s="85"/>
      <c r="J169" s="85"/>
      <c r="K169" s="85"/>
      <c r="L169" s="85"/>
      <c r="M169" s="85"/>
      <c r="N169" s="85" t="str">
        <f t="shared" si="31"/>
        <v/>
      </c>
      <c r="O169" s="85" t="str">
        <f t="shared" si="43"/>
        <v/>
      </c>
      <c r="P169" s="87" t="str">
        <f t="shared" si="32"/>
        <v/>
      </c>
      <c r="Q169" s="88" t="str">
        <f t="shared" si="33"/>
        <v/>
      </c>
      <c r="R169" s="86">
        <f>SUBTOTAL(9,R158:R168)</f>
        <v>40</v>
      </c>
      <c r="S169" s="91">
        <f t="shared" ref="S169" si="106">SUBTOTAL(9,S158:S168)</f>
        <v>8</v>
      </c>
      <c r="T169" s="86">
        <f>SUBTOTAL(9,T158:T168)</f>
        <v>6</v>
      </c>
      <c r="U169" s="86">
        <f>SUBTOTAL(9,U158:U168)</f>
        <v>0</v>
      </c>
      <c r="V169" s="86">
        <f>SUBTOTAL(9,V158:V168)</f>
        <v>212</v>
      </c>
      <c r="W169" s="86">
        <f>SUBTOTAL(9,W158:W168)</f>
        <v>3</v>
      </c>
      <c r="X169" s="85"/>
      <c r="Y169" s="85"/>
      <c r="Z169" s="85"/>
      <c r="AA169" s="85"/>
      <c r="AB169" s="85"/>
      <c r="AC169" s="85" t="s">
        <v>259</v>
      </c>
      <c r="AD169" s="92">
        <v>6</v>
      </c>
      <c r="AE169" s="85"/>
      <c r="AF169" s="85"/>
      <c r="AG169" s="85"/>
      <c r="AH169" s="85"/>
      <c r="AI169" s="101"/>
    </row>
    <row r="170" spans="1:35" x14ac:dyDescent="0.15">
      <c r="A170" s="75">
        <f>'Match Summary'!$B$17</f>
        <v>42203</v>
      </c>
      <c r="B170" s="76" t="str">
        <f>'Match Summary'!$C$17</f>
        <v>Zagreb</v>
      </c>
      <c r="C170" s="77">
        <v>1</v>
      </c>
      <c r="D170" s="78" t="s">
        <v>156</v>
      </c>
      <c r="E170" s="79"/>
      <c r="F170" s="80"/>
      <c r="G170" s="116" t="s">
        <v>199</v>
      </c>
      <c r="H170" s="77">
        <v>40</v>
      </c>
      <c r="I170" s="77" t="s">
        <v>201</v>
      </c>
      <c r="J170" s="81">
        <v>46</v>
      </c>
      <c r="K170" s="81">
        <v>45</v>
      </c>
      <c r="L170" s="81">
        <v>8</v>
      </c>
      <c r="M170" s="81"/>
      <c r="N170" s="79" t="str">
        <f t="shared" ref="N170:N181" si="107">IF(I170="NO",1,"")</f>
        <v/>
      </c>
      <c r="O170" s="81" t="str">
        <f t="shared" ref="O170:O181" si="108">IF(OR(H170&gt;0,H170=""),"",IF(I170="no","",1))</f>
        <v/>
      </c>
      <c r="P170" s="81" t="str">
        <f t="shared" ref="P170:P181" si="109">IF(AND(H170&gt;=50,H170&lt;100),1,"")</f>
        <v/>
      </c>
      <c r="Q170" s="80" t="str">
        <f t="shared" ref="Q170:Q181" si="110">IF(H170&gt;=100,1,"")</f>
        <v/>
      </c>
      <c r="R170" s="77"/>
      <c r="S170" s="81"/>
      <c r="T170" s="81"/>
      <c r="U170" s="81"/>
      <c r="V170" s="81"/>
      <c r="W170" s="77" t="str">
        <f t="shared" ref="W170:W180" si="111">IF(R170="","",SUM(X170:AB170))</f>
        <v/>
      </c>
      <c r="X170" s="79"/>
      <c r="Y170" s="81"/>
      <c r="Z170" s="81"/>
      <c r="AA170" s="81"/>
      <c r="AB170" s="81"/>
      <c r="AC170" s="80" t="str">
        <f t="shared" ref="AC170:AC180" si="112">IF(AND(ISNUMBER(W170),W170&gt;=5),1,"")</f>
        <v/>
      </c>
      <c r="AD170" s="77"/>
      <c r="AE170" s="81"/>
      <c r="AF170" s="81"/>
      <c r="AG170" s="81"/>
      <c r="AH170" s="81"/>
      <c r="AI170" s="98" t="str">
        <f>IF(SUM(AE170:AH170)=0,"",SUM(AE170:AH170))</f>
        <v/>
      </c>
    </row>
    <row r="171" spans="1:35" x14ac:dyDescent="0.15">
      <c r="A171" s="82">
        <f>'Match Summary'!$B$17</f>
        <v>42203</v>
      </c>
      <c r="B171" s="64" t="str">
        <f>'Match Summary'!$C$17</f>
        <v>Zagreb</v>
      </c>
      <c r="C171" s="59">
        <v>2</v>
      </c>
      <c r="D171" s="61" t="s">
        <v>160</v>
      </c>
      <c r="E171" s="49"/>
      <c r="F171" s="51"/>
      <c r="G171" s="117" t="s">
        <v>199</v>
      </c>
      <c r="H171" s="59">
        <v>33</v>
      </c>
      <c r="I171" s="59" t="s">
        <v>202</v>
      </c>
      <c r="J171" s="57">
        <v>64</v>
      </c>
      <c r="K171" s="57">
        <v>70</v>
      </c>
      <c r="L171" s="57">
        <v>5</v>
      </c>
      <c r="M171" s="50"/>
      <c r="N171" s="49" t="str">
        <f t="shared" si="107"/>
        <v/>
      </c>
      <c r="O171" s="50" t="str">
        <f t="shared" si="108"/>
        <v/>
      </c>
      <c r="P171" s="50" t="str">
        <f t="shared" si="109"/>
        <v/>
      </c>
      <c r="Q171" s="51" t="str">
        <f t="shared" si="110"/>
        <v/>
      </c>
      <c r="R171" s="59"/>
      <c r="S171" s="50"/>
      <c r="T171" s="50"/>
      <c r="U171" s="57"/>
      <c r="V171" s="57"/>
      <c r="W171" s="59" t="str">
        <f t="shared" si="111"/>
        <v/>
      </c>
      <c r="X171" s="49"/>
      <c r="Y171" s="50"/>
      <c r="Z171" s="50"/>
      <c r="AA171" s="50"/>
      <c r="AB171" s="50"/>
      <c r="AC171" s="51" t="str">
        <f t="shared" si="112"/>
        <v/>
      </c>
      <c r="AD171" s="59"/>
      <c r="AE171" s="50"/>
      <c r="AF171" s="50"/>
      <c r="AG171" s="50"/>
      <c r="AH171" s="50"/>
      <c r="AI171" s="99" t="str">
        <f t="shared" ref="AI171:AI179" si="113">IF(SUM(AE171:AH171)=0,"",SUM(AE171:AH171))</f>
        <v/>
      </c>
    </row>
    <row r="172" spans="1:35" x14ac:dyDescent="0.15">
      <c r="A172" s="82">
        <f>'Match Summary'!$B$17</f>
        <v>42203</v>
      </c>
      <c r="B172" s="64" t="str">
        <f>'Match Summary'!$C$17</f>
        <v>Zagreb</v>
      </c>
      <c r="C172" s="59">
        <v>3</v>
      </c>
      <c r="D172" s="60" t="s">
        <v>47</v>
      </c>
      <c r="E172" s="49" t="s">
        <v>195</v>
      </c>
      <c r="F172" s="51"/>
      <c r="G172" s="117" t="s">
        <v>199</v>
      </c>
      <c r="H172" s="59">
        <v>16</v>
      </c>
      <c r="I172" s="59" t="s">
        <v>202</v>
      </c>
      <c r="J172" s="57">
        <v>21</v>
      </c>
      <c r="K172" s="57">
        <v>30</v>
      </c>
      <c r="L172" s="57">
        <v>3</v>
      </c>
      <c r="M172" s="50"/>
      <c r="N172" s="49" t="str">
        <f t="shared" si="107"/>
        <v/>
      </c>
      <c r="O172" s="50" t="str">
        <f t="shared" si="108"/>
        <v/>
      </c>
      <c r="P172" s="50" t="str">
        <f t="shared" si="109"/>
        <v/>
      </c>
      <c r="Q172" s="51" t="str">
        <f t="shared" si="110"/>
        <v/>
      </c>
      <c r="R172" s="59">
        <v>8</v>
      </c>
      <c r="S172" s="50">
        <v>1</v>
      </c>
      <c r="T172" s="50">
        <v>1</v>
      </c>
      <c r="U172" s="57">
        <v>0</v>
      </c>
      <c r="V172" s="57">
        <v>34</v>
      </c>
      <c r="W172" s="59">
        <f t="shared" si="111"/>
        <v>1</v>
      </c>
      <c r="X172" s="49"/>
      <c r="Y172" s="50"/>
      <c r="Z172" s="57">
        <v>1</v>
      </c>
      <c r="AA172" s="50"/>
      <c r="AB172" s="50"/>
      <c r="AC172" s="51" t="str">
        <f t="shared" si="112"/>
        <v/>
      </c>
      <c r="AD172" s="59"/>
      <c r="AE172" s="50">
        <v>1</v>
      </c>
      <c r="AF172" s="50"/>
      <c r="AG172" s="50"/>
      <c r="AH172" s="50"/>
      <c r="AI172" s="99">
        <f t="shared" si="113"/>
        <v>1</v>
      </c>
    </row>
    <row r="173" spans="1:35" x14ac:dyDescent="0.15">
      <c r="A173" s="82">
        <f>'Match Summary'!$B$17</f>
        <v>42203</v>
      </c>
      <c r="B173" s="64" t="str">
        <f>'Match Summary'!$C$17</f>
        <v>Zagreb</v>
      </c>
      <c r="C173" s="59">
        <v>4</v>
      </c>
      <c r="D173" s="60" t="s">
        <v>48</v>
      </c>
      <c r="E173" s="49"/>
      <c r="F173" s="51"/>
      <c r="G173" s="117" t="s">
        <v>199</v>
      </c>
      <c r="H173" s="59">
        <v>81</v>
      </c>
      <c r="I173" s="59" t="s">
        <v>201</v>
      </c>
      <c r="J173" s="57">
        <v>63</v>
      </c>
      <c r="K173" s="57">
        <v>70</v>
      </c>
      <c r="L173" s="57">
        <v>15</v>
      </c>
      <c r="M173" s="57"/>
      <c r="N173" s="49" t="str">
        <f t="shared" si="107"/>
        <v/>
      </c>
      <c r="O173" s="50" t="str">
        <f t="shared" si="108"/>
        <v/>
      </c>
      <c r="P173" s="50">
        <f t="shared" si="109"/>
        <v>1</v>
      </c>
      <c r="Q173" s="51" t="str">
        <f t="shared" si="110"/>
        <v/>
      </c>
      <c r="R173" s="59">
        <v>4</v>
      </c>
      <c r="S173" s="50">
        <v>1</v>
      </c>
      <c r="T173" s="50">
        <v>0</v>
      </c>
      <c r="U173" s="57">
        <v>0</v>
      </c>
      <c r="V173" s="57">
        <v>18</v>
      </c>
      <c r="W173" s="59">
        <f t="shared" si="111"/>
        <v>2</v>
      </c>
      <c r="X173" s="49">
        <v>1</v>
      </c>
      <c r="Y173" s="50"/>
      <c r="Z173" s="50">
        <v>1</v>
      </c>
      <c r="AA173" s="50"/>
      <c r="AB173" s="50"/>
      <c r="AC173" s="51" t="str">
        <f t="shared" si="112"/>
        <v/>
      </c>
      <c r="AD173" s="59"/>
      <c r="AE173" s="50"/>
      <c r="AF173" s="50"/>
      <c r="AG173" s="50"/>
      <c r="AH173" s="50"/>
      <c r="AI173" s="99" t="str">
        <f t="shared" si="113"/>
        <v/>
      </c>
    </row>
    <row r="174" spans="1:35" x14ac:dyDescent="0.15">
      <c r="A174" s="82">
        <f>'Match Summary'!$B$17</f>
        <v>42203</v>
      </c>
      <c r="B174" s="64" t="str">
        <f>'Match Summary'!$C$17</f>
        <v>Zagreb</v>
      </c>
      <c r="C174" s="59">
        <v>5</v>
      </c>
      <c r="D174" s="61" t="s">
        <v>268</v>
      </c>
      <c r="E174" s="49"/>
      <c r="F174" s="51"/>
      <c r="G174" s="117" t="s">
        <v>199</v>
      </c>
      <c r="H174" s="59">
        <v>5</v>
      </c>
      <c r="I174" s="59" t="s">
        <v>201</v>
      </c>
      <c r="J174" s="57">
        <v>10</v>
      </c>
      <c r="K174" s="57">
        <v>10</v>
      </c>
      <c r="L174" s="57"/>
      <c r="M174" s="50"/>
      <c r="N174" s="49" t="str">
        <f t="shared" si="107"/>
        <v/>
      </c>
      <c r="O174" s="50" t="str">
        <f t="shared" si="108"/>
        <v/>
      </c>
      <c r="P174" s="50" t="str">
        <f t="shared" si="109"/>
        <v/>
      </c>
      <c r="Q174" s="51" t="str">
        <f t="shared" si="110"/>
        <v/>
      </c>
      <c r="R174" s="59"/>
      <c r="S174" s="50"/>
      <c r="T174" s="50"/>
      <c r="U174" s="57"/>
      <c r="V174" s="57"/>
      <c r="W174" s="59" t="str">
        <f t="shared" si="111"/>
        <v/>
      </c>
      <c r="X174" s="49"/>
      <c r="Y174" s="50"/>
      <c r="Z174" s="57"/>
      <c r="AA174" s="50"/>
      <c r="AB174" s="50"/>
      <c r="AC174" s="51" t="str">
        <f t="shared" si="112"/>
        <v/>
      </c>
      <c r="AD174" s="59"/>
      <c r="AE174" s="50"/>
      <c r="AF174" s="50"/>
      <c r="AG174" s="50"/>
      <c r="AH174" s="50"/>
      <c r="AI174" s="99" t="str">
        <f t="shared" si="113"/>
        <v/>
      </c>
    </row>
    <row r="175" spans="1:35" x14ac:dyDescent="0.15">
      <c r="A175" s="82">
        <f>'Match Summary'!$B$17</f>
        <v>42203</v>
      </c>
      <c r="B175" s="64" t="str">
        <f>'Match Summary'!$C$17</f>
        <v>Zagreb</v>
      </c>
      <c r="C175" s="59">
        <v>6</v>
      </c>
      <c r="D175" s="61" t="s">
        <v>185</v>
      </c>
      <c r="E175" s="49"/>
      <c r="F175" s="51"/>
      <c r="G175" s="117" t="s">
        <v>199</v>
      </c>
      <c r="H175" s="59">
        <v>27</v>
      </c>
      <c r="I175" s="59" t="s">
        <v>202</v>
      </c>
      <c r="J175" s="57">
        <v>47</v>
      </c>
      <c r="K175" s="57">
        <v>50</v>
      </c>
      <c r="L175" s="57">
        <v>4</v>
      </c>
      <c r="M175" s="57"/>
      <c r="N175" s="49" t="str">
        <f t="shared" si="107"/>
        <v/>
      </c>
      <c r="O175" s="50" t="str">
        <f t="shared" si="108"/>
        <v/>
      </c>
      <c r="P175" s="50" t="str">
        <f t="shared" si="109"/>
        <v/>
      </c>
      <c r="Q175" s="51" t="str">
        <f t="shared" si="110"/>
        <v/>
      </c>
      <c r="R175" s="59"/>
      <c r="S175" s="50"/>
      <c r="T175" s="50"/>
      <c r="U175" s="50"/>
      <c r="V175" s="50"/>
      <c r="W175" s="59" t="str">
        <f t="shared" si="111"/>
        <v/>
      </c>
      <c r="X175" s="49"/>
      <c r="Y175" s="50"/>
      <c r="Z175" s="50"/>
      <c r="AA175" s="50"/>
      <c r="AB175" s="50"/>
      <c r="AC175" s="51" t="str">
        <f t="shared" si="112"/>
        <v/>
      </c>
      <c r="AD175" s="59"/>
      <c r="AE175" s="50"/>
      <c r="AF175" s="50"/>
      <c r="AG175" s="50"/>
      <c r="AH175" s="50"/>
      <c r="AI175" s="99" t="str">
        <f t="shared" si="113"/>
        <v/>
      </c>
    </row>
    <row r="176" spans="1:35" x14ac:dyDescent="0.15">
      <c r="A176" s="82">
        <f>'Match Summary'!$B$17</f>
        <v>42203</v>
      </c>
      <c r="B176" s="64" t="str">
        <f>'Match Summary'!$C$17</f>
        <v>Zagreb</v>
      </c>
      <c r="C176" s="59">
        <v>7</v>
      </c>
      <c r="D176" s="61" t="s">
        <v>103</v>
      </c>
      <c r="E176" s="49"/>
      <c r="F176" s="51" t="s">
        <v>195</v>
      </c>
      <c r="G176" s="117" t="s">
        <v>199</v>
      </c>
      <c r="H176" s="59">
        <v>6</v>
      </c>
      <c r="I176" s="59" t="s">
        <v>203</v>
      </c>
      <c r="J176" s="57">
        <v>13</v>
      </c>
      <c r="K176" s="57">
        <v>14</v>
      </c>
      <c r="L176" s="57">
        <v>1</v>
      </c>
      <c r="M176" s="57"/>
      <c r="N176" s="49">
        <f t="shared" si="107"/>
        <v>1</v>
      </c>
      <c r="O176" s="50" t="str">
        <f t="shared" si="108"/>
        <v/>
      </c>
      <c r="P176" s="50" t="str">
        <f t="shared" si="109"/>
        <v/>
      </c>
      <c r="Q176" s="51" t="str">
        <f t="shared" si="110"/>
        <v/>
      </c>
      <c r="R176" s="59"/>
      <c r="S176" s="50"/>
      <c r="T176" s="50"/>
      <c r="U176" s="57"/>
      <c r="V176" s="57"/>
      <c r="W176" s="59" t="str">
        <f t="shared" si="111"/>
        <v/>
      </c>
      <c r="X176" s="49"/>
      <c r="Y176" s="50"/>
      <c r="Z176" s="57"/>
      <c r="AA176" s="50"/>
      <c r="AB176" s="50"/>
      <c r="AC176" s="51" t="str">
        <f>IF(AND(ISNUMBER(W176),W176&gt;=5),1,"")</f>
        <v/>
      </c>
      <c r="AD176" s="59">
        <v>4</v>
      </c>
      <c r="AE176" s="50"/>
      <c r="AF176" s="50"/>
      <c r="AG176" s="50"/>
      <c r="AH176" s="50"/>
      <c r="AI176" s="99" t="str">
        <f t="shared" si="113"/>
        <v/>
      </c>
    </row>
    <row r="177" spans="1:35" x14ac:dyDescent="0.15">
      <c r="A177" s="82">
        <f>'Match Summary'!$B$17</f>
        <v>42203</v>
      </c>
      <c r="B177" s="64" t="str">
        <f>'Match Summary'!$C$17</f>
        <v>Zagreb</v>
      </c>
      <c r="C177" s="59">
        <v>8</v>
      </c>
      <c r="D177" s="60" t="s">
        <v>102</v>
      </c>
      <c r="E177" s="49"/>
      <c r="F177" s="51"/>
      <c r="G177" s="117" t="s">
        <v>199</v>
      </c>
      <c r="H177" s="59">
        <v>0</v>
      </c>
      <c r="I177" s="59" t="s">
        <v>203</v>
      </c>
      <c r="J177" s="57">
        <v>5</v>
      </c>
      <c r="K177" s="57">
        <v>9</v>
      </c>
      <c r="L177" s="57"/>
      <c r="M177" s="50"/>
      <c r="N177" s="49">
        <f t="shared" si="107"/>
        <v>1</v>
      </c>
      <c r="O177" s="50" t="str">
        <f t="shared" si="108"/>
        <v/>
      </c>
      <c r="P177" s="50" t="str">
        <f t="shared" si="109"/>
        <v/>
      </c>
      <c r="Q177" s="51" t="str">
        <f t="shared" si="110"/>
        <v/>
      </c>
      <c r="R177" s="59">
        <v>3</v>
      </c>
      <c r="S177" s="50">
        <v>2</v>
      </c>
      <c r="T177" s="50">
        <v>0</v>
      </c>
      <c r="U177" s="57">
        <v>0</v>
      </c>
      <c r="V177" s="57">
        <v>1</v>
      </c>
      <c r="W177" s="59">
        <f t="shared" si="111"/>
        <v>0</v>
      </c>
      <c r="X177" s="49"/>
      <c r="Y177" s="50"/>
      <c r="Z177" s="57"/>
      <c r="AA177" s="50"/>
      <c r="AB177" s="50"/>
      <c r="AC177" s="51" t="str">
        <f t="shared" si="112"/>
        <v/>
      </c>
      <c r="AD177" s="59"/>
      <c r="AE177" s="50"/>
      <c r="AF177" s="50"/>
      <c r="AG177" s="50"/>
      <c r="AH177" s="50"/>
      <c r="AI177" s="99" t="str">
        <f t="shared" si="113"/>
        <v/>
      </c>
    </row>
    <row r="178" spans="1:35" x14ac:dyDescent="0.15">
      <c r="A178" s="82">
        <f>'Match Summary'!$B$17</f>
        <v>42203</v>
      </c>
      <c r="B178" s="64" t="str">
        <f>'Match Summary'!$C$17</f>
        <v>Zagreb</v>
      </c>
      <c r="C178" s="59">
        <v>9</v>
      </c>
      <c r="D178" s="60" t="s">
        <v>45</v>
      </c>
      <c r="E178" s="49"/>
      <c r="F178" s="51"/>
      <c r="G178" s="117" t="s">
        <v>200</v>
      </c>
      <c r="H178" s="59"/>
      <c r="I178" s="59"/>
      <c r="J178" s="57"/>
      <c r="K178" s="57"/>
      <c r="L178" s="50"/>
      <c r="M178" s="50"/>
      <c r="N178" s="49" t="str">
        <f t="shared" si="107"/>
        <v/>
      </c>
      <c r="O178" s="50" t="str">
        <f t="shared" si="108"/>
        <v/>
      </c>
      <c r="P178" s="50" t="str">
        <f t="shared" si="109"/>
        <v/>
      </c>
      <c r="Q178" s="51" t="str">
        <f t="shared" si="110"/>
        <v/>
      </c>
      <c r="R178" s="59">
        <v>6</v>
      </c>
      <c r="S178" s="57">
        <v>0</v>
      </c>
      <c r="T178" s="57">
        <v>0</v>
      </c>
      <c r="U178" s="57">
        <v>0</v>
      </c>
      <c r="V178" s="57">
        <v>35</v>
      </c>
      <c r="W178" s="59">
        <f t="shared" si="111"/>
        <v>2</v>
      </c>
      <c r="X178" s="49">
        <v>2</v>
      </c>
      <c r="Y178" s="50"/>
      <c r="Z178" s="50"/>
      <c r="AA178" s="50"/>
      <c r="AB178" s="50"/>
      <c r="AC178" s="51" t="str">
        <f t="shared" si="112"/>
        <v/>
      </c>
      <c r="AD178" s="59"/>
      <c r="AE178" s="50">
        <v>1</v>
      </c>
      <c r="AF178" s="50"/>
      <c r="AG178" s="50"/>
      <c r="AH178" s="50"/>
      <c r="AI178" s="99">
        <f t="shared" si="113"/>
        <v>1</v>
      </c>
    </row>
    <row r="179" spans="1:35" x14ac:dyDescent="0.15">
      <c r="A179" s="82">
        <f>'Match Summary'!$B$17</f>
        <v>42203</v>
      </c>
      <c r="B179" s="64" t="str">
        <f>'Match Summary'!$C$17</f>
        <v>Zagreb</v>
      </c>
      <c r="C179" s="59">
        <v>10</v>
      </c>
      <c r="D179" s="61" t="s">
        <v>44</v>
      </c>
      <c r="E179" s="49"/>
      <c r="F179" s="51"/>
      <c r="G179" s="117" t="s">
        <v>200</v>
      </c>
      <c r="H179" s="59"/>
      <c r="I179" s="59"/>
      <c r="J179" s="57"/>
      <c r="K179" s="57"/>
      <c r="L179" s="50"/>
      <c r="M179" s="50"/>
      <c r="N179" s="49" t="str">
        <f t="shared" si="107"/>
        <v/>
      </c>
      <c r="O179" s="50" t="str">
        <f t="shared" si="108"/>
        <v/>
      </c>
      <c r="P179" s="50" t="str">
        <f t="shared" si="109"/>
        <v/>
      </c>
      <c r="Q179" s="51" t="str">
        <f t="shared" si="110"/>
        <v/>
      </c>
      <c r="R179" s="59">
        <v>8</v>
      </c>
      <c r="S179" s="50">
        <v>4</v>
      </c>
      <c r="T179" s="50">
        <v>1</v>
      </c>
      <c r="U179" s="57">
        <v>0</v>
      </c>
      <c r="V179" s="57">
        <v>19</v>
      </c>
      <c r="W179" s="59">
        <f t="shared" si="111"/>
        <v>0</v>
      </c>
      <c r="X179" s="49"/>
      <c r="Y179" s="50"/>
      <c r="Z179" s="50"/>
      <c r="AA179" s="50"/>
      <c r="AB179" s="50"/>
      <c r="AC179" s="51" t="str">
        <f t="shared" si="112"/>
        <v/>
      </c>
      <c r="AD179" s="59"/>
      <c r="AE179" s="50">
        <v>1</v>
      </c>
      <c r="AF179" s="50"/>
      <c r="AG179" s="50"/>
      <c r="AH179" s="50"/>
      <c r="AI179" s="99">
        <f t="shared" si="113"/>
        <v>1</v>
      </c>
    </row>
    <row r="180" spans="1:35" x14ac:dyDescent="0.15">
      <c r="A180" s="82">
        <f>'Match Summary'!$B$17</f>
        <v>42203</v>
      </c>
      <c r="B180" s="64" t="str">
        <f>'Match Summary'!$C$17</f>
        <v>Zagreb</v>
      </c>
      <c r="C180" s="56">
        <v>11</v>
      </c>
      <c r="D180" s="62" t="s">
        <v>51</v>
      </c>
      <c r="E180" s="52"/>
      <c r="F180" s="54"/>
      <c r="G180" s="107" t="s">
        <v>200</v>
      </c>
      <c r="H180" s="56"/>
      <c r="I180" s="56"/>
      <c r="J180" s="53"/>
      <c r="K180" s="53"/>
      <c r="L180" s="53"/>
      <c r="M180" s="53"/>
      <c r="N180" s="52" t="str">
        <f t="shared" si="107"/>
        <v/>
      </c>
      <c r="O180" s="53" t="str">
        <f t="shared" si="108"/>
        <v/>
      </c>
      <c r="P180" s="53" t="str">
        <f t="shared" si="109"/>
        <v/>
      </c>
      <c r="Q180" s="54" t="str">
        <f t="shared" si="110"/>
        <v/>
      </c>
      <c r="R180" s="56">
        <v>7</v>
      </c>
      <c r="S180" s="53">
        <v>1</v>
      </c>
      <c r="T180" s="53">
        <v>0</v>
      </c>
      <c r="U180" s="53">
        <v>0</v>
      </c>
      <c r="V180" s="53">
        <v>32</v>
      </c>
      <c r="W180" s="56">
        <f t="shared" si="111"/>
        <v>2</v>
      </c>
      <c r="X180" s="52">
        <v>1</v>
      </c>
      <c r="Y180" s="53"/>
      <c r="Z180" s="53">
        <v>1</v>
      </c>
      <c r="AA180" s="53"/>
      <c r="AB180" s="53"/>
      <c r="AC180" s="54" t="str">
        <f t="shared" si="112"/>
        <v/>
      </c>
      <c r="AD180" s="56"/>
      <c r="AE180" s="53"/>
      <c r="AF180" s="53"/>
      <c r="AG180" s="53"/>
      <c r="AH180" s="53"/>
      <c r="AI180" s="100" t="str">
        <f>IF(SUM(AE180:AH180)=0,"",SUM(AE180:AH180))</f>
        <v/>
      </c>
    </row>
    <row r="181" spans="1:35" ht="15" thickBot="1" x14ac:dyDescent="0.2">
      <c r="A181" s="83">
        <f>'Match Summary'!$B$17</f>
        <v>42203</v>
      </c>
      <c r="B181" s="84" t="str">
        <f>'Match Summary'!$C$17</f>
        <v>Zagreb</v>
      </c>
      <c r="C181" s="85"/>
      <c r="D181" s="86" t="s">
        <v>174</v>
      </c>
      <c r="E181" s="85"/>
      <c r="F181" s="85"/>
      <c r="G181" s="115"/>
      <c r="H181" s="86">
        <v>36</v>
      </c>
      <c r="I181" s="85"/>
      <c r="J181" s="85"/>
      <c r="K181" s="85"/>
      <c r="L181" s="85"/>
      <c r="M181" s="85"/>
      <c r="N181" s="85" t="str">
        <f t="shared" si="107"/>
        <v/>
      </c>
      <c r="O181" s="85" t="str">
        <f t="shared" si="108"/>
        <v/>
      </c>
      <c r="P181" s="87" t="str">
        <f t="shared" si="109"/>
        <v/>
      </c>
      <c r="Q181" s="88" t="str">
        <f t="shared" si="110"/>
        <v/>
      </c>
      <c r="R181" s="86">
        <f>SUBTOTAL(9,R170:R180)</f>
        <v>36</v>
      </c>
      <c r="S181" s="91">
        <f t="shared" ref="S181" si="114">SUBTOTAL(9,S170:S180)</f>
        <v>9</v>
      </c>
      <c r="T181" s="86">
        <f>SUBTOTAL(9,T170:T180)</f>
        <v>2</v>
      </c>
      <c r="U181" s="86">
        <f>SUBTOTAL(9,U170:U180)</f>
        <v>0</v>
      </c>
      <c r="V181" s="86">
        <f>SUBTOTAL(9,V170:V180)</f>
        <v>139</v>
      </c>
      <c r="W181" s="86">
        <f>SUBTOTAL(9,W170:W180)</f>
        <v>7</v>
      </c>
      <c r="X181" s="85"/>
      <c r="Y181" s="85"/>
      <c r="Z181" s="85"/>
      <c r="AA181" s="85"/>
      <c r="AB181" s="85"/>
      <c r="AC181" s="85" t="s">
        <v>259</v>
      </c>
      <c r="AD181" s="92">
        <v>5</v>
      </c>
      <c r="AE181" s="85"/>
      <c r="AF181" s="85"/>
      <c r="AG181" s="85"/>
      <c r="AH181" s="85"/>
      <c r="AI181" s="118"/>
    </row>
    <row r="182" spans="1:35" x14ac:dyDescent="0.15">
      <c r="A182" s="75">
        <f>'Match Summary'!$B$18</f>
        <v>42204</v>
      </c>
      <c r="B182" s="76" t="str">
        <f>'Match Summary'!$C$18</f>
        <v>Sampford</v>
      </c>
      <c r="C182" s="77">
        <v>1</v>
      </c>
      <c r="D182" s="97" t="s">
        <v>111</v>
      </c>
      <c r="E182" s="79"/>
      <c r="F182" s="80"/>
      <c r="G182" s="116" t="s">
        <v>199</v>
      </c>
      <c r="H182" s="77">
        <v>13</v>
      </c>
      <c r="I182" s="77" t="s">
        <v>201</v>
      </c>
      <c r="J182" s="81">
        <v>22</v>
      </c>
      <c r="K182" s="81"/>
      <c r="L182" s="81">
        <v>2</v>
      </c>
      <c r="M182" s="81"/>
      <c r="N182" s="79" t="str">
        <f t="shared" ref="N182:N233" si="115">IF(I182="NO",1,"")</f>
        <v/>
      </c>
      <c r="O182" s="81" t="str">
        <f t="shared" ref="O182:O234" si="116">IF(OR(H182&gt;0,H182=""),"",IF(I182="no","",1))</f>
        <v/>
      </c>
      <c r="P182" s="81" t="str">
        <f t="shared" ref="P182:P233" si="117">IF(AND(H182&gt;=50,H182&lt;100),1,"")</f>
        <v/>
      </c>
      <c r="Q182" s="80" t="str">
        <f t="shared" ref="Q182:Q233" si="118">IF(H182&gt;=100,1,"")</f>
        <v/>
      </c>
      <c r="R182" s="77"/>
      <c r="S182" s="81"/>
      <c r="T182" s="81"/>
      <c r="U182" s="81"/>
      <c r="V182" s="81"/>
      <c r="W182" s="77" t="str">
        <f t="shared" si="97"/>
        <v/>
      </c>
      <c r="X182" s="79"/>
      <c r="Y182" s="81"/>
      <c r="Z182" s="81"/>
      <c r="AA182" s="81"/>
      <c r="AB182" s="81"/>
      <c r="AC182" s="80" t="str">
        <f t="shared" ref="AC182:AC192" si="119">IF(AND(ISNUMBER(W182),W182&gt;=5),1,"")</f>
        <v/>
      </c>
      <c r="AD182" s="77"/>
      <c r="AE182" s="81"/>
      <c r="AF182" s="81"/>
      <c r="AG182" s="81"/>
      <c r="AH182" s="81"/>
      <c r="AI182" s="98" t="str">
        <f>IF(SUM(AE182:AH182)=0,"",SUM(AE182:AH182))</f>
        <v/>
      </c>
    </row>
    <row r="183" spans="1:35" x14ac:dyDescent="0.15">
      <c r="A183" s="82">
        <f>'Match Summary'!$B$18</f>
        <v>42204</v>
      </c>
      <c r="B183" s="64" t="str">
        <f>'Match Summary'!$C$18</f>
        <v>Sampford</v>
      </c>
      <c r="C183" s="59">
        <v>2</v>
      </c>
      <c r="D183" s="60" t="s">
        <v>40</v>
      </c>
      <c r="E183" s="49"/>
      <c r="F183" s="51"/>
      <c r="G183" s="117" t="s">
        <v>199</v>
      </c>
      <c r="H183" s="59">
        <v>31</v>
      </c>
      <c r="I183" s="59" t="s">
        <v>202</v>
      </c>
      <c r="J183" s="57">
        <v>39</v>
      </c>
      <c r="K183" s="57"/>
      <c r="L183" s="50">
        <v>6</v>
      </c>
      <c r="M183" s="50"/>
      <c r="N183" s="49" t="str">
        <f t="shared" si="115"/>
        <v/>
      </c>
      <c r="O183" s="50" t="str">
        <f t="shared" si="116"/>
        <v/>
      </c>
      <c r="P183" s="50" t="str">
        <f t="shared" si="117"/>
        <v/>
      </c>
      <c r="Q183" s="51" t="str">
        <f t="shared" si="118"/>
        <v/>
      </c>
      <c r="R183" s="59">
        <v>5</v>
      </c>
      <c r="S183" s="50">
        <v>0</v>
      </c>
      <c r="T183" s="50">
        <v>0</v>
      </c>
      <c r="U183" s="57">
        <v>0</v>
      </c>
      <c r="V183" s="57">
        <v>14</v>
      </c>
      <c r="W183" s="59">
        <f t="shared" si="97"/>
        <v>1</v>
      </c>
      <c r="X183" s="49">
        <v>1</v>
      </c>
      <c r="Y183" s="50"/>
      <c r="Z183" s="50"/>
      <c r="AA183" s="50"/>
      <c r="AB183" s="50"/>
      <c r="AC183" s="51" t="str">
        <f t="shared" si="119"/>
        <v/>
      </c>
      <c r="AD183" s="59"/>
      <c r="AE183" s="50"/>
      <c r="AF183" s="50"/>
      <c r="AG183" s="50"/>
      <c r="AH183" s="50"/>
      <c r="AI183" s="99" t="str">
        <f t="shared" ref="AI183:AI191" si="120">IF(SUM(AE183:AH183)=0,"",SUM(AE183:AH183))</f>
        <v/>
      </c>
    </row>
    <row r="184" spans="1:35" x14ac:dyDescent="0.15">
      <c r="A184" s="82">
        <f>'Match Summary'!$B$18</f>
        <v>42204</v>
      </c>
      <c r="B184" s="64" t="str">
        <f>'Match Summary'!$C$18</f>
        <v>Sampford</v>
      </c>
      <c r="C184" s="59">
        <v>3</v>
      </c>
      <c r="D184" s="61" t="s">
        <v>186</v>
      </c>
      <c r="E184" s="49"/>
      <c r="F184" s="51"/>
      <c r="G184" s="117" t="s">
        <v>199</v>
      </c>
      <c r="H184" s="59">
        <v>7</v>
      </c>
      <c r="I184" s="59" t="s">
        <v>201</v>
      </c>
      <c r="J184" s="57">
        <v>8</v>
      </c>
      <c r="K184" s="57"/>
      <c r="L184" s="57">
        <v>1</v>
      </c>
      <c r="M184" s="50"/>
      <c r="N184" s="49" t="str">
        <f t="shared" si="115"/>
        <v/>
      </c>
      <c r="O184" s="50" t="str">
        <f t="shared" si="116"/>
        <v/>
      </c>
      <c r="P184" s="50" t="str">
        <f t="shared" si="117"/>
        <v/>
      </c>
      <c r="Q184" s="51" t="str">
        <f t="shared" si="118"/>
        <v/>
      </c>
      <c r="R184" s="59">
        <v>7</v>
      </c>
      <c r="S184" s="50">
        <v>1</v>
      </c>
      <c r="T184" s="50">
        <v>0</v>
      </c>
      <c r="U184" s="57">
        <v>0</v>
      </c>
      <c r="V184" s="57">
        <v>19</v>
      </c>
      <c r="W184" s="59">
        <f t="shared" si="97"/>
        <v>4</v>
      </c>
      <c r="X184" s="49">
        <v>3</v>
      </c>
      <c r="Y184" s="50"/>
      <c r="Z184" s="57">
        <v>1</v>
      </c>
      <c r="AA184" s="50"/>
      <c r="AB184" s="50"/>
      <c r="AC184" s="51" t="str">
        <f t="shared" si="119"/>
        <v/>
      </c>
      <c r="AD184" s="59"/>
      <c r="AE184" s="50"/>
      <c r="AF184" s="50"/>
      <c r="AG184" s="50"/>
      <c r="AH184" s="50"/>
      <c r="AI184" s="99" t="str">
        <f t="shared" si="120"/>
        <v/>
      </c>
    </row>
    <row r="185" spans="1:35" x14ac:dyDescent="0.15">
      <c r="A185" s="82">
        <f>'Match Summary'!$B$18</f>
        <v>42204</v>
      </c>
      <c r="B185" s="64" t="str">
        <f>'Match Summary'!$C$18</f>
        <v>Sampford</v>
      </c>
      <c r="C185" s="59">
        <v>4</v>
      </c>
      <c r="D185" s="61" t="s">
        <v>41</v>
      </c>
      <c r="E185" s="49"/>
      <c r="F185" s="51" t="s">
        <v>195</v>
      </c>
      <c r="G185" s="117" t="s">
        <v>199</v>
      </c>
      <c r="H185" s="59">
        <v>109</v>
      </c>
      <c r="I185" s="59" t="s">
        <v>203</v>
      </c>
      <c r="J185" s="57">
        <v>88</v>
      </c>
      <c r="K185" s="57"/>
      <c r="L185" s="57">
        <v>14</v>
      </c>
      <c r="M185" s="57">
        <v>3</v>
      </c>
      <c r="N185" s="49">
        <f t="shared" si="115"/>
        <v>1</v>
      </c>
      <c r="O185" s="50" t="str">
        <f t="shared" si="116"/>
        <v/>
      </c>
      <c r="P185" s="50" t="str">
        <f t="shared" si="117"/>
        <v/>
      </c>
      <c r="Q185" s="51">
        <f t="shared" si="118"/>
        <v>1</v>
      </c>
      <c r="R185" s="59"/>
      <c r="S185" s="50"/>
      <c r="T185" s="50"/>
      <c r="U185" s="50"/>
      <c r="V185" s="50"/>
      <c r="W185" s="59" t="str">
        <f t="shared" si="97"/>
        <v/>
      </c>
      <c r="X185" s="49"/>
      <c r="Y185" s="50"/>
      <c r="Z185" s="50"/>
      <c r="AA185" s="50"/>
      <c r="AB185" s="50"/>
      <c r="AC185" s="51" t="str">
        <f t="shared" si="119"/>
        <v/>
      </c>
      <c r="AD185" s="59">
        <v>7</v>
      </c>
      <c r="AE185" s="50"/>
      <c r="AF185" s="50"/>
      <c r="AG185" s="50">
        <v>1</v>
      </c>
      <c r="AH185" s="50">
        <v>2</v>
      </c>
      <c r="AI185" s="99">
        <f t="shared" si="120"/>
        <v>3</v>
      </c>
    </row>
    <row r="186" spans="1:35" x14ac:dyDescent="0.15">
      <c r="A186" s="82">
        <f>'Match Summary'!$B$18</f>
        <v>42204</v>
      </c>
      <c r="B186" s="64" t="str">
        <f>'Match Summary'!$C$18</f>
        <v>Sampford</v>
      </c>
      <c r="C186" s="59">
        <v>5</v>
      </c>
      <c r="D186" s="61" t="s">
        <v>47</v>
      </c>
      <c r="E186" s="49" t="s">
        <v>195</v>
      </c>
      <c r="F186" s="51"/>
      <c r="G186" s="117" t="s">
        <v>199</v>
      </c>
      <c r="H186" s="59">
        <v>40</v>
      </c>
      <c r="I186" s="59" t="s">
        <v>201</v>
      </c>
      <c r="J186" s="57">
        <v>39</v>
      </c>
      <c r="K186" s="57"/>
      <c r="L186" s="57">
        <v>7</v>
      </c>
      <c r="M186" s="50"/>
      <c r="N186" s="49" t="str">
        <f t="shared" si="115"/>
        <v/>
      </c>
      <c r="O186" s="50" t="str">
        <f t="shared" si="116"/>
        <v/>
      </c>
      <c r="P186" s="50" t="str">
        <f t="shared" si="117"/>
        <v/>
      </c>
      <c r="Q186" s="51" t="str">
        <f t="shared" si="118"/>
        <v/>
      </c>
      <c r="R186" s="59">
        <v>5</v>
      </c>
      <c r="S186" s="50">
        <v>1</v>
      </c>
      <c r="T186" s="50">
        <v>0</v>
      </c>
      <c r="U186" s="57">
        <v>0</v>
      </c>
      <c r="V186" s="57">
        <v>25</v>
      </c>
      <c r="W186" s="59">
        <f t="shared" si="97"/>
        <v>1</v>
      </c>
      <c r="X186" s="49"/>
      <c r="Y186" s="50"/>
      <c r="Z186" s="57">
        <v>1</v>
      </c>
      <c r="AA186" s="50"/>
      <c r="AB186" s="50"/>
      <c r="AC186" s="51" t="str">
        <f t="shared" si="119"/>
        <v/>
      </c>
      <c r="AD186" s="59"/>
      <c r="AE186" s="50">
        <v>1</v>
      </c>
      <c r="AF186" s="50"/>
      <c r="AG186" s="50"/>
      <c r="AH186" s="50"/>
      <c r="AI186" s="99">
        <f t="shared" si="120"/>
        <v>1</v>
      </c>
    </row>
    <row r="187" spans="1:35" x14ac:dyDescent="0.15">
      <c r="A187" s="82">
        <f>'Match Summary'!$B$18</f>
        <v>42204</v>
      </c>
      <c r="B187" s="64" t="str">
        <f>'Match Summary'!$C$18</f>
        <v>Sampford</v>
      </c>
      <c r="C187" s="59">
        <v>6</v>
      </c>
      <c r="D187" s="60" t="s">
        <v>156</v>
      </c>
      <c r="E187" s="49"/>
      <c r="F187" s="51"/>
      <c r="G187" s="117" t="s">
        <v>199</v>
      </c>
      <c r="H187" s="59">
        <v>8</v>
      </c>
      <c r="I187" s="59" t="s">
        <v>237</v>
      </c>
      <c r="J187" s="57">
        <v>6</v>
      </c>
      <c r="K187" s="57"/>
      <c r="L187" s="57">
        <v>0</v>
      </c>
      <c r="M187" s="57">
        <v>1</v>
      </c>
      <c r="N187" s="49" t="str">
        <f t="shared" si="115"/>
        <v/>
      </c>
      <c r="O187" s="50" t="str">
        <f t="shared" si="116"/>
        <v/>
      </c>
      <c r="P187" s="50" t="str">
        <f t="shared" si="117"/>
        <v/>
      </c>
      <c r="Q187" s="51" t="str">
        <f t="shared" si="118"/>
        <v/>
      </c>
      <c r="R187" s="59"/>
      <c r="S187" s="50"/>
      <c r="T187" s="50"/>
      <c r="U187" s="50"/>
      <c r="V187" s="50"/>
      <c r="W187" s="59" t="str">
        <f t="shared" si="97"/>
        <v/>
      </c>
      <c r="X187" s="49"/>
      <c r="Y187" s="50"/>
      <c r="Z187" s="50"/>
      <c r="AA187" s="50"/>
      <c r="AB187" s="50"/>
      <c r="AC187" s="51" t="str">
        <f t="shared" si="119"/>
        <v/>
      </c>
      <c r="AD187" s="59"/>
      <c r="AE187" s="50">
        <v>1</v>
      </c>
      <c r="AF187" s="50"/>
      <c r="AG187" s="50"/>
      <c r="AH187" s="50"/>
      <c r="AI187" s="99">
        <f t="shared" si="120"/>
        <v>1</v>
      </c>
    </row>
    <row r="188" spans="1:35" x14ac:dyDescent="0.15">
      <c r="A188" s="82">
        <f>'Match Summary'!$B$18</f>
        <v>42204</v>
      </c>
      <c r="B188" s="64" t="str">
        <f>'Match Summary'!$C$18</f>
        <v>Sampford</v>
      </c>
      <c r="C188" s="59">
        <v>7</v>
      </c>
      <c r="D188" s="60" t="s">
        <v>42</v>
      </c>
      <c r="E188" s="49"/>
      <c r="F188" s="51"/>
      <c r="G188" s="117" t="s">
        <v>199</v>
      </c>
      <c r="H188" s="59">
        <v>4</v>
      </c>
      <c r="I188" s="59" t="s">
        <v>202</v>
      </c>
      <c r="J188" s="57">
        <v>7</v>
      </c>
      <c r="K188" s="57"/>
      <c r="L188" s="57">
        <v>1</v>
      </c>
      <c r="M188" s="57"/>
      <c r="N188" s="49" t="str">
        <f t="shared" si="115"/>
        <v/>
      </c>
      <c r="O188" s="50" t="str">
        <f t="shared" si="116"/>
        <v/>
      </c>
      <c r="P188" s="50" t="str">
        <f t="shared" si="117"/>
        <v/>
      </c>
      <c r="Q188" s="51" t="str">
        <f t="shared" si="118"/>
        <v/>
      </c>
      <c r="R188" s="59"/>
      <c r="S188" s="50"/>
      <c r="T188" s="50"/>
      <c r="U188" s="57"/>
      <c r="V188" s="57"/>
      <c r="W188" s="59" t="str">
        <f t="shared" si="97"/>
        <v/>
      </c>
      <c r="X188" s="49"/>
      <c r="Y188" s="50"/>
      <c r="Z188" s="57"/>
      <c r="AA188" s="50"/>
      <c r="AB188" s="50"/>
      <c r="AC188" s="51" t="str">
        <f>IF(AND(ISNUMBER(W188),W188&gt;=5),1,"")</f>
        <v/>
      </c>
      <c r="AD188" s="59"/>
      <c r="AE188" s="50"/>
      <c r="AF188" s="50"/>
      <c r="AG188" s="50"/>
      <c r="AH188" s="50"/>
      <c r="AI188" s="99" t="str">
        <f t="shared" si="120"/>
        <v/>
      </c>
    </row>
    <row r="189" spans="1:35" x14ac:dyDescent="0.15">
      <c r="A189" s="82">
        <f>'Match Summary'!$B$18</f>
        <v>42204</v>
      </c>
      <c r="B189" s="64" t="str">
        <f>'Match Summary'!$C$18</f>
        <v>Sampford</v>
      </c>
      <c r="C189" s="59">
        <v>8</v>
      </c>
      <c r="D189" s="61" t="s">
        <v>43</v>
      </c>
      <c r="E189" s="49"/>
      <c r="F189" s="51"/>
      <c r="G189" s="117" t="s">
        <v>199</v>
      </c>
      <c r="H189" s="59">
        <v>8</v>
      </c>
      <c r="I189" s="59" t="s">
        <v>202</v>
      </c>
      <c r="J189" s="57">
        <v>7</v>
      </c>
      <c r="K189" s="57"/>
      <c r="L189" s="57">
        <v>2</v>
      </c>
      <c r="M189" s="50"/>
      <c r="N189" s="49" t="str">
        <f t="shared" si="115"/>
        <v/>
      </c>
      <c r="O189" s="50" t="str">
        <f t="shared" si="116"/>
        <v/>
      </c>
      <c r="P189" s="50" t="str">
        <f t="shared" si="117"/>
        <v/>
      </c>
      <c r="Q189" s="51" t="str">
        <f t="shared" si="118"/>
        <v/>
      </c>
      <c r="R189" s="59"/>
      <c r="S189" s="50"/>
      <c r="T189" s="50"/>
      <c r="U189" s="57"/>
      <c r="V189" s="57"/>
      <c r="W189" s="59" t="str">
        <f t="shared" si="97"/>
        <v/>
      </c>
      <c r="X189" s="49"/>
      <c r="Y189" s="50"/>
      <c r="Z189" s="57"/>
      <c r="AA189" s="50"/>
      <c r="AB189" s="50"/>
      <c r="AC189" s="51" t="str">
        <f t="shared" si="119"/>
        <v/>
      </c>
      <c r="AD189" s="59"/>
      <c r="AE189" s="50"/>
      <c r="AF189" s="50"/>
      <c r="AG189" s="50"/>
      <c r="AH189" s="50"/>
      <c r="AI189" s="99" t="str">
        <f t="shared" si="120"/>
        <v/>
      </c>
    </row>
    <row r="190" spans="1:35" x14ac:dyDescent="0.15">
      <c r="A190" s="82">
        <f>'Match Summary'!$B$18</f>
        <v>42204</v>
      </c>
      <c r="B190" s="64" t="str">
        <f>'Match Summary'!$C$18</f>
        <v>Sampford</v>
      </c>
      <c r="C190" s="59">
        <v>9</v>
      </c>
      <c r="D190" s="61" t="s">
        <v>268</v>
      </c>
      <c r="E190" s="49"/>
      <c r="F190" s="51"/>
      <c r="G190" s="117" t="s">
        <v>199</v>
      </c>
      <c r="H190" s="59">
        <v>2</v>
      </c>
      <c r="I190" s="59" t="s">
        <v>237</v>
      </c>
      <c r="J190" s="57">
        <v>4</v>
      </c>
      <c r="K190" s="57"/>
      <c r="L190" s="50"/>
      <c r="M190" s="50"/>
      <c r="N190" s="49" t="str">
        <f t="shared" si="115"/>
        <v/>
      </c>
      <c r="O190" s="50" t="str">
        <f t="shared" si="116"/>
        <v/>
      </c>
      <c r="P190" s="50" t="str">
        <f t="shared" si="117"/>
        <v/>
      </c>
      <c r="Q190" s="51" t="str">
        <f t="shared" si="118"/>
        <v/>
      </c>
      <c r="R190" s="59"/>
      <c r="S190" s="57"/>
      <c r="T190" s="57"/>
      <c r="U190" s="57"/>
      <c r="V190" s="57"/>
      <c r="W190" s="59" t="str">
        <f t="shared" si="97"/>
        <v/>
      </c>
      <c r="X190" s="49"/>
      <c r="Y190" s="50"/>
      <c r="Z190" s="50"/>
      <c r="AA190" s="50"/>
      <c r="AB190" s="50"/>
      <c r="AC190" s="51" t="str">
        <f t="shared" si="119"/>
        <v/>
      </c>
      <c r="AD190" s="59"/>
      <c r="AE190" s="50"/>
      <c r="AF190" s="50"/>
      <c r="AG190" s="50"/>
      <c r="AH190" s="50"/>
      <c r="AI190" s="99" t="str">
        <f t="shared" si="120"/>
        <v/>
      </c>
    </row>
    <row r="191" spans="1:35" x14ac:dyDescent="0.15">
      <c r="A191" s="82">
        <f>'Match Summary'!$B$18</f>
        <v>42204</v>
      </c>
      <c r="B191" s="64" t="str">
        <f>'Match Summary'!$C$18</f>
        <v>Sampford</v>
      </c>
      <c r="C191" s="59">
        <v>10</v>
      </c>
      <c r="D191" s="60" t="s">
        <v>102</v>
      </c>
      <c r="E191" s="49"/>
      <c r="F191" s="51"/>
      <c r="G191" s="117" t="s">
        <v>199</v>
      </c>
      <c r="H191" s="59">
        <v>0</v>
      </c>
      <c r="I191" s="59" t="s">
        <v>203</v>
      </c>
      <c r="J191" s="57">
        <v>2</v>
      </c>
      <c r="K191" s="57"/>
      <c r="L191" s="50"/>
      <c r="M191" s="50"/>
      <c r="N191" s="49">
        <f t="shared" si="115"/>
        <v>1</v>
      </c>
      <c r="O191" s="50" t="str">
        <f t="shared" si="116"/>
        <v/>
      </c>
      <c r="P191" s="50" t="str">
        <f t="shared" si="117"/>
        <v/>
      </c>
      <c r="Q191" s="51" t="str">
        <f t="shared" si="118"/>
        <v/>
      </c>
      <c r="R191" s="59">
        <v>2.2999999999999998</v>
      </c>
      <c r="S191" s="50">
        <v>0</v>
      </c>
      <c r="T191" s="50">
        <v>0</v>
      </c>
      <c r="U191" s="57">
        <v>0</v>
      </c>
      <c r="V191" s="57">
        <v>18</v>
      </c>
      <c r="W191" s="59">
        <f t="shared" si="97"/>
        <v>2</v>
      </c>
      <c r="X191" s="49"/>
      <c r="Y191" s="50"/>
      <c r="Z191" s="50">
        <v>1</v>
      </c>
      <c r="AA191" s="50">
        <v>1</v>
      </c>
      <c r="AB191" s="50"/>
      <c r="AC191" s="51" t="str">
        <f t="shared" si="119"/>
        <v/>
      </c>
      <c r="AD191" s="59"/>
      <c r="AE191" s="50"/>
      <c r="AF191" s="50"/>
      <c r="AG191" s="50"/>
      <c r="AH191" s="50"/>
      <c r="AI191" s="99" t="str">
        <f t="shared" si="120"/>
        <v/>
      </c>
    </row>
    <row r="192" spans="1:35" x14ac:dyDescent="0.15">
      <c r="A192" s="82">
        <f>'Match Summary'!$B$18</f>
        <v>42204</v>
      </c>
      <c r="B192" s="64" t="str">
        <f>'Match Summary'!$C$18</f>
        <v>Sampford</v>
      </c>
      <c r="C192" s="56">
        <v>11</v>
      </c>
      <c r="D192" s="62" t="s">
        <v>44</v>
      </c>
      <c r="E192" s="52"/>
      <c r="F192" s="54"/>
      <c r="G192" s="107" t="s">
        <v>200</v>
      </c>
      <c r="H192" s="56"/>
      <c r="I192" s="56"/>
      <c r="J192" s="53"/>
      <c r="K192" s="53"/>
      <c r="L192" s="53"/>
      <c r="M192" s="53"/>
      <c r="N192" s="52" t="str">
        <f t="shared" si="115"/>
        <v/>
      </c>
      <c r="O192" s="53" t="str">
        <f t="shared" si="116"/>
        <v/>
      </c>
      <c r="P192" s="53" t="str">
        <f t="shared" si="117"/>
        <v/>
      </c>
      <c r="Q192" s="54" t="str">
        <f t="shared" si="118"/>
        <v/>
      </c>
      <c r="R192" s="56">
        <v>5</v>
      </c>
      <c r="S192" s="53">
        <v>0</v>
      </c>
      <c r="T192" s="53">
        <v>0</v>
      </c>
      <c r="U192" s="53">
        <v>0</v>
      </c>
      <c r="V192" s="53">
        <v>26</v>
      </c>
      <c r="W192" s="56">
        <f t="shared" si="97"/>
        <v>2</v>
      </c>
      <c r="X192" s="52">
        <v>1</v>
      </c>
      <c r="Y192" s="53"/>
      <c r="Z192" s="53">
        <v>1</v>
      </c>
      <c r="AA192" s="53"/>
      <c r="AB192" s="53"/>
      <c r="AC192" s="54" t="str">
        <f t="shared" si="119"/>
        <v/>
      </c>
      <c r="AD192" s="56"/>
      <c r="AE192" s="53"/>
      <c r="AF192" s="53"/>
      <c r="AG192" s="53"/>
      <c r="AH192" s="53"/>
      <c r="AI192" s="100" t="str">
        <f>IF(SUM(AE192:AH192)=0,"",SUM(AE192:AH192))</f>
        <v/>
      </c>
    </row>
    <row r="193" spans="1:35" ht="15" thickBot="1" x14ac:dyDescent="0.2">
      <c r="A193" s="83">
        <f>'Match Summary'!$B$18</f>
        <v>42204</v>
      </c>
      <c r="B193" s="84" t="str">
        <f>'Match Summary'!$C$18</f>
        <v>Sampford</v>
      </c>
      <c r="C193" s="85"/>
      <c r="D193" s="86" t="s">
        <v>174</v>
      </c>
      <c r="E193" s="85"/>
      <c r="F193" s="85"/>
      <c r="G193" s="115"/>
      <c r="H193" s="86">
        <v>37</v>
      </c>
      <c r="I193" s="85"/>
      <c r="J193" s="85"/>
      <c r="K193" s="85"/>
      <c r="L193" s="85"/>
      <c r="M193" s="85"/>
      <c r="N193" s="85" t="str">
        <f t="shared" si="115"/>
        <v/>
      </c>
      <c r="O193" s="85" t="str">
        <f t="shared" si="116"/>
        <v/>
      </c>
      <c r="P193" s="87" t="str">
        <f t="shared" si="117"/>
        <v/>
      </c>
      <c r="Q193" s="88" t="str">
        <f t="shared" si="118"/>
        <v/>
      </c>
      <c r="R193" s="86">
        <f>SUBTOTAL(9,R182:R192)</f>
        <v>24.3</v>
      </c>
      <c r="S193" s="91">
        <f t="shared" ref="S193" si="121">SUBTOTAL(9,S182:S192)</f>
        <v>2</v>
      </c>
      <c r="T193" s="86">
        <f>SUBTOTAL(9,T182:T192)</f>
        <v>0</v>
      </c>
      <c r="U193" s="86">
        <f>SUBTOTAL(9,U182:U192)</f>
        <v>0</v>
      </c>
      <c r="V193" s="86">
        <f>SUBTOTAL(9,V182:V192)</f>
        <v>102</v>
      </c>
      <c r="W193" s="86">
        <f>SUBTOTAL(9,W182:W192)</f>
        <v>10</v>
      </c>
      <c r="X193" s="85"/>
      <c r="Y193" s="85"/>
      <c r="Z193" s="85"/>
      <c r="AA193" s="85"/>
      <c r="AB193" s="85"/>
      <c r="AC193" s="85" t="s">
        <v>259</v>
      </c>
      <c r="AD193" s="92">
        <v>2</v>
      </c>
      <c r="AE193" s="85"/>
      <c r="AF193" s="85"/>
      <c r="AG193" s="85"/>
      <c r="AH193" s="85"/>
      <c r="AI193" s="118"/>
    </row>
    <row r="194" spans="1:35" x14ac:dyDescent="0.15">
      <c r="A194" s="75">
        <f>'Match Summary'!$B$19</f>
        <v>42211</v>
      </c>
      <c r="B194" s="76" t="str">
        <f>'Match Summary'!$C$19</f>
        <v>Cranston</v>
      </c>
      <c r="C194" s="77">
        <v>1</v>
      </c>
      <c r="D194" s="78"/>
      <c r="E194" s="79"/>
      <c r="F194" s="80"/>
      <c r="G194" s="116"/>
      <c r="H194" s="77"/>
      <c r="I194" s="77"/>
      <c r="J194" s="81"/>
      <c r="K194" s="81"/>
      <c r="L194" s="81"/>
      <c r="M194" s="81"/>
      <c r="N194" s="79" t="str">
        <f t="shared" si="115"/>
        <v/>
      </c>
      <c r="O194" s="81" t="str">
        <f t="shared" si="116"/>
        <v/>
      </c>
      <c r="P194" s="81" t="str">
        <f t="shared" si="117"/>
        <v/>
      </c>
      <c r="Q194" s="80" t="str">
        <f t="shared" si="118"/>
        <v/>
      </c>
      <c r="R194" s="77"/>
      <c r="S194" s="81"/>
      <c r="T194" s="81"/>
      <c r="U194" s="81"/>
      <c r="V194" s="81"/>
      <c r="W194" s="77" t="str">
        <f t="shared" si="97"/>
        <v/>
      </c>
      <c r="X194" s="79"/>
      <c r="Y194" s="81"/>
      <c r="Z194" s="81"/>
      <c r="AA194" s="81"/>
      <c r="AB194" s="81"/>
      <c r="AC194" s="80" t="str">
        <f t="shared" ref="AC194:AC204" si="122">IF(AND(ISNUMBER(W194),W194&gt;=5),1,"")</f>
        <v/>
      </c>
      <c r="AD194" s="77"/>
      <c r="AE194" s="81"/>
      <c r="AF194" s="81"/>
      <c r="AG194" s="81"/>
      <c r="AH194" s="81"/>
      <c r="AI194" s="98"/>
    </row>
    <row r="195" spans="1:35" x14ac:dyDescent="0.15">
      <c r="A195" s="82">
        <f>'Match Summary'!$B$19</f>
        <v>42211</v>
      </c>
      <c r="B195" s="64" t="str">
        <f>'Match Summary'!$C$19</f>
        <v>Cranston</v>
      </c>
      <c r="C195" s="59">
        <v>2</v>
      </c>
      <c r="D195" s="61"/>
      <c r="E195" s="49"/>
      <c r="F195" s="51"/>
      <c r="G195" s="117"/>
      <c r="H195" s="59"/>
      <c r="I195" s="59"/>
      <c r="J195" s="57"/>
      <c r="K195" s="57"/>
      <c r="L195" s="50"/>
      <c r="M195" s="50"/>
      <c r="N195" s="49" t="str">
        <f t="shared" si="115"/>
        <v/>
      </c>
      <c r="O195" s="50" t="str">
        <f t="shared" si="116"/>
        <v/>
      </c>
      <c r="P195" s="50" t="str">
        <f t="shared" si="117"/>
        <v/>
      </c>
      <c r="Q195" s="51" t="str">
        <f t="shared" si="118"/>
        <v/>
      </c>
      <c r="R195" s="59"/>
      <c r="S195" s="50"/>
      <c r="T195" s="50"/>
      <c r="U195" s="50"/>
      <c r="V195" s="50"/>
      <c r="W195" s="59" t="str">
        <f t="shared" si="97"/>
        <v/>
      </c>
      <c r="X195" s="49"/>
      <c r="Y195" s="50"/>
      <c r="Z195" s="50"/>
      <c r="AA195" s="50"/>
      <c r="AB195" s="50"/>
      <c r="AC195" s="51" t="str">
        <f t="shared" si="122"/>
        <v/>
      </c>
      <c r="AD195" s="59"/>
      <c r="AE195" s="50"/>
      <c r="AF195" s="50"/>
      <c r="AG195" s="50"/>
      <c r="AH195" s="50"/>
      <c r="AI195" s="99"/>
    </row>
    <row r="196" spans="1:35" x14ac:dyDescent="0.15">
      <c r="A196" s="82">
        <f>'Match Summary'!$B$19</f>
        <v>42211</v>
      </c>
      <c r="B196" s="64" t="str">
        <f>'Match Summary'!$C$19</f>
        <v>Cranston</v>
      </c>
      <c r="C196" s="59">
        <v>3</v>
      </c>
      <c r="D196" s="61"/>
      <c r="E196" s="49"/>
      <c r="F196" s="51"/>
      <c r="G196" s="117"/>
      <c r="H196" s="59"/>
      <c r="I196" s="59"/>
      <c r="J196" s="57"/>
      <c r="K196" s="57"/>
      <c r="L196" s="57"/>
      <c r="M196" s="50"/>
      <c r="N196" s="49" t="str">
        <f t="shared" si="115"/>
        <v/>
      </c>
      <c r="O196" s="50" t="str">
        <f t="shared" si="116"/>
        <v/>
      </c>
      <c r="P196" s="50" t="str">
        <f t="shared" si="117"/>
        <v/>
      </c>
      <c r="Q196" s="51" t="str">
        <f t="shared" si="118"/>
        <v/>
      </c>
      <c r="R196" s="59"/>
      <c r="S196" s="50"/>
      <c r="T196" s="50"/>
      <c r="U196" s="57"/>
      <c r="V196" s="57"/>
      <c r="W196" s="59" t="str">
        <f t="shared" si="97"/>
        <v/>
      </c>
      <c r="X196" s="49"/>
      <c r="Y196" s="50"/>
      <c r="Z196" s="57"/>
      <c r="AA196" s="50"/>
      <c r="AB196" s="50"/>
      <c r="AC196" s="51" t="str">
        <f t="shared" si="122"/>
        <v/>
      </c>
      <c r="AD196" s="59"/>
      <c r="AE196" s="50"/>
      <c r="AF196" s="50"/>
      <c r="AG196" s="50"/>
      <c r="AH196" s="50"/>
      <c r="AI196" s="99"/>
    </row>
    <row r="197" spans="1:35" x14ac:dyDescent="0.15">
      <c r="A197" s="82">
        <f>'Match Summary'!$B$19</f>
        <v>42211</v>
      </c>
      <c r="B197" s="64" t="str">
        <f>'Match Summary'!$C$19</f>
        <v>Cranston</v>
      </c>
      <c r="C197" s="59">
        <v>4</v>
      </c>
      <c r="D197" s="61"/>
      <c r="E197" s="49"/>
      <c r="F197" s="51"/>
      <c r="G197" s="117"/>
      <c r="H197" s="59"/>
      <c r="I197" s="59"/>
      <c r="J197" s="57"/>
      <c r="K197" s="57"/>
      <c r="L197" s="57"/>
      <c r="M197" s="50"/>
      <c r="N197" s="49" t="str">
        <f t="shared" si="115"/>
        <v/>
      </c>
      <c r="O197" s="50" t="str">
        <f t="shared" si="116"/>
        <v/>
      </c>
      <c r="P197" s="50" t="str">
        <f t="shared" si="117"/>
        <v/>
      </c>
      <c r="Q197" s="51" t="str">
        <f t="shared" si="118"/>
        <v/>
      </c>
      <c r="R197" s="59"/>
      <c r="S197" s="50"/>
      <c r="T197" s="50"/>
      <c r="U197" s="50"/>
      <c r="V197" s="50"/>
      <c r="W197" s="59" t="str">
        <f t="shared" si="97"/>
        <v/>
      </c>
      <c r="X197" s="49"/>
      <c r="Y197" s="50"/>
      <c r="Z197" s="50"/>
      <c r="AA197" s="50"/>
      <c r="AB197" s="50"/>
      <c r="AC197" s="51" t="str">
        <f t="shared" si="122"/>
        <v/>
      </c>
      <c r="AD197" s="59"/>
      <c r="AE197" s="50"/>
      <c r="AF197" s="50"/>
      <c r="AG197" s="50"/>
      <c r="AH197" s="50"/>
      <c r="AI197" s="99"/>
    </row>
    <row r="198" spans="1:35" x14ac:dyDescent="0.15">
      <c r="A198" s="82">
        <f>'Match Summary'!$B$19</f>
        <v>42211</v>
      </c>
      <c r="B198" s="64" t="str">
        <f>'Match Summary'!$C$19</f>
        <v>Cranston</v>
      </c>
      <c r="C198" s="59">
        <v>5</v>
      </c>
      <c r="D198" s="60"/>
      <c r="E198" s="49"/>
      <c r="F198" s="51"/>
      <c r="G198" s="117"/>
      <c r="H198" s="59"/>
      <c r="I198" s="59"/>
      <c r="J198" s="57"/>
      <c r="K198" s="57"/>
      <c r="L198" s="57"/>
      <c r="M198" s="50"/>
      <c r="N198" s="49" t="str">
        <f t="shared" si="115"/>
        <v/>
      </c>
      <c r="O198" s="50" t="str">
        <f t="shared" si="116"/>
        <v/>
      </c>
      <c r="P198" s="50" t="str">
        <f t="shared" si="117"/>
        <v/>
      </c>
      <c r="Q198" s="51" t="str">
        <f t="shared" si="118"/>
        <v/>
      </c>
      <c r="R198" s="59"/>
      <c r="S198" s="50"/>
      <c r="T198" s="50"/>
      <c r="U198" s="57"/>
      <c r="V198" s="57"/>
      <c r="W198" s="59" t="str">
        <f t="shared" si="97"/>
        <v/>
      </c>
      <c r="X198" s="49"/>
      <c r="Y198" s="50"/>
      <c r="Z198" s="57"/>
      <c r="AA198" s="50"/>
      <c r="AB198" s="50"/>
      <c r="AC198" s="51" t="str">
        <f t="shared" si="122"/>
        <v/>
      </c>
      <c r="AD198" s="59"/>
      <c r="AE198" s="50"/>
      <c r="AF198" s="50"/>
      <c r="AG198" s="50"/>
      <c r="AH198" s="50"/>
      <c r="AI198" s="99"/>
    </row>
    <row r="199" spans="1:35" x14ac:dyDescent="0.15">
      <c r="A199" s="82">
        <f>'Match Summary'!$B$19</f>
        <v>42211</v>
      </c>
      <c r="B199" s="64" t="str">
        <f>'Match Summary'!$C$19</f>
        <v>Cranston</v>
      </c>
      <c r="C199" s="59">
        <v>6</v>
      </c>
      <c r="D199" s="61"/>
      <c r="E199" s="49"/>
      <c r="F199" s="51"/>
      <c r="G199" s="117"/>
      <c r="H199" s="59"/>
      <c r="I199" s="59"/>
      <c r="J199" s="57"/>
      <c r="K199" s="57"/>
      <c r="L199" s="57"/>
      <c r="M199" s="50"/>
      <c r="N199" s="49" t="str">
        <f t="shared" si="115"/>
        <v/>
      </c>
      <c r="O199" s="50" t="str">
        <f t="shared" si="116"/>
        <v/>
      </c>
      <c r="P199" s="50" t="str">
        <f t="shared" si="117"/>
        <v/>
      </c>
      <c r="Q199" s="51" t="str">
        <f t="shared" si="118"/>
        <v/>
      </c>
      <c r="R199" s="59"/>
      <c r="S199" s="50"/>
      <c r="T199" s="50"/>
      <c r="U199" s="50"/>
      <c r="V199" s="50"/>
      <c r="W199" s="59" t="str">
        <f t="shared" si="97"/>
        <v/>
      </c>
      <c r="X199" s="49"/>
      <c r="Y199" s="50"/>
      <c r="Z199" s="50"/>
      <c r="AA199" s="50"/>
      <c r="AB199" s="50"/>
      <c r="AC199" s="51" t="str">
        <f t="shared" si="122"/>
        <v/>
      </c>
      <c r="AD199" s="59"/>
      <c r="AE199" s="50"/>
      <c r="AF199" s="50"/>
      <c r="AG199" s="50"/>
      <c r="AH199" s="50"/>
      <c r="AI199" s="99"/>
    </row>
    <row r="200" spans="1:35" x14ac:dyDescent="0.15">
      <c r="A200" s="82">
        <f>'Match Summary'!$B$19</f>
        <v>42211</v>
      </c>
      <c r="B200" s="64" t="str">
        <f>'Match Summary'!$C$19</f>
        <v>Cranston</v>
      </c>
      <c r="C200" s="59">
        <v>7</v>
      </c>
      <c r="D200" s="60"/>
      <c r="E200" s="49"/>
      <c r="F200" s="51"/>
      <c r="G200" s="117"/>
      <c r="H200" s="59"/>
      <c r="I200" s="59"/>
      <c r="J200" s="57"/>
      <c r="K200" s="57"/>
      <c r="L200" s="57"/>
      <c r="M200" s="57"/>
      <c r="N200" s="49" t="str">
        <f t="shared" si="115"/>
        <v/>
      </c>
      <c r="O200" s="50" t="str">
        <f t="shared" si="116"/>
        <v/>
      </c>
      <c r="P200" s="50" t="str">
        <f t="shared" si="117"/>
        <v/>
      </c>
      <c r="Q200" s="51" t="str">
        <f t="shared" si="118"/>
        <v/>
      </c>
      <c r="R200" s="59"/>
      <c r="S200" s="50"/>
      <c r="T200" s="50"/>
      <c r="U200" s="57"/>
      <c r="V200" s="57"/>
      <c r="W200" s="59" t="str">
        <f t="shared" si="97"/>
        <v/>
      </c>
      <c r="X200" s="49"/>
      <c r="Y200" s="50"/>
      <c r="Z200" s="57"/>
      <c r="AA200" s="50"/>
      <c r="AB200" s="50"/>
      <c r="AC200" s="51" t="str">
        <f>IF(AND(ISNUMBER(W200),W200&gt;=5),1,"")</f>
        <v/>
      </c>
      <c r="AD200" s="59"/>
      <c r="AE200" s="50"/>
      <c r="AF200" s="50"/>
      <c r="AG200" s="50"/>
      <c r="AH200" s="50"/>
      <c r="AI200" s="99"/>
    </row>
    <row r="201" spans="1:35" x14ac:dyDescent="0.15">
      <c r="A201" s="82">
        <f>'Match Summary'!$B$19</f>
        <v>42211</v>
      </c>
      <c r="B201" s="64" t="str">
        <f>'Match Summary'!$C$19</f>
        <v>Cranston</v>
      </c>
      <c r="C201" s="59">
        <v>8</v>
      </c>
      <c r="D201" s="60"/>
      <c r="E201" s="49"/>
      <c r="F201" s="51"/>
      <c r="G201" s="117"/>
      <c r="H201" s="59"/>
      <c r="I201" s="59"/>
      <c r="J201" s="57"/>
      <c r="K201" s="57"/>
      <c r="L201" s="50"/>
      <c r="M201" s="50"/>
      <c r="N201" s="49" t="str">
        <f t="shared" si="115"/>
        <v/>
      </c>
      <c r="O201" s="50" t="str">
        <f t="shared" si="116"/>
        <v/>
      </c>
      <c r="P201" s="50" t="str">
        <f t="shared" si="117"/>
        <v/>
      </c>
      <c r="Q201" s="51" t="str">
        <f t="shared" si="118"/>
        <v/>
      </c>
      <c r="R201" s="59"/>
      <c r="S201" s="50"/>
      <c r="T201" s="50"/>
      <c r="U201" s="57"/>
      <c r="V201" s="57"/>
      <c r="W201" s="59" t="str">
        <f t="shared" si="97"/>
        <v/>
      </c>
      <c r="X201" s="49"/>
      <c r="Y201" s="50"/>
      <c r="Z201" s="57"/>
      <c r="AA201" s="50"/>
      <c r="AB201" s="50"/>
      <c r="AC201" s="51" t="str">
        <f t="shared" si="122"/>
        <v/>
      </c>
      <c r="AD201" s="59"/>
      <c r="AE201" s="50"/>
      <c r="AF201" s="50"/>
      <c r="AG201" s="50"/>
      <c r="AH201" s="50"/>
      <c r="AI201" s="99"/>
    </row>
    <row r="202" spans="1:35" x14ac:dyDescent="0.15">
      <c r="A202" s="82">
        <f>'Match Summary'!$B$19</f>
        <v>42211</v>
      </c>
      <c r="B202" s="64" t="str">
        <f>'Match Summary'!$C$19</f>
        <v>Cranston</v>
      </c>
      <c r="C202" s="59">
        <v>9</v>
      </c>
      <c r="D202" s="60"/>
      <c r="E202" s="49"/>
      <c r="F202" s="51"/>
      <c r="G202" s="117"/>
      <c r="H202" s="59"/>
      <c r="I202" s="59"/>
      <c r="J202" s="57"/>
      <c r="K202" s="57"/>
      <c r="L202" s="50"/>
      <c r="M202" s="50"/>
      <c r="N202" s="49" t="str">
        <f t="shared" si="115"/>
        <v/>
      </c>
      <c r="O202" s="50" t="str">
        <f t="shared" si="116"/>
        <v/>
      </c>
      <c r="P202" s="50" t="str">
        <f t="shared" si="117"/>
        <v/>
      </c>
      <c r="Q202" s="51" t="str">
        <f t="shared" si="118"/>
        <v/>
      </c>
      <c r="R202" s="59"/>
      <c r="S202" s="57"/>
      <c r="T202" s="57"/>
      <c r="U202" s="57"/>
      <c r="V202" s="57"/>
      <c r="W202" s="59" t="str">
        <f t="shared" si="97"/>
        <v/>
      </c>
      <c r="X202" s="49"/>
      <c r="Y202" s="50"/>
      <c r="Z202" s="50"/>
      <c r="AA202" s="50"/>
      <c r="AB202" s="50"/>
      <c r="AC202" s="51" t="str">
        <f t="shared" si="122"/>
        <v/>
      </c>
      <c r="AD202" s="59"/>
      <c r="AE202" s="50"/>
      <c r="AF202" s="50"/>
      <c r="AG202" s="50"/>
      <c r="AH202" s="50"/>
      <c r="AI202" s="99"/>
    </row>
    <row r="203" spans="1:35" x14ac:dyDescent="0.15">
      <c r="A203" s="82">
        <f>'Match Summary'!$B$19</f>
        <v>42211</v>
      </c>
      <c r="B203" s="64" t="str">
        <f>'Match Summary'!$C$19</f>
        <v>Cranston</v>
      </c>
      <c r="C203" s="59">
        <v>10</v>
      </c>
      <c r="D203" s="60"/>
      <c r="E203" s="49"/>
      <c r="F203" s="51"/>
      <c r="G203" s="117"/>
      <c r="H203" s="59"/>
      <c r="I203" s="59"/>
      <c r="J203" s="57"/>
      <c r="K203" s="57"/>
      <c r="L203" s="50"/>
      <c r="M203" s="50"/>
      <c r="N203" s="49" t="str">
        <f t="shared" si="115"/>
        <v/>
      </c>
      <c r="O203" s="50" t="str">
        <f t="shared" si="116"/>
        <v/>
      </c>
      <c r="P203" s="50" t="str">
        <f t="shared" si="117"/>
        <v/>
      </c>
      <c r="Q203" s="51" t="str">
        <f t="shared" si="118"/>
        <v/>
      </c>
      <c r="R203" s="59"/>
      <c r="S203" s="50"/>
      <c r="T203" s="50"/>
      <c r="U203" s="50"/>
      <c r="V203" s="50"/>
      <c r="W203" s="59" t="str">
        <f t="shared" si="97"/>
        <v/>
      </c>
      <c r="X203" s="49"/>
      <c r="Y203" s="50"/>
      <c r="Z203" s="50"/>
      <c r="AA203" s="50"/>
      <c r="AB203" s="50"/>
      <c r="AC203" s="51" t="str">
        <f t="shared" si="122"/>
        <v/>
      </c>
      <c r="AD203" s="59"/>
      <c r="AE203" s="50"/>
      <c r="AF203" s="50"/>
      <c r="AG203" s="50"/>
      <c r="AH203" s="50"/>
      <c r="AI203" s="99"/>
    </row>
    <row r="204" spans="1:35" x14ac:dyDescent="0.15">
      <c r="A204" s="82">
        <f>'Match Summary'!$B$19</f>
        <v>42211</v>
      </c>
      <c r="B204" s="64" t="str">
        <f>'Match Summary'!$C$19</f>
        <v>Cranston</v>
      </c>
      <c r="C204" s="56">
        <v>11</v>
      </c>
      <c r="D204" s="62"/>
      <c r="E204" s="52"/>
      <c r="F204" s="54"/>
      <c r="G204" s="107"/>
      <c r="H204" s="56"/>
      <c r="I204" s="56"/>
      <c r="J204" s="53"/>
      <c r="K204" s="53"/>
      <c r="L204" s="53"/>
      <c r="M204" s="53"/>
      <c r="N204" s="52" t="str">
        <f t="shared" si="115"/>
        <v/>
      </c>
      <c r="O204" s="53" t="str">
        <f t="shared" si="116"/>
        <v/>
      </c>
      <c r="P204" s="53" t="str">
        <f t="shared" si="117"/>
        <v/>
      </c>
      <c r="Q204" s="54" t="str">
        <f t="shared" si="118"/>
        <v/>
      </c>
      <c r="R204" s="56"/>
      <c r="S204" s="53"/>
      <c r="T204" s="53"/>
      <c r="U204" s="53"/>
      <c r="V204" s="53"/>
      <c r="W204" s="56" t="str">
        <f t="shared" si="97"/>
        <v/>
      </c>
      <c r="X204" s="52"/>
      <c r="Y204" s="53"/>
      <c r="Z204" s="53"/>
      <c r="AA204" s="53"/>
      <c r="AB204" s="53"/>
      <c r="AC204" s="54" t="str">
        <f t="shared" si="122"/>
        <v/>
      </c>
      <c r="AD204" s="56"/>
      <c r="AE204" s="53"/>
      <c r="AF204" s="53"/>
      <c r="AG204" s="53"/>
      <c r="AH204" s="53"/>
      <c r="AI204" s="100"/>
    </row>
    <row r="205" spans="1:35" ht="15" thickBot="1" x14ac:dyDescent="0.2">
      <c r="A205" s="83">
        <f>'Match Summary'!$B$19</f>
        <v>42211</v>
      </c>
      <c r="B205" s="84" t="str">
        <f>'Match Summary'!$C$19</f>
        <v>Cranston</v>
      </c>
      <c r="C205" s="85"/>
      <c r="D205" s="86" t="s">
        <v>174</v>
      </c>
      <c r="E205" s="85"/>
      <c r="F205" s="85"/>
      <c r="G205" s="115"/>
      <c r="H205" s="86"/>
      <c r="I205" s="85"/>
      <c r="J205" s="85"/>
      <c r="K205" s="85"/>
      <c r="L205" s="85"/>
      <c r="M205" s="85"/>
      <c r="N205" s="85" t="str">
        <f t="shared" si="115"/>
        <v/>
      </c>
      <c r="O205" s="85" t="str">
        <f t="shared" si="116"/>
        <v/>
      </c>
      <c r="P205" s="87" t="str">
        <f t="shared" si="117"/>
        <v/>
      </c>
      <c r="Q205" s="88" t="str">
        <f t="shared" si="118"/>
        <v/>
      </c>
      <c r="R205" s="86"/>
      <c r="S205" s="91"/>
      <c r="T205" s="86"/>
      <c r="U205" s="86"/>
      <c r="V205" s="86"/>
      <c r="W205" s="86" t="str">
        <f t="shared" si="97"/>
        <v/>
      </c>
      <c r="X205" s="85"/>
      <c r="Y205" s="85"/>
      <c r="Z205" s="85"/>
      <c r="AA205" s="85"/>
      <c r="AB205" s="85"/>
      <c r="AC205" s="85" t="s">
        <v>259</v>
      </c>
      <c r="AD205" s="92"/>
      <c r="AE205" s="85"/>
      <c r="AF205" s="85"/>
      <c r="AG205" s="85"/>
      <c r="AH205" s="85"/>
      <c r="AI205" s="101"/>
    </row>
    <row r="206" spans="1:35" x14ac:dyDescent="0.15">
      <c r="A206" s="75">
        <f>'Match Summary'!$B$20</f>
        <v>42218</v>
      </c>
      <c r="B206" s="76" t="str">
        <f>'Match Summary'!$C$20</f>
        <v>Hatfield_Heath</v>
      </c>
      <c r="C206" s="77">
        <v>1</v>
      </c>
      <c r="D206" s="97" t="s">
        <v>156</v>
      </c>
      <c r="E206" s="79"/>
      <c r="F206" s="80"/>
      <c r="G206" s="116" t="s">
        <v>199</v>
      </c>
      <c r="H206" s="77">
        <v>17</v>
      </c>
      <c r="I206" s="77" t="s">
        <v>202</v>
      </c>
      <c r="J206" s="81">
        <v>12</v>
      </c>
      <c r="K206" s="81">
        <v>9</v>
      </c>
      <c r="L206" s="81">
        <v>4</v>
      </c>
      <c r="M206" s="81"/>
      <c r="N206" s="79" t="str">
        <f t="shared" si="115"/>
        <v/>
      </c>
      <c r="O206" s="81" t="str">
        <f t="shared" si="116"/>
        <v/>
      </c>
      <c r="P206" s="81" t="str">
        <f t="shared" si="117"/>
        <v/>
      </c>
      <c r="Q206" s="80" t="str">
        <f t="shared" si="118"/>
        <v/>
      </c>
      <c r="R206" s="77"/>
      <c r="S206" s="81"/>
      <c r="T206" s="81"/>
      <c r="U206" s="81"/>
      <c r="V206" s="81"/>
      <c r="W206" s="77" t="str">
        <f t="shared" ref="W206:W265" si="123">IF(R206="","",SUM(X206:AB206))</f>
        <v/>
      </c>
      <c r="X206" s="79"/>
      <c r="Y206" s="81"/>
      <c r="Z206" s="81"/>
      <c r="AA206" s="81"/>
      <c r="AB206" s="81"/>
      <c r="AC206" s="80" t="str">
        <f t="shared" ref="AC206:AC216" si="124">IF(AND(ISNUMBER(W206),W206&gt;=5),1,"")</f>
        <v/>
      </c>
      <c r="AD206" s="77"/>
      <c r="AE206" s="81"/>
      <c r="AF206" s="81"/>
      <c r="AG206" s="81"/>
      <c r="AH206" s="81"/>
      <c r="AI206" s="98" t="str">
        <f>IF(SUM(AE206:AH206)=0,"",SUM(AE206:AH206))</f>
        <v/>
      </c>
    </row>
    <row r="207" spans="1:35" x14ac:dyDescent="0.15">
      <c r="A207" s="82">
        <f>'Match Summary'!$B$20</f>
        <v>42218</v>
      </c>
      <c r="B207" s="64" t="str">
        <f>'Match Summary'!$C$20</f>
        <v>Hatfield_Heath</v>
      </c>
      <c r="C207" s="59">
        <v>2</v>
      </c>
      <c r="D207" s="60" t="s">
        <v>160</v>
      </c>
      <c r="E207" s="49"/>
      <c r="F207" s="51"/>
      <c r="G207" s="117" t="s">
        <v>199</v>
      </c>
      <c r="H207" s="59">
        <v>53</v>
      </c>
      <c r="I207" s="59" t="s">
        <v>202</v>
      </c>
      <c r="J207" s="57">
        <v>75</v>
      </c>
      <c r="K207" s="57">
        <v>80</v>
      </c>
      <c r="L207" s="57">
        <v>11</v>
      </c>
      <c r="M207" s="50"/>
      <c r="N207" s="49" t="str">
        <f t="shared" si="115"/>
        <v/>
      </c>
      <c r="O207" s="50" t="str">
        <f t="shared" si="116"/>
        <v/>
      </c>
      <c r="P207" s="50">
        <f t="shared" si="117"/>
        <v>1</v>
      </c>
      <c r="Q207" s="51" t="str">
        <f t="shared" si="118"/>
        <v/>
      </c>
      <c r="R207" s="59"/>
      <c r="S207" s="50"/>
      <c r="T207" s="50"/>
      <c r="U207" s="50"/>
      <c r="V207" s="50"/>
      <c r="W207" s="59" t="str">
        <f t="shared" si="123"/>
        <v/>
      </c>
      <c r="X207" s="49"/>
      <c r="Y207" s="50"/>
      <c r="Z207" s="50"/>
      <c r="AA207" s="50"/>
      <c r="AB207" s="50"/>
      <c r="AC207" s="51" t="str">
        <f t="shared" si="124"/>
        <v/>
      </c>
      <c r="AD207" s="59"/>
      <c r="AE207" s="50">
        <v>1</v>
      </c>
      <c r="AF207" s="50"/>
      <c r="AG207" s="50"/>
      <c r="AH207" s="50"/>
      <c r="AI207" s="99">
        <f t="shared" ref="AI207:AI215" si="125">IF(SUM(AE207:AH207)=0,"",SUM(AE207:AH207))</f>
        <v>1</v>
      </c>
    </row>
    <row r="208" spans="1:35" x14ac:dyDescent="0.15">
      <c r="A208" s="82">
        <f>'Match Summary'!$B$20</f>
        <v>42218</v>
      </c>
      <c r="B208" s="64" t="str">
        <f>'Match Summary'!$C$20</f>
        <v>Hatfield_Heath</v>
      </c>
      <c r="C208" s="59">
        <v>3</v>
      </c>
      <c r="D208" s="61" t="s">
        <v>47</v>
      </c>
      <c r="E208" s="49" t="s">
        <v>195</v>
      </c>
      <c r="F208" s="51"/>
      <c r="G208" s="117" t="s">
        <v>199</v>
      </c>
      <c r="H208" s="59">
        <v>8</v>
      </c>
      <c r="I208" s="59" t="s">
        <v>202</v>
      </c>
      <c r="J208" s="57">
        <v>16</v>
      </c>
      <c r="K208" s="57">
        <v>20</v>
      </c>
      <c r="L208" s="57"/>
      <c r="M208" s="50"/>
      <c r="N208" s="49" t="str">
        <f t="shared" si="115"/>
        <v/>
      </c>
      <c r="O208" s="50" t="str">
        <f t="shared" si="116"/>
        <v/>
      </c>
      <c r="P208" s="50" t="str">
        <f t="shared" si="117"/>
        <v/>
      </c>
      <c r="Q208" s="51" t="str">
        <f t="shared" si="118"/>
        <v/>
      </c>
      <c r="R208" s="59">
        <v>9</v>
      </c>
      <c r="S208" s="50">
        <v>2</v>
      </c>
      <c r="T208" s="50">
        <v>1</v>
      </c>
      <c r="U208" s="57">
        <v>0</v>
      </c>
      <c r="V208" s="57">
        <v>41</v>
      </c>
      <c r="W208" s="59">
        <f t="shared" si="123"/>
        <v>0</v>
      </c>
      <c r="X208" s="49"/>
      <c r="Y208" s="50"/>
      <c r="Z208" s="57"/>
      <c r="AA208" s="50"/>
      <c r="AB208" s="50"/>
      <c r="AC208" s="51" t="str">
        <f t="shared" si="124"/>
        <v/>
      </c>
      <c r="AD208" s="59"/>
      <c r="AE208" s="50">
        <v>1</v>
      </c>
      <c r="AF208" s="50"/>
      <c r="AG208" s="50"/>
      <c r="AH208" s="50"/>
      <c r="AI208" s="99">
        <f t="shared" si="125"/>
        <v>1</v>
      </c>
    </row>
    <row r="209" spans="1:35" x14ac:dyDescent="0.15">
      <c r="A209" s="82">
        <f>'Match Summary'!$B$20</f>
        <v>42218</v>
      </c>
      <c r="B209" s="64" t="str">
        <f>'Match Summary'!$C$20</f>
        <v>Hatfield_Heath</v>
      </c>
      <c r="C209" s="59">
        <v>4</v>
      </c>
      <c r="D209" s="60" t="s">
        <v>50</v>
      </c>
      <c r="E209" s="49"/>
      <c r="F209" s="51"/>
      <c r="G209" s="117" t="s">
        <v>199</v>
      </c>
      <c r="H209" s="59">
        <v>4</v>
      </c>
      <c r="I209" s="59" t="s">
        <v>232</v>
      </c>
      <c r="J209" s="57">
        <v>8</v>
      </c>
      <c r="K209" s="57">
        <v>7</v>
      </c>
      <c r="L209" s="57">
        <v>1</v>
      </c>
      <c r="M209" s="50"/>
      <c r="N209" s="49" t="str">
        <f t="shared" si="115"/>
        <v/>
      </c>
      <c r="O209" s="50" t="str">
        <f t="shared" si="116"/>
        <v/>
      </c>
      <c r="P209" s="50" t="str">
        <f t="shared" si="117"/>
        <v/>
      </c>
      <c r="Q209" s="51" t="str">
        <f t="shared" si="118"/>
        <v/>
      </c>
      <c r="R209" s="59">
        <v>2</v>
      </c>
      <c r="S209" s="50">
        <v>0</v>
      </c>
      <c r="T209" s="50">
        <v>0</v>
      </c>
      <c r="U209" s="57">
        <v>0</v>
      </c>
      <c r="V209" s="57">
        <v>27</v>
      </c>
      <c r="W209" s="59">
        <f t="shared" si="123"/>
        <v>0</v>
      </c>
      <c r="X209" s="49"/>
      <c r="Y209" s="50"/>
      <c r="Z209" s="50"/>
      <c r="AA209" s="50"/>
      <c r="AB209" s="50"/>
      <c r="AC209" s="51" t="str">
        <f t="shared" si="124"/>
        <v/>
      </c>
      <c r="AD209" s="59"/>
      <c r="AE209" s="50"/>
      <c r="AF209" s="50"/>
      <c r="AG209" s="50"/>
      <c r="AH209" s="50"/>
      <c r="AI209" s="99" t="str">
        <f t="shared" si="125"/>
        <v/>
      </c>
    </row>
    <row r="210" spans="1:35" x14ac:dyDescent="0.15">
      <c r="A210" s="82">
        <f>'Match Summary'!$B$20</f>
        <v>42218</v>
      </c>
      <c r="B210" s="64" t="str">
        <f>'Match Summary'!$C$20</f>
        <v>Hatfield_Heath</v>
      </c>
      <c r="C210" s="59">
        <v>5</v>
      </c>
      <c r="D210" s="60" t="s">
        <v>284</v>
      </c>
      <c r="E210" s="49"/>
      <c r="F210" s="51"/>
      <c r="G210" s="117" t="s">
        <v>199</v>
      </c>
      <c r="H210" s="59">
        <v>119</v>
      </c>
      <c r="I210" s="59" t="s">
        <v>203</v>
      </c>
      <c r="J210" s="57">
        <v>74</v>
      </c>
      <c r="K210" s="57">
        <v>97</v>
      </c>
      <c r="L210" s="57">
        <v>15</v>
      </c>
      <c r="M210" s="57">
        <v>3</v>
      </c>
      <c r="N210" s="49">
        <f t="shared" si="115"/>
        <v>1</v>
      </c>
      <c r="O210" s="50" t="str">
        <f t="shared" si="116"/>
        <v/>
      </c>
      <c r="P210" s="50" t="str">
        <f t="shared" si="117"/>
        <v/>
      </c>
      <c r="Q210" s="51">
        <f t="shared" si="118"/>
        <v>1</v>
      </c>
      <c r="R210" s="59">
        <v>11</v>
      </c>
      <c r="S210" s="50">
        <v>2</v>
      </c>
      <c r="T210" s="50">
        <v>0</v>
      </c>
      <c r="U210" s="57">
        <v>0</v>
      </c>
      <c r="V210" s="57">
        <v>36</v>
      </c>
      <c r="W210" s="59">
        <f t="shared" si="123"/>
        <v>1</v>
      </c>
      <c r="X210" s="49"/>
      <c r="Y210" s="50"/>
      <c r="Z210" s="57">
        <v>1</v>
      </c>
      <c r="AA210" s="50"/>
      <c r="AB210" s="50"/>
      <c r="AC210" s="51" t="str">
        <f t="shared" si="124"/>
        <v/>
      </c>
      <c r="AD210" s="59"/>
      <c r="AE210" s="50"/>
      <c r="AF210" s="50"/>
      <c r="AG210" s="50"/>
      <c r="AH210" s="50"/>
      <c r="AI210" s="99" t="str">
        <f t="shared" si="125"/>
        <v/>
      </c>
    </row>
    <row r="211" spans="1:35" x14ac:dyDescent="0.15">
      <c r="A211" s="82">
        <f>'Match Summary'!$B$20</f>
        <v>42218</v>
      </c>
      <c r="B211" s="64" t="str">
        <f>'Match Summary'!$C$20</f>
        <v>Hatfield_Heath</v>
      </c>
      <c r="C211" s="59">
        <v>6</v>
      </c>
      <c r="D211" s="61" t="s">
        <v>177</v>
      </c>
      <c r="E211" s="49"/>
      <c r="F211" s="51"/>
      <c r="G211" s="117" t="s">
        <v>199</v>
      </c>
      <c r="H211" s="59">
        <v>0</v>
      </c>
      <c r="I211" s="59" t="s">
        <v>202</v>
      </c>
      <c r="J211" s="57">
        <v>4</v>
      </c>
      <c r="K211" s="57">
        <v>7</v>
      </c>
      <c r="L211" s="57"/>
      <c r="M211" s="50"/>
      <c r="N211" s="49" t="str">
        <f t="shared" si="115"/>
        <v/>
      </c>
      <c r="O211" s="50">
        <f t="shared" si="116"/>
        <v>1</v>
      </c>
      <c r="P211" s="50" t="str">
        <f t="shared" si="117"/>
        <v/>
      </c>
      <c r="Q211" s="51" t="str">
        <f t="shared" si="118"/>
        <v/>
      </c>
      <c r="R211" s="59"/>
      <c r="S211" s="50"/>
      <c r="T211" s="50"/>
      <c r="U211" s="50"/>
      <c r="V211" s="50"/>
      <c r="W211" s="59" t="str">
        <f t="shared" si="123"/>
        <v/>
      </c>
      <c r="X211" s="49"/>
      <c r="Y211" s="50"/>
      <c r="Z211" s="50"/>
      <c r="AA211" s="50"/>
      <c r="AB211" s="50"/>
      <c r="AC211" s="51" t="str">
        <f t="shared" si="124"/>
        <v/>
      </c>
      <c r="AD211" s="59"/>
      <c r="AE211" s="50"/>
      <c r="AF211" s="50"/>
      <c r="AG211" s="50"/>
      <c r="AH211" s="50"/>
      <c r="AI211" s="99" t="str">
        <f t="shared" si="125"/>
        <v/>
      </c>
    </row>
    <row r="212" spans="1:35" x14ac:dyDescent="0.15">
      <c r="A212" s="82">
        <f>'Match Summary'!$B$20</f>
        <v>42218</v>
      </c>
      <c r="B212" s="64" t="str">
        <f>'Match Summary'!$C$20</f>
        <v>Hatfield_Heath</v>
      </c>
      <c r="C212" s="59">
        <v>7</v>
      </c>
      <c r="D212" s="60" t="s">
        <v>185</v>
      </c>
      <c r="E212" s="49"/>
      <c r="F212" s="51"/>
      <c r="G212" s="117" t="s">
        <v>199</v>
      </c>
      <c r="H212" s="59">
        <v>11</v>
      </c>
      <c r="I212" s="59" t="s">
        <v>203</v>
      </c>
      <c r="J212" s="57">
        <v>28</v>
      </c>
      <c r="K212" s="57">
        <v>46</v>
      </c>
      <c r="L212" s="57">
        <v>2</v>
      </c>
      <c r="M212" s="57"/>
      <c r="N212" s="49">
        <f t="shared" si="115"/>
        <v>1</v>
      </c>
      <c r="O212" s="50" t="str">
        <f t="shared" si="116"/>
        <v/>
      </c>
      <c r="P212" s="50" t="str">
        <f t="shared" si="117"/>
        <v/>
      </c>
      <c r="Q212" s="51" t="str">
        <f t="shared" si="118"/>
        <v/>
      </c>
      <c r="R212" s="59">
        <v>4</v>
      </c>
      <c r="S212" s="50">
        <v>0</v>
      </c>
      <c r="T212" s="50">
        <v>1</v>
      </c>
      <c r="U212" s="57">
        <v>0</v>
      </c>
      <c r="V212" s="57">
        <v>28</v>
      </c>
      <c r="W212" s="59">
        <f t="shared" si="123"/>
        <v>0</v>
      </c>
      <c r="X212" s="49"/>
      <c r="Y212" s="50"/>
      <c r="Z212" s="57"/>
      <c r="AA212" s="50"/>
      <c r="AB212" s="50"/>
      <c r="AC212" s="51" t="str">
        <f>IF(AND(ISNUMBER(W212),W212&gt;=5),1,"")</f>
        <v/>
      </c>
      <c r="AD212" s="59"/>
      <c r="AE212" s="50"/>
      <c r="AF212" s="50"/>
      <c r="AG212" s="50"/>
      <c r="AH212" s="50"/>
      <c r="AI212" s="99" t="str">
        <f t="shared" si="125"/>
        <v/>
      </c>
    </row>
    <row r="213" spans="1:35" x14ac:dyDescent="0.15">
      <c r="A213" s="82">
        <f>'Match Summary'!$B$20</f>
        <v>42218</v>
      </c>
      <c r="B213" s="64" t="str">
        <f>'Match Summary'!$C$20</f>
        <v>Hatfield_Heath</v>
      </c>
      <c r="C213" s="59">
        <v>8</v>
      </c>
      <c r="D213" s="61" t="s">
        <v>214</v>
      </c>
      <c r="E213" s="49"/>
      <c r="F213" s="51"/>
      <c r="G213" s="117" t="s">
        <v>200</v>
      </c>
      <c r="H213" s="59"/>
      <c r="I213" s="59" t="s">
        <v>204</v>
      </c>
      <c r="J213" s="57"/>
      <c r="K213" s="57"/>
      <c r="L213" s="50"/>
      <c r="M213" s="50"/>
      <c r="N213" s="49" t="str">
        <f t="shared" si="115"/>
        <v/>
      </c>
      <c r="O213" s="50" t="str">
        <f t="shared" si="116"/>
        <v/>
      </c>
      <c r="P213" s="50" t="str">
        <f t="shared" si="117"/>
        <v/>
      </c>
      <c r="Q213" s="51" t="str">
        <f t="shared" si="118"/>
        <v/>
      </c>
      <c r="R213" s="59"/>
      <c r="S213" s="50"/>
      <c r="T213" s="50"/>
      <c r="U213" s="57"/>
      <c r="V213" s="57"/>
      <c r="W213" s="59" t="str">
        <f t="shared" si="123"/>
        <v/>
      </c>
      <c r="X213" s="49"/>
      <c r="Y213" s="50"/>
      <c r="Z213" s="57"/>
      <c r="AA213" s="50"/>
      <c r="AB213" s="50"/>
      <c r="AC213" s="51" t="str">
        <f t="shared" si="124"/>
        <v/>
      </c>
      <c r="AD213" s="59"/>
      <c r="AE213" s="50"/>
      <c r="AF213" s="50"/>
      <c r="AG213" s="50"/>
      <c r="AH213" s="50"/>
      <c r="AI213" s="99" t="str">
        <f t="shared" si="125"/>
        <v/>
      </c>
    </row>
    <row r="214" spans="1:35" x14ac:dyDescent="0.15">
      <c r="A214" s="82">
        <f>'Match Summary'!$B$20</f>
        <v>42218</v>
      </c>
      <c r="B214" s="64" t="str">
        <f>'Match Summary'!$C$20</f>
        <v>Hatfield_Heath</v>
      </c>
      <c r="C214" s="59">
        <v>9</v>
      </c>
      <c r="D214" s="60" t="s">
        <v>45</v>
      </c>
      <c r="E214" s="49"/>
      <c r="F214" s="51"/>
      <c r="G214" s="117" t="s">
        <v>200</v>
      </c>
      <c r="H214" s="59"/>
      <c r="I214" s="59" t="s">
        <v>204</v>
      </c>
      <c r="J214" s="57"/>
      <c r="K214" s="57"/>
      <c r="L214" s="50"/>
      <c r="M214" s="50"/>
      <c r="N214" s="49" t="str">
        <f t="shared" si="115"/>
        <v/>
      </c>
      <c r="O214" s="50" t="str">
        <f t="shared" si="116"/>
        <v/>
      </c>
      <c r="P214" s="50" t="str">
        <f t="shared" si="117"/>
        <v/>
      </c>
      <c r="Q214" s="51" t="str">
        <f t="shared" si="118"/>
        <v/>
      </c>
      <c r="R214" s="59">
        <v>8</v>
      </c>
      <c r="S214" s="57">
        <v>0</v>
      </c>
      <c r="T214" s="57">
        <v>0</v>
      </c>
      <c r="U214" s="57">
        <v>0</v>
      </c>
      <c r="V214" s="57">
        <v>48</v>
      </c>
      <c r="W214" s="59">
        <f t="shared" si="123"/>
        <v>4</v>
      </c>
      <c r="X214" s="49">
        <v>1</v>
      </c>
      <c r="Y214" s="50"/>
      <c r="Z214" s="57">
        <v>3</v>
      </c>
      <c r="AA214" s="50"/>
      <c r="AB214" s="50"/>
      <c r="AC214" s="51" t="str">
        <f t="shared" si="124"/>
        <v/>
      </c>
      <c r="AD214" s="59"/>
      <c r="AE214" s="50"/>
      <c r="AF214" s="50"/>
      <c r="AG214" s="50"/>
      <c r="AH214" s="50"/>
      <c r="AI214" s="99" t="str">
        <f t="shared" si="125"/>
        <v/>
      </c>
    </row>
    <row r="215" spans="1:35" x14ac:dyDescent="0.15">
      <c r="A215" s="82">
        <f>'Match Summary'!$B$20</f>
        <v>42218</v>
      </c>
      <c r="B215" s="64" t="str">
        <f>'Match Summary'!$C$20</f>
        <v>Hatfield_Heath</v>
      </c>
      <c r="C215" s="59">
        <v>10</v>
      </c>
      <c r="D215" s="61" t="s">
        <v>44</v>
      </c>
      <c r="E215" s="49"/>
      <c r="F215" s="51"/>
      <c r="G215" s="117" t="s">
        <v>200</v>
      </c>
      <c r="H215" s="59"/>
      <c r="I215" s="59" t="s">
        <v>204</v>
      </c>
      <c r="J215" s="57"/>
      <c r="K215" s="57"/>
      <c r="L215" s="50"/>
      <c r="M215" s="50"/>
      <c r="N215" s="49" t="str">
        <f t="shared" si="115"/>
        <v/>
      </c>
      <c r="O215" s="50" t="str">
        <f t="shared" si="116"/>
        <v/>
      </c>
      <c r="P215" s="50" t="str">
        <f t="shared" si="117"/>
        <v/>
      </c>
      <c r="Q215" s="51" t="str">
        <f t="shared" si="118"/>
        <v/>
      </c>
      <c r="R215" s="59">
        <v>9</v>
      </c>
      <c r="S215" s="50">
        <v>0</v>
      </c>
      <c r="T215" s="50">
        <v>0</v>
      </c>
      <c r="U215" s="57">
        <v>0</v>
      </c>
      <c r="V215" s="57">
        <v>25</v>
      </c>
      <c r="W215" s="59">
        <f t="shared" si="123"/>
        <v>2</v>
      </c>
      <c r="X215" s="49">
        <v>2</v>
      </c>
      <c r="Y215" s="50"/>
      <c r="Z215" s="50"/>
      <c r="AA215" s="50"/>
      <c r="AB215" s="50"/>
      <c r="AC215" s="51" t="str">
        <f t="shared" si="124"/>
        <v/>
      </c>
      <c r="AD215" s="59"/>
      <c r="AE215" s="50"/>
      <c r="AF215" s="50"/>
      <c r="AG215" s="50"/>
      <c r="AH215" s="50"/>
      <c r="AI215" s="99" t="str">
        <f t="shared" si="125"/>
        <v/>
      </c>
    </row>
    <row r="216" spans="1:35" x14ac:dyDescent="0.15">
      <c r="A216" s="82">
        <f>'Match Summary'!$B$20</f>
        <v>42218</v>
      </c>
      <c r="B216" s="64" t="str">
        <f>'Match Summary'!$C$20</f>
        <v>Hatfield_Heath</v>
      </c>
      <c r="C216" s="56">
        <v>11</v>
      </c>
      <c r="D216" s="65" t="s">
        <v>49</v>
      </c>
      <c r="E216" s="52"/>
      <c r="F216" s="54" t="s">
        <v>195</v>
      </c>
      <c r="G216" s="107" t="s">
        <v>200</v>
      </c>
      <c r="H216" s="56"/>
      <c r="I216" s="56" t="s">
        <v>204</v>
      </c>
      <c r="J216" s="53"/>
      <c r="K216" s="53"/>
      <c r="L216" s="53"/>
      <c r="M216" s="53"/>
      <c r="N216" s="52" t="str">
        <f t="shared" si="115"/>
        <v/>
      </c>
      <c r="O216" s="53" t="str">
        <f t="shared" si="116"/>
        <v/>
      </c>
      <c r="P216" s="53" t="str">
        <f t="shared" si="117"/>
        <v/>
      </c>
      <c r="Q216" s="54" t="str">
        <f t="shared" si="118"/>
        <v/>
      </c>
      <c r="R216" s="56"/>
      <c r="S216" s="53"/>
      <c r="T216" s="53"/>
      <c r="U216" s="53"/>
      <c r="V216" s="53"/>
      <c r="W216" s="56" t="str">
        <f t="shared" si="123"/>
        <v/>
      </c>
      <c r="X216" s="52"/>
      <c r="Y216" s="53"/>
      <c r="Z216" s="53"/>
      <c r="AA216" s="53"/>
      <c r="AB216" s="53"/>
      <c r="AC216" s="54" t="str">
        <f t="shared" si="124"/>
        <v/>
      </c>
      <c r="AD216" s="56">
        <v>11</v>
      </c>
      <c r="AE216" s="53"/>
      <c r="AF216" s="53"/>
      <c r="AG216" s="53"/>
      <c r="AH216" s="53">
        <v>1</v>
      </c>
      <c r="AI216" s="100">
        <f>IF(SUM(AE216:AH216)=0,"",SUM(AE216:AH216))</f>
        <v>1</v>
      </c>
    </row>
    <row r="217" spans="1:35" ht="15" thickBot="1" x14ac:dyDescent="0.2">
      <c r="A217" s="83">
        <f>'Match Summary'!$B$20</f>
        <v>42218</v>
      </c>
      <c r="B217" s="84" t="str">
        <f>'Match Summary'!$C$20</f>
        <v>Hatfield_Heath</v>
      </c>
      <c r="C217" s="85"/>
      <c r="D217" s="86" t="s">
        <v>174</v>
      </c>
      <c r="E217" s="85"/>
      <c r="F217" s="85"/>
      <c r="G217" s="115"/>
      <c r="H217" s="86">
        <v>22</v>
      </c>
      <c r="I217" s="85"/>
      <c r="J217" s="85"/>
      <c r="K217" s="85"/>
      <c r="L217" s="85"/>
      <c r="M217" s="85"/>
      <c r="N217" s="85" t="str">
        <f t="shared" si="115"/>
        <v/>
      </c>
      <c r="O217" s="85" t="str">
        <f t="shared" si="116"/>
        <v/>
      </c>
      <c r="P217" s="87" t="str">
        <f t="shared" si="117"/>
        <v/>
      </c>
      <c r="Q217" s="88" t="str">
        <f t="shared" si="118"/>
        <v/>
      </c>
      <c r="R217" s="86">
        <f>SUBTOTAL(9,R206:R216)</f>
        <v>43</v>
      </c>
      <c r="S217" s="91">
        <f t="shared" ref="S217" si="126">SUBTOTAL(9,S206:S216)</f>
        <v>4</v>
      </c>
      <c r="T217" s="86">
        <f>SUBTOTAL(9,T206:T216)</f>
        <v>2</v>
      </c>
      <c r="U217" s="86">
        <f>SUBTOTAL(9,U206:U216)</f>
        <v>0</v>
      </c>
      <c r="V217" s="86">
        <f>SUBTOTAL(9,V206:V216)</f>
        <v>205</v>
      </c>
      <c r="W217" s="86">
        <f>SUBTOTAL(9,W206:W216)</f>
        <v>7</v>
      </c>
      <c r="X217" s="85"/>
      <c r="Y217" s="85"/>
      <c r="Z217" s="85"/>
      <c r="AA217" s="85"/>
      <c r="AB217" s="85"/>
      <c r="AC217" s="85" t="s">
        <v>259</v>
      </c>
      <c r="AD217" s="92">
        <v>14</v>
      </c>
      <c r="AE217" s="85"/>
      <c r="AF217" s="85"/>
      <c r="AG217" s="85"/>
      <c r="AH217" s="85"/>
      <c r="AI217" s="101"/>
    </row>
    <row r="218" spans="1:35" x14ac:dyDescent="0.15">
      <c r="A218" s="75">
        <f>'Match Summary'!$B$21</f>
        <v>42225</v>
      </c>
      <c r="B218" s="76" t="str">
        <f>'Match Summary'!$C$21</f>
        <v>Lt_Hallingbury</v>
      </c>
      <c r="C218" s="77">
        <v>1</v>
      </c>
      <c r="D218" s="78" t="s">
        <v>186</v>
      </c>
      <c r="E218" s="79"/>
      <c r="F218" s="80"/>
      <c r="G218" s="116" t="s">
        <v>199</v>
      </c>
      <c r="H218" s="77">
        <v>45</v>
      </c>
      <c r="I218" s="77" t="s">
        <v>201</v>
      </c>
      <c r="J218" s="81">
        <v>63</v>
      </c>
      <c r="K218" s="81">
        <v>87</v>
      </c>
      <c r="L218" s="81">
        <v>8</v>
      </c>
      <c r="M218" s="81"/>
      <c r="N218" s="79" t="str">
        <f t="shared" si="115"/>
        <v/>
      </c>
      <c r="O218" s="81" t="str">
        <f t="shared" si="116"/>
        <v/>
      </c>
      <c r="P218" s="81" t="str">
        <f t="shared" si="117"/>
        <v/>
      </c>
      <c r="Q218" s="80" t="str">
        <f t="shared" si="118"/>
        <v/>
      </c>
      <c r="R218" s="77">
        <v>6</v>
      </c>
      <c r="S218" s="81">
        <v>0</v>
      </c>
      <c r="T218" s="81">
        <v>0</v>
      </c>
      <c r="U218" s="81">
        <v>3</v>
      </c>
      <c r="V218" s="81">
        <v>33</v>
      </c>
      <c r="W218" s="77">
        <f t="shared" si="123"/>
        <v>0</v>
      </c>
      <c r="X218" s="79"/>
      <c r="Y218" s="81"/>
      <c r="Z218" s="81"/>
      <c r="AA218" s="81"/>
      <c r="AB218" s="81"/>
      <c r="AC218" s="80" t="str">
        <f t="shared" ref="AC218:AC228" si="127">IF(AND(ISNUMBER(W218),W218&gt;=5),1,"")</f>
        <v/>
      </c>
      <c r="AD218" s="77"/>
      <c r="AE218" s="81"/>
      <c r="AF218" s="81">
        <v>1</v>
      </c>
      <c r="AG218" s="81"/>
      <c r="AH218" s="81"/>
      <c r="AI218" s="98">
        <f>IF(SUM(AE218:AH218)=0,"",SUM(AE218:AH218))</f>
        <v>1</v>
      </c>
    </row>
    <row r="219" spans="1:35" x14ac:dyDescent="0.15">
      <c r="A219" s="82">
        <f>'Match Summary'!$B$21</f>
        <v>42225</v>
      </c>
      <c r="B219" s="64" t="str">
        <f>'Match Summary'!$C$21</f>
        <v>Lt_Hallingbury</v>
      </c>
      <c r="C219" s="59">
        <v>2</v>
      </c>
      <c r="D219" s="61" t="s">
        <v>160</v>
      </c>
      <c r="E219" s="49"/>
      <c r="F219" s="51"/>
      <c r="G219" s="117" t="s">
        <v>199</v>
      </c>
      <c r="H219" s="59">
        <v>24</v>
      </c>
      <c r="I219" s="59" t="s">
        <v>232</v>
      </c>
      <c r="J219" s="57">
        <v>32</v>
      </c>
      <c r="K219" s="57">
        <v>31</v>
      </c>
      <c r="L219" s="57">
        <v>5</v>
      </c>
      <c r="M219" s="50"/>
      <c r="N219" s="49" t="str">
        <f t="shared" si="115"/>
        <v/>
      </c>
      <c r="O219" s="50" t="str">
        <f t="shared" si="116"/>
        <v/>
      </c>
      <c r="P219" s="50" t="str">
        <f t="shared" si="117"/>
        <v/>
      </c>
      <c r="Q219" s="51" t="str">
        <f t="shared" si="118"/>
        <v/>
      </c>
      <c r="R219" s="59"/>
      <c r="S219" s="50"/>
      <c r="T219" s="50"/>
      <c r="U219" s="50"/>
      <c r="V219" s="50"/>
      <c r="W219" s="59" t="str">
        <f t="shared" si="123"/>
        <v/>
      </c>
      <c r="X219" s="49"/>
      <c r="Y219" s="50"/>
      <c r="Z219" s="50"/>
      <c r="AA219" s="50"/>
      <c r="AB219" s="50"/>
      <c r="AC219" s="51" t="str">
        <f t="shared" si="127"/>
        <v/>
      </c>
      <c r="AD219" s="59"/>
      <c r="AE219" s="50"/>
      <c r="AF219" s="50"/>
      <c r="AG219" s="50"/>
      <c r="AH219" s="50"/>
      <c r="AI219" s="99" t="str">
        <f t="shared" ref="AI219:AI227" si="128">IF(SUM(AE219:AH219)=0,"",SUM(AE219:AH219))</f>
        <v/>
      </c>
    </row>
    <row r="220" spans="1:35" x14ac:dyDescent="0.15">
      <c r="A220" s="82">
        <f>'Match Summary'!$B$21</f>
        <v>42225</v>
      </c>
      <c r="B220" s="64" t="str">
        <f>'Match Summary'!$C$21</f>
        <v>Lt_Hallingbury</v>
      </c>
      <c r="C220" s="59">
        <v>3</v>
      </c>
      <c r="D220" s="61" t="s">
        <v>48</v>
      </c>
      <c r="E220" s="49"/>
      <c r="F220" s="51"/>
      <c r="G220" s="117" t="s">
        <v>199</v>
      </c>
      <c r="H220" s="59">
        <v>27</v>
      </c>
      <c r="I220" s="59" t="s">
        <v>202</v>
      </c>
      <c r="J220" s="57">
        <v>27</v>
      </c>
      <c r="K220" s="57">
        <v>33</v>
      </c>
      <c r="L220" s="57">
        <v>5</v>
      </c>
      <c r="M220" s="50"/>
      <c r="N220" s="49" t="str">
        <f t="shared" si="115"/>
        <v/>
      </c>
      <c r="O220" s="50" t="str">
        <f t="shared" si="116"/>
        <v/>
      </c>
      <c r="P220" s="50" t="str">
        <f t="shared" si="117"/>
        <v/>
      </c>
      <c r="Q220" s="51" t="str">
        <f t="shared" si="118"/>
        <v/>
      </c>
      <c r="R220" s="59">
        <v>3</v>
      </c>
      <c r="S220" s="50">
        <v>0</v>
      </c>
      <c r="T220" s="50">
        <v>0</v>
      </c>
      <c r="U220" s="57">
        <v>0</v>
      </c>
      <c r="V220" s="57">
        <v>10</v>
      </c>
      <c r="W220" s="59">
        <f t="shared" si="123"/>
        <v>0</v>
      </c>
      <c r="X220" s="49"/>
      <c r="Y220" s="50"/>
      <c r="Z220" s="57"/>
      <c r="AA220" s="50"/>
      <c r="AB220" s="50"/>
      <c r="AC220" s="51" t="str">
        <f t="shared" si="127"/>
        <v/>
      </c>
      <c r="AD220" s="59"/>
      <c r="AE220" s="50"/>
      <c r="AF220" s="50"/>
      <c r="AG220" s="50"/>
      <c r="AH220" s="50"/>
      <c r="AI220" s="99" t="str">
        <f t="shared" si="128"/>
        <v/>
      </c>
    </row>
    <row r="221" spans="1:35" x14ac:dyDescent="0.15">
      <c r="A221" s="82">
        <f>'Match Summary'!$B$21</f>
        <v>42225</v>
      </c>
      <c r="B221" s="64" t="str">
        <f>'Match Summary'!$C$21</f>
        <v>Lt_Hallingbury</v>
      </c>
      <c r="C221" s="59">
        <v>4</v>
      </c>
      <c r="D221" s="61" t="s">
        <v>47</v>
      </c>
      <c r="E221" s="49" t="s">
        <v>195</v>
      </c>
      <c r="F221" s="51"/>
      <c r="G221" s="117" t="s">
        <v>199</v>
      </c>
      <c r="H221" s="59">
        <v>42</v>
      </c>
      <c r="I221" s="59" t="s">
        <v>201</v>
      </c>
      <c r="J221" s="57">
        <v>45</v>
      </c>
      <c r="K221" s="57">
        <v>51</v>
      </c>
      <c r="L221" s="57">
        <v>4</v>
      </c>
      <c r="M221" s="57">
        <v>1</v>
      </c>
      <c r="N221" s="49" t="str">
        <f t="shared" si="115"/>
        <v/>
      </c>
      <c r="O221" s="50" t="str">
        <f t="shared" si="116"/>
        <v/>
      </c>
      <c r="P221" s="50" t="str">
        <f t="shared" si="117"/>
        <v/>
      </c>
      <c r="Q221" s="51" t="str">
        <f t="shared" si="118"/>
        <v/>
      </c>
      <c r="R221" s="59">
        <v>7</v>
      </c>
      <c r="S221" s="50">
        <v>1</v>
      </c>
      <c r="T221" s="50">
        <v>0</v>
      </c>
      <c r="U221" s="57">
        <v>0</v>
      </c>
      <c r="V221" s="57">
        <v>16</v>
      </c>
      <c r="W221" s="59">
        <f t="shared" si="123"/>
        <v>0</v>
      </c>
      <c r="X221" s="49"/>
      <c r="Y221" s="50"/>
      <c r="Z221" s="50"/>
      <c r="AA221" s="50"/>
      <c r="AB221" s="50"/>
      <c r="AC221" s="51" t="str">
        <f t="shared" si="127"/>
        <v/>
      </c>
      <c r="AD221" s="59"/>
      <c r="AE221" s="50">
        <v>1</v>
      </c>
      <c r="AF221" s="50"/>
      <c r="AG221" s="50"/>
      <c r="AH221" s="50"/>
      <c r="AI221" s="99">
        <f t="shared" si="128"/>
        <v>1</v>
      </c>
    </row>
    <row r="222" spans="1:35" x14ac:dyDescent="0.15">
      <c r="A222" s="82">
        <f>'Match Summary'!$B$21</f>
        <v>42225</v>
      </c>
      <c r="B222" s="64" t="str">
        <f>'Match Summary'!$C$21</f>
        <v>Lt_Hallingbury</v>
      </c>
      <c r="C222" s="59">
        <v>5</v>
      </c>
      <c r="D222" s="60" t="s">
        <v>268</v>
      </c>
      <c r="E222" s="49"/>
      <c r="F222" s="51" t="s">
        <v>195</v>
      </c>
      <c r="G222" s="117" t="s">
        <v>199</v>
      </c>
      <c r="H222" s="59">
        <v>1</v>
      </c>
      <c r="I222" s="59" t="s">
        <v>201</v>
      </c>
      <c r="J222" s="57">
        <v>8</v>
      </c>
      <c r="K222" s="57">
        <v>7</v>
      </c>
      <c r="L222" s="57"/>
      <c r="M222" s="50"/>
      <c r="N222" s="49" t="str">
        <f t="shared" si="115"/>
        <v/>
      </c>
      <c r="O222" s="50" t="str">
        <f t="shared" si="116"/>
        <v/>
      </c>
      <c r="P222" s="50" t="str">
        <f t="shared" si="117"/>
        <v/>
      </c>
      <c r="Q222" s="51" t="str">
        <f t="shared" si="118"/>
        <v/>
      </c>
      <c r="R222" s="59"/>
      <c r="S222" s="50"/>
      <c r="T222" s="50"/>
      <c r="U222" s="57"/>
      <c r="V222" s="57"/>
      <c r="W222" s="59" t="str">
        <f t="shared" si="123"/>
        <v/>
      </c>
      <c r="X222" s="49"/>
      <c r="Y222" s="50"/>
      <c r="Z222" s="57"/>
      <c r="AA222" s="50"/>
      <c r="AB222" s="50"/>
      <c r="AC222" s="51" t="str">
        <f t="shared" si="127"/>
        <v/>
      </c>
      <c r="AD222" s="59">
        <v>6</v>
      </c>
      <c r="AE222" s="50"/>
      <c r="AF222" s="50"/>
      <c r="AG222" s="50"/>
      <c r="AH222" s="50"/>
      <c r="AI222" s="99" t="str">
        <f t="shared" si="128"/>
        <v/>
      </c>
    </row>
    <row r="223" spans="1:35" x14ac:dyDescent="0.15">
      <c r="A223" s="82">
        <f>'Match Summary'!$B$21</f>
        <v>42225</v>
      </c>
      <c r="B223" s="64" t="str">
        <f>'Match Summary'!$C$21</f>
        <v>Lt_Hallingbury</v>
      </c>
      <c r="C223" s="59">
        <v>6</v>
      </c>
      <c r="D223" s="61" t="s">
        <v>287</v>
      </c>
      <c r="E223" s="49"/>
      <c r="F223" s="51"/>
      <c r="G223" s="117" t="s">
        <v>199</v>
      </c>
      <c r="H223" s="59">
        <v>37</v>
      </c>
      <c r="I223" s="59" t="s">
        <v>203</v>
      </c>
      <c r="J223" s="57">
        <v>23</v>
      </c>
      <c r="K223" s="57">
        <v>34</v>
      </c>
      <c r="L223" s="57">
        <v>7</v>
      </c>
      <c r="M223" s="50"/>
      <c r="N223" s="49">
        <f t="shared" si="115"/>
        <v>1</v>
      </c>
      <c r="O223" s="50" t="str">
        <f t="shared" si="116"/>
        <v/>
      </c>
      <c r="P223" s="50" t="str">
        <f t="shared" si="117"/>
        <v/>
      </c>
      <c r="Q223" s="51" t="str">
        <f t="shared" si="118"/>
        <v/>
      </c>
      <c r="R223" s="59">
        <v>4</v>
      </c>
      <c r="S223" s="57">
        <v>0</v>
      </c>
      <c r="T223" s="57">
        <v>0</v>
      </c>
      <c r="U223" s="57">
        <v>0</v>
      </c>
      <c r="V223" s="57">
        <v>9</v>
      </c>
      <c r="W223" s="59">
        <f t="shared" si="123"/>
        <v>1</v>
      </c>
      <c r="X223" s="49">
        <v>1</v>
      </c>
      <c r="Y223" s="50"/>
      <c r="Z223" s="50"/>
      <c r="AA223" s="50"/>
      <c r="AB223" s="50"/>
      <c r="AC223" s="51" t="str">
        <f t="shared" si="127"/>
        <v/>
      </c>
      <c r="AD223" s="59"/>
      <c r="AE223" s="50"/>
      <c r="AF223" s="50"/>
      <c r="AG223" s="50"/>
      <c r="AH223" s="50"/>
      <c r="AI223" s="99" t="str">
        <f t="shared" si="128"/>
        <v/>
      </c>
    </row>
    <row r="224" spans="1:35" x14ac:dyDescent="0.15">
      <c r="A224" s="82">
        <f>'Match Summary'!$B$21</f>
        <v>42225</v>
      </c>
      <c r="B224" s="64" t="str">
        <f>'Match Summary'!$C$21</f>
        <v>Lt_Hallingbury</v>
      </c>
      <c r="C224" s="59">
        <v>7</v>
      </c>
      <c r="D224" s="60" t="s">
        <v>100</v>
      </c>
      <c r="E224" s="49"/>
      <c r="F224" s="51"/>
      <c r="G224" s="117" t="s">
        <v>199</v>
      </c>
      <c r="H224" s="59">
        <v>18</v>
      </c>
      <c r="I224" s="59" t="s">
        <v>203</v>
      </c>
      <c r="J224" s="57">
        <v>13</v>
      </c>
      <c r="K224" s="57">
        <v>12</v>
      </c>
      <c r="L224" s="57">
        <v>3</v>
      </c>
      <c r="M224" s="57"/>
      <c r="N224" s="49">
        <f t="shared" si="115"/>
        <v>1</v>
      </c>
      <c r="O224" s="50" t="str">
        <f t="shared" si="116"/>
        <v/>
      </c>
      <c r="P224" s="50" t="str">
        <f t="shared" si="117"/>
        <v/>
      </c>
      <c r="Q224" s="51" t="str">
        <f t="shared" si="118"/>
        <v/>
      </c>
      <c r="R224" s="59">
        <v>5</v>
      </c>
      <c r="S224" s="50">
        <v>0</v>
      </c>
      <c r="T224" s="50">
        <v>0</v>
      </c>
      <c r="U224" s="57">
        <v>0</v>
      </c>
      <c r="V224" s="57">
        <v>11</v>
      </c>
      <c r="W224" s="59">
        <f t="shared" si="123"/>
        <v>0</v>
      </c>
      <c r="X224" s="49"/>
      <c r="Y224" s="50"/>
      <c r="Z224" s="57"/>
      <c r="AA224" s="50"/>
      <c r="AB224" s="50"/>
      <c r="AC224" s="51" t="str">
        <f>IF(AND(ISNUMBER(W224),W224&gt;=5),1,"")</f>
        <v/>
      </c>
      <c r="AD224" s="59"/>
      <c r="AE224" s="50"/>
      <c r="AF224" s="50"/>
      <c r="AG224" s="50"/>
      <c r="AH224" s="50"/>
      <c r="AI224" s="99" t="str">
        <f t="shared" si="128"/>
        <v/>
      </c>
    </row>
    <row r="225" spans="1:35" x14ac:dyDescent="0.15">
      <c r="A225" s="82">
        <f>'Match Summary'!$B$21</f>
        <v>42225</v>
      </c>
      <c r="B225" s="64" t="str">
        <f>'Match Summary'!$C$21</f>
        <v>Lt_Hallingbury</v>
      </c>
      <c r="C225" s="59">
        <v>8</v>
      </c>
      <c r="D225" s="60" t="s">
        <v>185</v>
      </c>
      <c r="E225" s="49"/>
      <c r="F225" s="51"/>
      <c r="G225" s="117" t="s">
        <v>200</v>
      </c>
      <c r="H225" s="59"/>
      <c r="I225" s="59" t="s">
        <v>204</v>
      </c>
      <c r="J225" s="57"/>
      <c r="K225" s="57"/>
      <c r="L225" s="50"/>
      <c r="M225" s="50"/>
      <c r="N225" s="49" t="str">
        <f t="shared" si="115"/>
        <v/>
      </c>
      <c r="O225" s="50" t="str">
        <f t="shared" si="116"/>
        <v/>
      </c>
      <c r="P225" s="50" t="str">
        <f t="shared" si="117"/>
        <v/>
      </c>
      <c r="Q225" s="51" t="str">
        <f t="shared" si="118"/>
        <v/>
      </c>
      <c r="R225" s="59"/>
      <c r="S225" s="50"/>
      <c r="T225" s="50"/>
      <c r="U225" s="57"/>
      <c r="V225" s="57"/>
      <c r="W225" s="59" t="str">
        <f t="shared" si="123"/>
        <v/>
      </c>
      <c r="X225" s="49"/>
      <c r="Y225" s="50"/>
      <c r="Z225" s="57"/>
      <c r="AA225" s="50"/>
      <c r="AB225" s="50"/>
      <c r="AC225" s="51" t="str">
        <f t="shared" si="127"/>
        <v/>
      </c>
      <c r="AD225" s="59"/>
      <c r="AE225" s="50"/>
      <c r="AF225" s="50"/>
      <c r="AG225" s="50"/>
      <c r="AH225" s="50"/>
      <c r="AI225" s="99" t="str">
        <f t="shared" si="128"/>
        <v/>
      </c>
    </row>
    <row r="226" spans="1:35" x14ac:dyDescent="0.15">
      <c r="A226" s="82">
        <f>'Match Summary'!$B$21</f>
        <v>42225</v>
      </c>
      <c r="B226" s="64" t="str">
        <f>'Match Summary'!$C$21</f>
        <v>Lt_Hallingbury</v>
      </c>
      <c r="C226" s="59">
        <v>9</v>
      </c>
      <c r="D226" s="60" t="s">
        <v>117</v>
      </c>
      <c r="E226" s="49"/>
      <c r="F226" s="51"/>
      <c r="G226" s="117" t="s">
        <v>200</v>
      </c>
      <c r="H226" s="59"/>
      <c r="I226" s="59" t="s">
        <v>204</v>
      </c>
      <c r="J226" s="57"/>
      <c r="K226" s="57"/>
      <c r="L226" s="50"/>
      <c r="M226" s="50"/>
      <c r="N226" s="49" t="str">
        <f t="shared" si="115"/>
        <v/>
      </c>
      <c r="O226" s="50" t="str">
        <f t="shared" si="116"/>
        <v/>
      </c>
      <c r="P226" s="50" t="str">
        <f t="shared" si="117"/>
        <v/>
      </c>
      <c r="Q226" s="51" t="str">
        <f t="shared" si="118"/>
        <v/>
      </c>
      <c r="R226" s="59"/>
      <c r="S226" s="57"/>
      <c r="T226" s="57"/>
      <c r="U226" s="57"/>
      <c r="V226" s="57"/>
      <c r="W226" s="59" t="str">
        <f t="shared" si="123"/>
        <v/>
      </c>
      <c r="X226" s="49"/>
      <c r="Y226" s="50"/>
      <c r="Z226" s="50"/>
      <c r="AA226" s="50"/>
      <c r="AB226" s="50"/>
      <c r="AC226" s="51" t="str">
        <f t="shared" si="127"/>
        <v/>
      </c>
      <c r="AD226" s="59"/>
      <c r="AE226" s="50"/>
      <c r="AF226" s="50"/>
      <c r="AG226" s="50"/>
      <c r="AH226" s="50"/>
      <c r="AI226" s="99" t="str">
        <f t="shared" si="128"/>
        <v/>
      </c>
    </row>
    <row r="227" spans="1:35" x14ac:dyDescent="0.15">
      <c r="A227" s="82">
        <f>'Match Summary'!$B$21</f>
        <v>42225</v>
      </c>
      <c r="B227" s="64" t="str">
        <f>'Match Summary'!$C$21</f>
        <v>Lt_Hallingbury</v>
      </c>
      <c r="C227" s="59">
        <v>10</v>
      </c>
      <c r="D227" s="60" t="s">
        <v>45</v>
      </c>
      <c r="E227" s="49"/>
      <c r="F227" s="51"/>
      <c r="G227" s="117" t="s">
        <v>200</v>
      </c>
      <c r="H227" s="59"/>
      <c r="I227" s="59" t="s">
        <v>204</v>
      </c>
      <c r="J227" s="57"/>
      <c r="K227" s="57"/>
      <c r="L227" s="50"/>
      <c r="M227" s="50"/>
      <c r="N227" s="49" t="str">
        <f t="shared" si="115"/>
        <v/>
      </c>
      <c r="O227" s="50" t="str">
        <f t="shared" si="116"/>
        <v/>
      </c>
      <c r="P227" s="50" t="str">
        <f t="shared" si="117"/>
        <v/>
      </c>
      <c r="Q227" s="51" t="str">
        <f t="shared" si="118"/>
        <v/>
      </c>
      <c r="R227" s="59">
        <v>7</v>
      </c>
      <c r="S227" s="50">
        <v>0</v>
      </c>
      <c r="T227" s="50">
        <v>0</v>
      </c>
      <c r="U227" s="57">
        <v>0</v>
      </c>
      <c r="V227" s="57">
        <v>20</v>
      </c>
      <c r="W227" s="59">
        <f t="shared" si="123"/>
        <v>1</v>
      </c>
      <c r="X227" s="49"/>
      <c r="Y227" s="50"/>
      <c r="Z227" s="50">
        <v>1</v>
      </c>
      <c r="AA227" s="50"/>
      <c r="AB227" s="50"/>
      <c r="AC227" s="51" t="str">
        <f t="shared" si="127"/>
        <v/>
      </c>
      <c r="AD227" s="59"/>
      <c r="AE227" s="50"/>
      <c r="AF227" s="50"/>
      <c r="AG227" s="50"/>
      <c r="AH227" s="50"/>
      <c r="AI227" s="99" t="str">
        <f t="shared" si="128"/>
        <v/>
      </c>
    </row>
    <row r="228" spans="1:35" x14ac:dyDescent="0.15">
      <c r="A228" s="82">
        <f>'Match Summary'!$B$21</f>
        <v>42225</v>
      </c>
      <c r="B228" s="64" t="str">
        <f>'Match Summary'!$C$21</f>
        <v>Lt_Hallingbury</v>
      </c>
      <c r="C228" s="56">
        <v>11</v>
      </c>
      <c r="D228" s="62" t="s">
        <v>44</v>
      </c>
      <c r="E228" s="52"/>
      <c r="F228" s="54"/>
      <c r="G228" s="107" t="s">
        <v>200</v>
      </c>
      <c r="H228" s="56"/>
      <c r="I228" s="56" t="s">
        <v>204</v>
      </c>
      <c r="J228" s="53"/>
      <c r="K228" s="53"/>
      <c r="L228" s="53"/>
      <c r="M228" s="53"/>
      <c r="N228" s="52" t="str">
        <f t="shared" si="115"/>
        <v/>
      </c>
      <c r="O228" s="53" t="str">
        <f t="shared" si="116"/>
        <v/>
      </c>
      <c r="P228" s="53" t="str">
        <f t="shared" si="117"/>
        <v/>
      </c>
      <c r="Q228" s="54" t="str">
        <f t="shared" si="118"/>
        <v/>
      </c>
      <c r="R228" s="56">
        <v>7</v>
      </c>
      <c r="S228" s="53">
        <v>1</v>
      </c>
      <c r="T228" s="53">
        <v>1</v>
      </c>
      <c r="U228" s="53">
        <v>0</v>
      </c>
      <c r="V228" s="53">
        <v>26</v>
      </c>
      <c r="W228" s="56">
        <f t="shared" si="123"/>
        <v>0</v>
      </c>
      <c r="X228" s="52"/>
      <c r="Y228" s="53"/>
      <c r="Z228" s="53"/>
      <c r="AA228" s="53"/>
      <c r="AB228" s="53"/>
      <c r="AC228" s="54" t="str">
        <f t="shared" si="127"/>
        <v/>
      </c>
      <c r="AD228" s="56"/>
      <c r="AE228" s="53"/>
      <c r="AF228" s="53"/>
      <c r="AG228" s="53"/>
      <c r="AH228" s="53"/>
      <c r="AI228" s="100" t="str">
        <f>IF(SUM(AE228:AH228)=0,"",SUM(AE228:AH228))</f>
        <v/>
      </c>
    </row>
    <row r="229" spans="1:35" ht="15" thickBot="1" x14ac:dyDescent="0.2">
      <c r="A229" s="83">
        <f>'Match Summary'!$B$21</f>
        <v>42225</v>
      </c>
      <c r="B229" s="84" t="str">
        <f>'Match Summary'!$C$21</f>
        <v>Lt_Hallingbury</v>
      </c>
      <c r="C229" s="85"/>
      <c r="D229" s="86" t="s">
        <v>174</v>
      </c>
      <c r="E229" s="85"/>
      <c r="F229" s="85"/>
      <c r="G229" s="115"/>
      <c r="H229" s="86">
        <v>25</v>
      </c>
      <c r="I229" s="85"/>
      <c r="J229" s="85"/>
      <c r="K229" s="85"/>
      <c r="L229" s="85"/>
      <c r="M229" s="85"/>
      <c r="N229" s="85" t="str">
        <f t="shared" si="115"/>
        <v/>
      </c>
      <c r="O229" s="85" t="str">
        <f t="shared" si="116"/>
        <v/>
      </c>
      <c r="P229" s="87" t="str">
        <f t="shared" si="117"/>
        <v/>
      </c>
      <c r="Q229" s="88" t="str">
        <f t="shared" si="118"/>
        <v/>
      </c>
      <c r="R229" s="86">
        <f>SUBTOTAL(9,R218:R228)</f>
        <v>39</v>
      </c>
      <c r="S229" s="91">
        <f t="shared" ref="S229" si="129">SUBTOTAL(9,S218:S228)</f>
        <v>2</v>
      </c>
      <c r="T229" s="86">
        <f>SUBTOTAL(9,T218:T228)</f>
        <v>1</v>
      </c>
      <c r="U229" s="86">
        <f>SUBTOTAL(9,U218:U228)</f>
        <v>3</v>
      </c>
      <c r="V229" s="86">
        <f>SUBTOTAL(9,V218:V228)</f>
        <v>125</v>
      </c>
      <c r="W229" s="86">
        <f>SUBTOTAL(9,W218:W228)</f>
        <v>2</v>
      </c>
      <c r="X229" s="85"/>
      <c r="Y229" s="85"/>
      <c r="Z229" s="85"/>
      <c r="AA229" s="85"/>
      <c r="AB229" s="85"/>
      <c r="AC229" s="85" t="s">
        <v>259</v>
      </c>
      <c r="AD229" s="92">
        <v>3</v>
      </c>
      <c r="AE229" s="85"/>
      <c r="AF229" s="85"/>
      <c r="AG229" s="85"/>
      <c r="AH229" s="85"/>
      <c r="AI229" s="101"/>
    </row>
    <row r="230" spans="1:35" x14ac:dyDescent="0.15">
      <c r="A230" s="75">
        <f>'Match Summary'!$B$22</f>
        <v>42231</v>
      </c>
      <c r="B230" s="76" t="str">
        <f>'Match Summary'!$C$22</f>
        <v>Lindsell</v>
      </c>
      <c r="C230" s="77">
        <v>1</v>
      </c>
      <c r="D230" s="97"/>
      <c r="E230" s="79"/>
      <c r="F230" s="80"/>
      <c r="G230" s="116"/>
      <c r="H230" s="77"/>
      <c r="I230" s="77"/>
      <c r="J230" s="81"/>
      <c r="K230" s="81"/>
      <c r="L230" s="81"/>
      <c r="M230" s="81"/>
      <c r="N230" s="79" t="str">
        <f t="shared" si="115"/>
        <v/>
      </c>
      <c r="O230" s="81" t="str">
        <f t="shared" si="116"/>
        <v/>
      </c>
      <c r="P230" s="81" t="str">
        <f t="shared" si="117"/>
        <v/>
      </c>
      <c r="Q230" s="80" t="str">
        <f t="shared" si="118"/>
        <v/>
      </c>
      <c r="R230" s="77"/>
      <c r="S230" s="81"/>
      <c r="T230" s="81"/>
      <c r="U230" s="81"/>
      <c r="V230" s="81"/>
      <c r="W230" s="77" t="str">
        <f t="shared" si="123"/>
        <v/>
      </c>
      <c r="X230" s="79"/>
      <c r="Y230" s="81"/>
      <c r="Z230" s="81"/>
      <c r="AA230" s="81"/>
      <c r="AB230" s="81"/>
      <c r="AC230" s="80" t="str">
        <f t="shared" ref="AC230:AC240" si="130">IF(AND(ISNUMBER(W230),W230&gt;=5),1,"")</f>
        <v/>
      </c>
      <c r="AD230" s="77"/>
      <c r="AE230" s="81"/>
      <c r="AF230" s="81"/>
      <c r="AG230" s="81"/>
      <c r="AH230" s="81"/>
      <c r="AI230" s="98"/>
    </row>
    <row r="231" spans="1:35" x14ac:dyDescent="0.15">
      <c r="A231" s="82">
        <f>'Match Summary'!$B$22</f>
        <v>42231</v>
      </c>
      <c r="B231" s="64" t="str">
        <f>'Match Summary'!$C$22</f>
        <v>Lindsell</v>
      </c>
      <c r="C231" s="59">
        <v>2</v>
      </c>
      <c r="D231" s="61"/>
      <c r="E231" s="49"/>
      <c r="F231" s="51"/>
      <c r="G231" s="117"/>
      <c r="H231" s="59"/>
      <c r="I231" s="59"/>
      <c r="J231" s="57"/>
      <c r="K231" s="57"/>
      <c r="L231" s="50"/>
      <c r="M231" s="50"/>
      <c r="N231" s="49" t="str">
        <f t="shared" si="115"/>
        <v/>
      </c>
      <c r="O231" s="50" t="str">
        <f t="shared" si="116"/>
        <v/>
      </c>
      <c r="P231" s="50" t="str">
        <f t="shared" si="117"/>
        <v/>
      </c>
      <c r="Q231" s="51" t="str">
        <f t="shared" si="118"/>
        <v/>
      </c>
      <c r="R231" s="59"/>
      <c r="S231" s="50"/>
      <c r="T231" s="50"/>
      <c r="U231" s="50"/>
      <c r="V231" s="50"/>
      <c r="W231" s="59" t="str">
        <f t="shared" si="123"/>
        <v/>
      </c>
      <c r="X231" s="49"/>
      <c r="Y231" s="50"/>
      <c r="Z231" s="50"/>
      <c r="AA231" s="50"/>
      <c r="AB231" s="50"/>
      <c r="AC231" s="51" t="str">
        <f t="shared" si="130"/>
        <v/>
      </c>
      <c r="AD231" s="59"/>
      <c r="AE231" s="50"/>
      <c r="AF231" s="50"/>
      <c r="AG231" s="50"/>
      <c r="AH231" s="50"/>
      <c r="AI231" s="99"/>
    </row>
    <row r="232" spans="1:35" x14ac:dyDescent="0.15">
      <c r="A232" s="82">
        <f>'Match Summary'!$B$22</f>
        <v>42231</v>
      </c>
      <c r="B232" s="64" t="str">
        <f>'Match Summary'!$C$22</f>
        <v>Lindsell</v>
      </c>
      <c r="C232" s="59">
        <v>3</v>
      </c>
      <c r="D232" s="60"/>
      <c r="E232" s="49"/>
      <c r="F232" s="51"/>
      <c r="G232" s="117"/>
      <c r="H232" s="59"/>
      <c r="I232" s="59"/>
      <c r="J232" s="57"/>
      <c r="K232" s="57"/>
      <c r="L232" s="57"/>
      <c r="M232" s="50"/>
      <c r="N232" s="49" t="str">
        <f t="shared" si="115"/>
        <v/>
      </c>
      <c r="O232" s="50" t="str">
        <f t="shared" si="116"/>
        <v/>
      </c>
      <c r="P232" s="50" t="str">
        <f t="shared" si="117"/>
        <v/>
      </c>
      <c r="Q232" s="51" t="str">
        <f t="shared" si="118"/>
        <v/>
      </c>
      <c r="R232" s="59"/>
      <c r="S232" s="50"/>
      <c r="T232" s="50"/>
      <c r="U232" s="57"/>
      <c r="V232" s="57"/>
      <c r="W232" s="59" t="str">
        <f t="shared" si="123"/>
        <v/>
      </c>
      <c r="X232" s="49"/>
      <c r="Y232" s="50"/>
      <c r="Z232" s="57"/>
      <c r="AA232" s="50"/>
      <c r="AB232" s="50"/>
      <c r="AC232" s="51" t="str">
        <f t="shared" si="130"/>
        <v/>
      </c>
      <c r="AD232" s="59"/>
      <c r="AE232" s="50"/>
      <c r="AF232" s="50"/>
      <c r="AG232" s="50"/>
      <c r="AH232" s="50"/>
      <c r="AI232" s="99"/>
    </row>
    <row r="233" spans="1:35" x14ac:dyDescent="0.15">
      <c r="A233" s="82">
        <f>'Match Summary'!$B$22</f>
        <v>42231</v>
      </c>
      <c r="B233" s="64" t="str">
        <f>'Match Summary'!$C$22</f>
        <v>Lindsell</v>
      </c>
      <c r="C233" s="59">
        <v>4</v>
      </c>
      <c r="D233" s="61"/>
      <c r="E233" s="49"/>
      <c r="F233" s="51"/>
      <c r="G233" s="117"/>
      <c r="H233" s="59"/>
      <c r="I233" s="59"/>
      <c r="J233" s="57"/>
      <c r="K233" s="57"/>
      <c r="L233" s="57"/>
      <c r="M233" s="50"/>
      <c r="N233" s="49" t="str">
        <f t="shared" si="115"/>
        <v/>
      </c>
      <c r="O233" s="50" t="str">
        <f t="shared" si="116"/>
        <v/>
      </c>
      <c r="P233" s="50" t="str">
        <f t="shared" si="117"/>
        <v/>
      </c>
      <c r="Q233" s="51" t="str">
        <f t="shared" si="118"/>
        <v/>
      </c>
      <c r="R233" s="59"/>
      <c r="S233" s="50"/>
      <c r="T233" s="50"/>
      <c r="U233" s="50"/>
      <c r="V233" s="50"/>
      <c r="W233" s="59" t="str">
        <f t="shared" si="123"/>
        <v/>
      </c>
      <c r="X233" s="49"/>
      <c r="Y233" s="50"/>
      <c r="Z233" s="50"/>
      <c r="AA233" s="50"/>
      <c r="AB233" s="50"/>
      <c r="AC233" s="51" t="str">
        <f t="shared" si="130"/>
        <v/>
      </c>
      <c r="AD233" s="59"/>
      <c r="AE233" s="50"/>
      <c r="AF233" s="50"/>
      <c r="AG233" s="50"/>
      <c r="AH233" s="50"/>
      <c r="AI233" s="99"/>
    </row>
    <row r="234" spans="1:35" x14ac:dyDescent="0.15">
      <c r="A234" s="82">
        <f>'Match Summary'!$B$22</f>
        <v>42231</v>
      </c>
      <c r="B234" s="64" t="str">
        <f>'Match Summary'!$C$22</f>
        <v>Lindsell</v>
      </c>
      <c r="C234" s="59">
        <v>5</v>
      </c>
      <c r="D234" s="61"/>
      <c r="E234" s="49"/>
      <c r="F234" s="51"/>
      <c r="G234" s="117"/>
      <c r="H234" s="59"/>
      <c r="I234" s="59"/>
      <c r="J234" s="57"/>
      <c r="K234" s="57"/>
      <c r="L234" s="57"/>
      <c r="M234" s="50"/>
      <c r="N234" s="49" t="str">
        <f t="shared" ref="N234:N252" si="131">IF(I234="NO",1,"")</f>
        <v/>
      </c>
      <c r="O234" s="50" t="str">
        <f t="shared" si="116"/>
        <v/>
      </c>
      <c r="P234" s="50" t="str">
        <f t="shared" ref="P234:P250" si="132">IF(AND(H234&gt;=50,H234&lt;100),1,"")</f>
        <v/>
      </c>
      <c r="Q234" s="51" t="str">
        <f t="shared" ref="Q234:Q250" si="133">IF(H234&gt;=100,1,"")</f>
        <v/>
      </c>
      <c r="R234" s="59"/>
      <c r="S234" s="50"/>
      <c r="T234" s="50"/>
      <c r="U234" s="57"/>
      <c r="V234" s="57"/>
      <c r="W234" s="59" t="str">
        <f t="shared" si="123"/>
        <v/>
      </c>
      <c r="X234" s="49"/>
      <c r="Y234" s="50"/>
      <c r="Z234" s="57"/>
      <c r="AA234" s="50"/>
      <c r="AB234" s="50"/>
      <c r="AC234" s="51" t="str">
        <f t="shared" si="130"/>
        <v/>
      </c>
      <c r="AD234" s="59"/>
      <c r="AE234" s="50"/>
      <c r="AF234" s="50"/>
      <c r="AG234" s="50"/>
      <c r="AH234" s="50"/>
      <c r="AI234" s="99"/>
    </row>
    <row r="235" spans="1:35" x14ac:dyDescent="0.15">
      <c r="A235" s="82">
        <f>'Match Summary'!$B$22</f>
        <v>42231</v>
      </c>
      <c r="B235" s="64" t="str">
        <f>'Match Summary'!$C$22</f>
        <v>Lindsell</v>
      </c>
      <c r="C235" s="59">
        <v>6</v>
      </c>
      <c r="D235" s="61"/>
      <c r="E235" s="49"/>
      <c r="F235" s="51"/>
      <c r="G235" s="117"/>
      <c r="H235" s="59"/>
      <c r="I235" s="59"/>
      <c r="J235" s="57"/>
      <c r="K235" s="57"/>
      <c r="L235" s="57"/>
      <c r="M235" s="50"/>
      <c r="N235" s="49" t="str">
        <f t="shared" si="131"/>
        <v/>
      </c>
      <c r="O235" s="50" t="str">
        <f t="shared" ref="O235:O252" si="134">IF(OR(H235&gt;0,H235=""),"",IF(I235="no","",1))</f>
        <v/>
      </c>
      <c r="P235" s="50" t="str">
        <f t="shared" si="132"/>
        <v/>
      </c>
      <c r="Q235" s="51" t="str">
        <f t="shared" si="133"/>
        <v/>
      </c>
      <c r="R235" s="59"/>
      <c r="S235" s="50"/>
      <c r="T235" s="50"/>
      <c r="U235" s="50"/>
      <c r="V235" s="50"/>
      <c r="W235" s="59" t="str">
        <f t="shared" si="123"/>
        <v/>
      </c>
      <c r="X235" s="49"/>
      <c r="Y235" s="50"/>
      <c r="Z235" s="50"/>
      <c r="AA235" s="50"/>
      <c r="AB235" s="50"/>
      <c r="AC235" s="51" t="str">
        <f t="shared" si="130"/>
        <v/>
      </c>
      <c r="AD235" s="59"/>
      <c r="AE235" s="50"/>
      <c r="AF235" s="50"/>
      <c r="AG235" s="50"/>
      <c r="AH235" s="50"/>
      <c r="AI235" s="99"/>
    </row>
    <row r="236" spans="1:35" x14ac:dyDescent="0.15">
      <c r="A236" s="82">
        <f>'Match Summary'!$B$22</f>
        <v>42231</v>
      </c>
      <c r="B236" s="64" t="str">
        <f>'Match Summary'!$C$22</f>
        <v>Lindsell</v>
      </c>
      <c r="C236" s="59">
        <v>7</v>
      </c>
      <c r="D236" s="61"/>
      <c r="E236" s="49"/>
      <c r="F236" s="51"/>
      <c r="G236" s="117"/>
      <c r="H236" s="59"/>
      <c r="I236" s="59"/>
      <c r="J236" s="57"/>
      <c r="K236" s="57"/>
      <c r="L236" s="57"/>
      <c r="M236" s="57"/>
      <c r="N236" s="49" t="str">
        <f t="shared" si="131"/>
        <v/>
      </c>
      <c r="O236" s="50" t="str">
        <f t="shared" si="134"/>
        <v/>
      </c>
      <c r="P236" s="50" t="str">
        <f t="shared" si="132"/>
        <v/>
      </c>
      <c r="Q236" s="51" t="str">
        <f t="shared" si="133"/>
        <v/>
      </c>
      <c r="R236" s="59"/>
      <c r="S236" s="50"/>
      <c r="T236" s="50"/>
      <c r="U236" s="57"/>
      <c r="V236" s="57"/>
      <c r="W236" s="59" t="str">
        <f t="shared" si="123"/>
        <v/>
      </c>
      <c r="X236" s="49"/>
      <c r="Y236" s="50"/>
      <c r="Z236" s="57"/>
      <c r="AA236" s="50"/>
      <c r="AB236" s="50"/>
      <c r="AC236" s="51" t="str">
        <f>IF(AND(ISNUMBER(W236),W236&gt;=5),1,"")</f>
        <v/>
      </c>
      <c r="AD236" s="59"/>
      <c r="AE236" s="50"/>
      <c r="AF236" s="50"/>
      <c r="AG236" s="50"/>
      <c r="AH236" s="50"/>
      <c r="AI236" s="99"/>
    </row>
    <row r="237" spans="1:35" x14ac:dyDescent="0.15">
      <c r="A237" s="82">
        <f>'Match Summary'!$B$22</f>
        <v>42231</v>
      </c>
      <c r="B237" s="64" t="str">
        <f>'Match Summary'!$C$22</f>
        <v>Lindsell</v>
      </c>
      <c r="C237" s="59">
        <v>8</v>
      </c>
      <c r="D237" s="60"/>
      <c r="E237" s="49"/>
      <c r="F237" s="51"/>
      <c r="G237" s="117"/>
      <c r="H237" s="59"/>
      <c r="I237" s="59"/>
      <c r="J237" s="57"/>
      <c r="K237" s="57"/>
      <c r="L237" s="50"/>
      <c r="M237" s="50"/>
      <c r="N237" s="49" t="str">
        <f t="shared" si="131"/>
        <v/>
      </c>
      <c r="O237" s="50" t="str">
        <f t="shared" si="134"/>
        <v/>
      </c>
      <c r="P237" s="50" t="str">
        <f t="shared" si="132"/>
        <v/>
      </c>
      <c r="Q237" s="51" t="str">
        <f t="shared" si="133"/>
        <v/>
      </c>
      <c r="R237" s="59"/>
      <c r="S237" s="50"/>
      <c r="T237" s="50"/>
      <c r="U237" s="57"/>
      <c r="V237" s="57"/>
      <c r="W237" s="59" t="str">
        <f t="shared" si="123"/>
        <v/>
      </c>
      <c r="X237" s="49"/>
      <c r="Y237" s="50"/>
      <c r="Z237" s="57"/>
      <c r="AA237" s="50"/>
      <c r="AB237" s="50"/>
      <c r="AC237" s="51" t="str">
        <f t="shared" si="130"/>
        <v/>
      </c>
      <c r="AD237" s="59"/>
      <c r="AE237" s="50"/>
      <c r="AF237" s="50"/>
      <c r="AG237" s="50"/>
      <c r="AH237" s="50"/>
      <c r="AI237" s="99"/>
    </row>
    <row r="238" spans="1:35" x14ac:dyDescent="0.15">
      <c r="A238" s="82">
        <f>'Match Summary'!$B$22</f>
        <v>42231</v>
      </c>
      <c r="B238" s="64" t="str">
        <f>'Match Summary'!$C$22</f>
        <v>Lindsell</v>
      </c>
      <c r="C238" s="59">
        <v>9</v>
      </c>
      <c r="D238" s="60"/>
      <c r="E238" s="49"/>
      <c r="F238" s="51"/>
      <c r="G238" s="117"/>
      <c r="H238" s="59"/>
      <c r="I238" s="59"/>
      <c r="J238" s="57"/>
      <c r="K238" s="57"/>
      <c r="L238" s="50"/>
      <c r="M238" s="50"/>
      <c r="N238" s="49" t="str">
        <f t="shared" si="131"/>
        <v/>
      </c>
      <c r="O238" s="50" t="str">
        <f t="shared" si="134"/>
        <v/>
      </c>
      <c r="P238" s="50" t="str">
        <f t="shared" si="132"/>
        <v/>
      </c>
      <c r="Q238" s="51" t="str">
        <f t="shared" si="133"/>
        <v/>
      </c>
      <c r="R238" s="59"/>
      <c r="S238" s="57"/>
      <c r="T238" s="57"/>
      <c r="U238" s="57"/>
      <c r="V238" s="57"/>
      <c r="W238" s="59" t="str">
        <f t="shared" si="123"/>
        <v/>
      </c>
      <c r="X238" s="49"/>
      <c r="Y238" s="50"/>
      <c r="Z238" s="50"/>
      <c r="AA238" s="50"/>
      <c r="AB238" s="50"/>
      <c r="AC238" s="51" t="str">
        <f t="shared" si="130"/>
        <v/>
      </c>
      <c r="AD238" s="59"/>
      <c r="AE238" s="50"/>
      <c r="AF238" s="50"/>
      <c r="AG238" s="50"/>
      <c r="AH238" s="50"/>
      <c r="AI238" s="99"/>
    </row>
    <row r="239" spans="1:35" x14ac:dyDescent="0.15">
      <c r="A239" s="82">
        <f>'Match Summary'!$B$22</f>
        <v>42231</v>
      </c>
      <c r="B239" s="64" t="str">
        <f>'Match Summary'!$C$22</f>
        <v>Lindsell</v>
      </c>
      <c r="C239" s="59">
        <v>10</v>
      </c>
      <c r="D239" s="60"/>
      <c r="E239" s="49"/>
      <c r="F239" s="51"/>
      <c r="G239" s="117"/>
      <c r="H239" s="59"/>
      <c r="I239" s="59"/>
      <c r="J239" s="57"/>
      <c r="K239" s="57"/>
      <c r="L239" s="50"/>
      <c r="M239" s="50"/>
      <c r="N239" s="49" t="str">
        <f t="shared" si="131"/>
        <v/>
      </c>
      <c r="O239" s="50" t="str">
        <f t="shared" si="134"/>
        <v/>
      </c>
      <c r="P239" s="50" t="str">
        <f t="shared" si="132"/>
        <v/>
      </c>
      <c r="Q239" s="51" t="str">
        <f t="shared" si="133"/>
        <v/>
      </c>
      <c r="R239" s="59"/>
      <c r="S239" s="50"/>
      <c r="T239" s="50"/>
      <c r="U239" s="50"/>
      <c r="V239" s="50"/>
      <c r="W239" s="59" t="str">
        <f t="shared" si="123"/>
        <v/>
      </c>
      <c r="X239" s="49"/>
      <c r="Y239" s="50"/>
      <c r="Z239" s="50"/>
      <c r="AA239" s="50"/>
      <c r="AB239" s="50"/>
      <c r="AC239" s="51" t="str">
        <f t="shared" si="130"/>
        <v/>
      </c>
      <c r="AD239" s="59"/>
      <c r="AE239" s="50"/>
      <c r="AF239" s="50"/>
      <c r="AG239" s="50"/>
      <c r="AH239" s="50"/>
      <c r="AI239" s="99"/>
    </row>
    <row r="240" spans="1:35" x14ac:dyDescent="0.15">
      <c r="A240" s="82">
        <f>'Match Summary'!$B$22</f>
        <v>42231</v>
      </c>
      <c r="B240" s="64" t="str">
        <f>'Match Summary'!$C$22</f>
        <v>Lindsell</v>
      </c>
      <c r="C240" s="56">
        <v>11</v>
      </c>
      <c r="D240" s="62"/>
      <c r="E240" s="52"/>
      <c r="F240" s="54"/>
      <c r="G240" s="117"/>
      <c r="H240" s="56"/>
      <c r="I240" s="56"/>
      <c r="J240" s="53"/>
      <c r="K240" s="53"/>
      <c r="L240" s="53"/>
      <c r="M240" s="53"/>
      <c r="N240" s="52" t="str">
        <f t="shared" si="131"/>
        <v/>
      </c>
      <c r="O240" s="53" t="str">
        <f t="shared" si="134"/>
        <v/>
      </c>
      <c r="P240" s="53" t="str">
        <f t="shared" si="132"/>
        <v/>
      </c>
      <c r="Q240" s="54" t="str">
        <f t="shared" si="133"/>
        <v/>
      </c>
      <c r="R240" s="56"/>
      <c r="S240" s="53"/>
      <c r="T240" s="53"/>
      <c r="U240" s="53"/>
      <c r="V240" s="53"/>
      <c r="W240" s="56" t="str">
        <f t="shared" si="123"/>
        <v/>
      </c>
      <c r="X240" s="52"/>
      <c r="Y240" s="53"/>
      <c r="Z240" s="53"/>
      <c r="AA240" s="53"/>
      <c r="AB240" s="53"/>
      <c r="AC240" s="54" t="str">
        <f t="shared" si="130"/>
        <v/>
      </c>
      <c r="AD240" s="56"/>
      <c r="AE240" s="53"/>
      <c r="AF240" s="53"/>
      <c r="AG240" s="53"/>
      <c r="AH240" s="53"/>
      <c r="AI240" s="100"/>
    </row>
    <row r="241" spans="1:35" ht="15" thickBot="1" x14ac:dyDescent="0.2">
      <c r="A241" s="83">
        <f>'Match Summary'!$B$22</f>
        <v>42231</v>
      </c>
      <c r="B241" s="84" t="str">
        <f>'Match Summary'!$C$22</f>
        <v>Lindsell</v>
      </c>
      <c r="C241" s="85"/>
      <c r="D241" s="86" t="s">
        <v>174</v>
      </c>
      <c r="E241" s="85"/>
      <c r="F241" s="85"/>
      <c r="G241" s="113"/>
      <c r="H241" s="86"/>
      <c r="I241" s="85"/>
      <c r="J241" s="85"/>
      <c r="K241" s="85"/>
      <c r="L241" s="85"/>
      <c r="M241" s="85"/>
      <c r="N241" s="85" t="str">
        <f t="shared" si="131"/>
        <v/>
      </c>
      <c r="O241" s="85" t="str">
        <f t="shared" si="134"/>
        <v/>
      </c>
      <c r="P241" s="87" t="str">
        <f t="shared" si="132"/>
        <v/>
      </c>
      <c r="Q241" s="88" t="str">
        <f t="shared" si="133"/>
        <v/>
      </c>
      <c r="R241" s="86"/>
      <c r="S241" s="91"/>
      <c r="T241" s="86"/>
      <c r="U241" s="86"/>
      <c r="V241" s="86"/>
      <c r="W241" s="86" t="str">
        <f t="shared" si="123"/>
        <v/>
      </c>
      <c r="X241" s="85"/>
      <c r="Y241" s="85"/>
      <c r="Z241" s="85"/>
      <c r="AA241" s="85"/>
      <c r="AB241" s="85"/>
      <c r="AC241" s="85" t="s">
        <v>259</v>
      </c>
      <c r="AD241" s="92"/>
      <c r="AE241" s="85"/>
      <c r="AF241" s="85"/>
      <c r="AG241" s="85"/>
      <c r="AH241" s="85"/>
      <c r="AI241" s="101"/>
    </row>
    <row r="242" spans="1:35" x14ac:dyDescent="0.15">
      <c r="A242" s="75">
        <f>'Match Summary'!$B$23</f>
        <v>42238</v>
      </c>
      <c r="B242" s="76" t="str">
        <f>'Match Summary'!$C$23</f>
        <v>Canfield</v>
      </c>
      <c r="C242" s="77">
        <v>1</v>
      </c>
      <c r="D242" s="78" t="s">
        <v>117</v>
      </c>
      <c r="E242" s="79"/>
      <c r="F242" s="80"/>
      <c r="G242" s="116" t="s">
        <v>199</v>
      </c>
      <c r="H242" s="77">
        <v>5</v>
      </c>
      <c r="I242" s="77" t="s">
        <v>232</v>
      </c>
      <c r="J242" s="81">
        <v>13</v>
      </c>
      <c r="K242" s="81">
        <v>11</v>
      </c>
      <c r="L242" s="81">
        <v>1</v>
      </c>
      <c r="M242" s="81"/>
      <c r="N242" s="79" t="str">
        <f t="shared" si="131"/>
        <v/>
      </c>
      <c r="O242" s="81" t="str">
        <f t="shared" si="134"/>
        <v/>
      </c>
      <c r="P242" s="81" t="str">
        <f t="shared" si="132"/>
        <v/>
      </c>
      <c r="Q242" s="80" t="str">
        <f t="shared" si="133"/>
        <v/>
      </c>
      <c r="R242" s="77"/>
      <c r="S242" s="81"/>
      <c r="T242" s="81"/>
      <c r="U242" s="81"/>
      <c r="V242" s="81"/>
      <c r="W242" s="77" t="str">
        <f t="shared" si="123"/>
        <v/>
      </c>
      <c r="X242" s="79"/>
      <c r="Y242" s="81"/>
      <c r="Z242" s="81"/>
      <c r="AA242" s="81"/>
      <c r="AB242" s="81"/>
      <c r="AC242" s="80" t="str">
        <f t="shared" ref="AC242:AC252" si="135">IF(AND(ISNUMBER(W242),W242&gt;=5),1,"")</f>
        <v/>
      </c>
      <c r="AD242" s="77"/>
      <c r="AE242" s="81">
        <v>2</v>
      </c>
      <c r="AF242" s="81"/>
      <c r="AG242" s="81"/>
      <c r="AH242" s="81"/>
      <c r="AI242" s="98">
        <f>IF(SUM(AE242:AH242)=0,"",SUM(AE242:AH242))</f>
        <v>2</v>
      </c>
    </row>
    <row r="243" spans="1:35" x14ac:dyDescent="0.15">
      <c r="A243" s="82">
        <f>'Match Summary'!$B$23</f>
        <v>42238</v>
      </c>
      <c r="B243" s="64" t="str">
        <f>'Match Summary'!$C$23</f>
        <v>Canfield</v>
      </c>
      <c r="C243" s="59">
        <v>2</v>
      </c>
      <c r="D243" s="61" t="s">
        <v>49</v>
      </c>
      <c r="E243" s="49"/>
      <c r="F243" s="51" t="s">
        <v>195</v>
      </c>
      <c r="G243" s="117" t="s">
        <v>199</v>
      </c>
      <c r="H243" s="59">
        <v>7</v>
      </c>
      <c r="I243" s="59" t="s">
        <v>232</v>
      </c>
      <c r="J243" s="57">
        <v>9</v>
      </c>
      <c r="K243" s="57">
        <v>20</v>
      </c>
      <c r="L243" s="57">
        <v>1</v>
      </c>
      <c r="M243" s="50"/>
      <c r="N243" s="49" t="str">
        <f t="shared" si="131"/>
        <v/>
      </c>
      <c r="O243" s="50" t="str">
        <f t="shared" si="134"/>
        <v/>
      </c>
      <c r="P243" s="50" t="str">
        <f t="shared" si="132"/>
        <v/>
      </c>
      <c r="Q243" s="51" t="str">
        <f t="shared" si="133"/>
        <v/>
      </c>
      <c r="R243" s="59"/>
      <c r="S243" s="50"/>
      <c r="T243" s="50"/>
      <c r="U243" s="50"/>
      <c r="V243" s="50"/>
      <c r="W243" s="59" t="str">
        <f t="shared" si="123"/>
        <v/>
      </c>
      <c r="X243" s="49"/>
      <c r="Y243" s="50"/>
      <c r="Z243" s="50"/>
      <c r="AA243" s="50"/>
      <c r="AB243" s="50"/>
      <c r="AC243" s="51" t="str">
        <f t="shared" si="135"/>
        <v/>
      </c>
      <c r="AD243" s="59">
        <v>1</v>
      </c>
      <c r="AE243" s="50"/>
      <c r="AF243" s="50"/>
      <c r="AG243" s="50"/>
      <c r="AH243" s="50">
        <v>1</v>
      </c>
      <c r="AI243" s="99">
        <f t="shared" ref="AI243:AI251" si="136">IF(SUM(AE243:AH243)=0,"",SUM(AE243:AH243))</f>
        <v>1</v>
      </c>
    </row>
    <row r="244" spans="1:35" x14ac:dyDescent="0.15">
      <c r="A244" s="82">
        <f>'Match Summary'!$B$23</f>
        <v>42238</v>
      </c>
      <c r="B244" s="64" t="str">
        <f>'Match Summary'!$C$23</f>
        <v>Canfield</v>
      </c>
      <c r="C244" s="59">
        <v>3</v>
      </c>
      <c r="D244" s="61" t="s">
        <v>268</v>
      </c>
      <c r="E244" s="49"/>
      <c r="F244" s="51"/>
      <c r="G244" s="117" t="s">
        <v>199</v>
      </c>
      <c r="H244" s="59">
        <v>9</v>
      </c>
      <c r="I244" s="59" t="s">
        <v>202</v>
      </c>
      <c r="J244" s="57">
        <v>14</v>
      </c>
      <c r="K244" s="57">
        <v>15</v>
      </c>
      <c r="L244" s="57">
        <v>2</v>
      </c>
      <c r="M244" s="50"/>
      <c r="N244" s="49" t="str">
        <f t="shared" si="131"/>
        <v/>
      </c>
      <c r="O244" s="50" t="str">
        <f t="shared" si="134"/>
        <v/>
      </c>
      <c r="P244" s="50" t="str">
        <f t="shared" si="132"/>
        <v/>
      </c>
      <c r="Q244" s="51" t="str">
        <f t="shared" si="133"/>
        <v/>
      </c>
      <c r="R244" s="59">
        <v>6</v>
      </c>
      <c r="S244" s="50">
        <v>1</v>
      </c>
      <c r="T244" s="50">
        <v>0</v>
      </c>
      <c r="U244" s="57">
        <v>0</v>
      </c>
      <c r="V244" s="57">
        <v>23</v>
      </c>
      <c r="W244" s="59">
        <f t="shared" si="123"/>
        <v>1</v>
      </c>
      <c r="X244" s="49"/>
      <c r="Y244" s="50"/>
      <c r="Z244" s="57">
        <v>1</v>
      </c>
      <c r="AA244" s="50"/>
      <c r="AB244" s="50"/>
      <c r="AC244" s="51" t="str">
        <f t="shared" si="135"/>
        <v/>
      </c>
      <c r="AD244" s="59"/>
      <c r="AE244" s="50"/>
      <c r="AF244" s="50"/>
      <c r="AG244" s="50"/>
      <c r="AH244" s="50"/>
      <c r="AI244" s="99" t="str">
        <f t="shared" si="136"/>
        <v/>
      </c>
    </row>
    <row r="245" spans="1:35" x14ac:dyDescent="0.15">
      <c r="A245" s="82">
        <f>'Match Summary'!$B$23</f>
        <v>42238</v>
      </c>
      <c r="B245" s="64" t="str">
        <f>'Match Summary'!$C$23</f>
        <v>Canfield</v>
      </c>
      <c r="C245" s="59">
        <v>4</v>
      </c>
      <c r="D245" s="61" t="s">
        <v>291</v>
      </c>
      <c r="E245" s="49"/>
      <c r="F245" s="51"/>
      <c r="G245" s="117" t="s">
        <v>199</v>
      </c>
      <c r="H245" s="59">
        <v>1</v>
      </c>
      <c r="I245" s="59" t="s">
        <v>201</v>
      </c>
      <c r="J245" s="57">
        <v>16</v>
      </c>
      <c r="K245" s="57">
        <v>16</v>
      </c>
      <c r="L245" s="57"/>
      <c r="M245" s="50"/>
      <c r="N245" s="49" t="str">
        <f t="shared" si="131"/>
        <v/>
      </c>
      <c r="O245" s="50" t="str">
        <f t="shared" si="134"/>
        <v/>
      </c>
      <c r="P245" s="50" t="str">
        <f t="shared" si="132"/>
        <v/>
      </c>
      <c r="Q245" s="51" t="str">
        <f t="shared" si="133"/>
        <v/>
      </c>
      <c r="R245" s="59">
        <v>3</v>
      </c>
      <c r="S245" s="50">
        <v>1</v>
      </c>
      <c r="T245" s="50">
        <v>2</v>
      </c>
      <c r="U245" s="57">
        <v>0</v>
      </c>
      <c r="V245" s="57">
        <v>10</v>
      </c>
      <c r="W245" s="59">
        <f t="shared" si="123"/>
        <v>2</v>
      </c>
      <c r="X245" s="49">
        <v>1</v>
      </c>
      <c r="Y245" s="50"/>
      <c r="Z245" s="57">
        <v>1</v>
      </c>
      <c r="AA245" s="50"/>
      <c r="AB245" s="50"/>
      <c r="AC245" s="51" t="str">
        <f t="shared" si="135"/>
        <v/>
      </c>
      <c r="AD245" s="59"/>
      <c r="AE245" s="50"/>
      <c r="AF245" s="50"/>
      <c r="AG245" s="50"/>
      <c r="AH245" s="50"/>
      <c r="AI245" s="99" t="str">
        <f t="shared" si="136"/>
        <v/>
      </c>
    </row>
    <row r="246" spans="1:35" x14ac:dyDescent="0.15">
      <c r="A246" s="82">
        <f>'Match Summary'!$B$23</f>
        <v>42238</v>
      </c>
      <c r="B246" s="64" t="str">
        <f>'Match Summary'!$C$23</f>
        <v>Canfield</v>
      </c>
      <c r="C246" s="59">
        <v>5</v>
      </c>
      <c r="D246" s="60" t="s">
        <v>43</v>
      </c>
      <c r="E246" s="49"/>
      <c r="F246" s="51"/>
      <c r="G246" s="117" t="s">
        <v>199</v>
      </c>
      <c r="H246" s="59">
        <v>27</v>
      </c>
      <c r="I246" s="59" t="s">
        <v>203</v>
      </c>
      <c r="J246" s="57">
        <v>20</v>
      </c>
      <c r="K246" s="57">
        <v>20</v>
      </c>
      <c r="L246" s="57">
        <v>6</v>
      </c>
      <c r="M246" s="50"/>
      <c r="N246" s="49">
        <f t="shared" si="131"/>
        <v>1</v>
      </c>
      <c r="O246" s="50" t="str">
        <f t="shared" si="134"/>
        <v/>
      </c>
      <c r="P246" s="50" t="str">
        <f t="shared" si="132"/>
        <v/>
      </c>
      <c r="Q246" s="51" t="str">
        <f t="shared" si="133"/>
        <v/>
      </c>
      <c r="R246" s="59"/>
      <c r="S246" s="50"/>
      <c r="T246" s="50"/>
      <c r="U246" s="57"/>
      <c r="V246" s="57"/>
      <c r="W246" s="59" t="str">
        <f t="shared" si="123"/>
        <v/>
      </c>
      <c r="X246" s="49"/>
      <c r="Y246" s="50"/>
      <c r="Z246" s="57"/>
      <c r="AA246" s="50"/>
      <c r="AB246" s="50"/>
      <c r="AC246" s="51" t="str">
        <f t="shared" si="135"/>
        <v/>
      </c>
      <c r="AD246" s="59"/>
      <c r="AE246" s="50"/>
      <c r="AF246" s="50"/>
      <c r="AG246" s="50"/>
      <c r="AH246" s="50"/>
      <c r="AI246" s="99" t="str">
        <f t="shared" si="136"/>
        <v/>
      </c>
    </row>
    <row r="247" spans="1:35" x14ac:dyDescent="0.15">
      <c r="A247" s="82">
        <f>'Match Summary'!$B$23</f>
        <v>42238</v>
      </c>
      <c r="B247" s="64" t="str">
        <f>'Match Summary'!$C$23</f>
        <v>Canfield</v>
      </c>
      <c r="C247" s="59">
        <v>6</v>
      </c>
      <c r="D247" s="61" t="s">
        <v>47</v>
      </c>
      <c r="E247" s="49" t="s">
        <v>195</v>
      </c>
      <c r="F247" s="51"/>
      <c r="G247" s="117" t="s">
        <v>199</v>
      </c>
      <c r="H247" s="59">
        <v>18</v>
      </c>
      <c r="I247" s="59" t="s">
        <v>203</v>
      </c>
      <c r="J247" s="57">
        <v>25</v>
      </c>
      <c r="K247" s="57">
        <v>30</v>
      </c>
      <c r="L247" s="57">
        <v>2</v>
      </c>
      <c r="M247" s="57">
        <v>1</v>
      </c>
      <c r="N247" s="49">
        <f t="shared" si="131"/>
        <v>1</v>
      </c>
      <c r="O247" s="50" t="str">
        <f t="shared" si="134"/>
        <v/>
      </c>
      <c r="P247" s="50" t="str">
        <f t="shared" si="132"/>
        <v/>
      </c>
      <c r="Q247" s="51" t="str">
        <f t="shared" si="133"/>
        <v/>
      </c>
      <c r="R247" s="59">
        <v>4</v>
      </c>
      <c r="S247" s="50">
        <v>2</v>
      </c>
      <c r="T247" s="50">
        <v>10</v>
      </c>
      <c r="U247" s="57">
        <v>0</v>
      </c>
      <c r="V247" s="57">
        <v>11</v>
      </c>
      <c r="W247" s="59">
        <f t="shared" si="123"/>
        <v>1</v>
      </c>
      <c r="X247" s="49"/>
      <c r="Y247" s="50"/>
      <c r="Z247" s="50">
        <v>1</v>
      </c>
      <c r="AA247" s="50"/>
      <c r="AB247" s="50"/>
      <c r="AC247" s="51" t="str">
        <f t="shared" si="135"/>
        <v/>
      </c>
      <c r="AD247" s="59"/>
      <c r="AE247" s="50">
        <v>1</v>
      </c>
      <c r="AF247" s="50"/>
      <c r="AG247" s="50"/>
      <c r="AH247" s="50"/>
      <c r="AI247" s="99">
        <f t="shared" si="136"/>
        <v>1</v>
      </c>
    </row>
    <row r="248" spans="1:35" x14ac:dyDescent="0.15">
      <c r="A248" s="82">
        <f>'Match Summary'!$B$23</f>
        <v>42238</v>
      </c>
      <c r="B248" s="64" t="str">
        <f>'Match Summary'!$C$23</f>
        <v>Canfield</v>
      </c>
      <c r="C248" s="59">
        <v>7</v>
      </c>
      <c r="D248" s="60" t="s">
        <v>48</v>
      </c>
      <c r="E248" s="49"/>
      <c r="F248" s="51"/>
      <c r="G248" s="117" t="s">
        <v>200</v>
      </c>
      <c r="H248" s="59"/>
      <c r="I248" s="59"/>
      <c r="J248" s="57"/>
      <c r="K248" s="57"/>
      <c r="L248" s="57"/>
      <c r="M248" s="57"/>
      <c r="N248" s="49" t="str">
        <f t="shared" si="131"/>
        <v/>
      </c>
      <c r="O248" s="50" t="str">
        <f t="shared" si="134"/>
        <v/>
      </c>
      <c r="P248" s="50" t="str">
        <f t="shared" si="132"/>
        <v/>
      </c>
      <c r="Q248" s="51" t="str">
        <f t="shared" si="133"/>
        <v/>
      </c>
      <c r="R248" s="59">
        <v>5</v>
      </c>
      <c r="S248" s="50">
        <v>2</v>
      </c>
      <c r="T248" s="50">
        <v>1</v>
      </c>
      <c r="U248" s="57">
        <v>0</v>
      </c>
      <c r="V248" s="57">
        <v>13</v>
      </c>
      <c r="W248" s="59">
        <f t="shared" si="123"/>
        <v>2</v>
      </c>
      <c r="X248" s="49">
        <v>1</v>
      </c>
      <c r="Y248" s="50"/>
      <c r="Z248" s="57">
        <v>1</v>
      </c>
      <c r="AA248" s="50"/>
      <c r="AB248" s="50"/>
      <c r="AC248" s="51" t="str">
        <f>IF(AND(ISNUMBER(W248),W248&gt;=5),1,"")</f>
        <v/>
      </c>
      <c r="AD248" s="59"/>
      <c r="AE248" s="50"/>
      <c r="AF248" s="50"/>
      <c r="AG248" s="50"/>
      <c r="AH248" s="50"/>
      <c r="AI248" s="99" t="str">
        <f t="shared" si="136"/>
        <v/>
      </c>
    </row>
    <row r="249" spans="1:35" x14ac:dyDescent="0.15">
      <c r="A249" s="82">
        <f>'Match Summary'!$B$23</f>
        <v>42238</v>
      </c>
      <c r="B249" s="64" t="str">
        <f>'Match Summary'!$C$23</f>
        <v>Canfield</v>
      </c>
      <c r="C249" s="59">
        <v>8</v>
      </c>
      <c r="D249" s="60" t="s">
        <v>111</v>
      </c>
      <c r="E249" s="49"/>
      <c r="F249" s="51"/>
      <c r="G249" s="117" t="s">
        <v>200</v>
      </c>
      <c r="H249" s="59"/>
      <c r="I249" s="59"/>
      <c r="J249" s="57"/>
      <c r="K249" s="57"/>
      <c r="L249" s="50"/>
      <c r="M249" s="50"/>
      <c r="N249" s="49" t="str">
        <f t="shared" si="131"/>
        <v/>
      </c>
      <c r="O249" s="50" t="str">
        <f t="shared" si="134"/>
        <v/>
      </c>
      <c r="P249" s="50" t="str">
        <f t="shared" si="132"/>
        <v/>
      </c>
      <c r="Q249" s="51" t="str">
        <f t="shared" si="133"/>
        <v/>
      </c>
      <c r="R249" s="59"/>
      <c r="S249" s="50"/>
      <c r="T249" s="50"/>
      <c r="U249" s="57"/>
      <c r="V249" s="57"/>
      <c r="W249" s="59" t="str">
        <f t="shared" si="123"/>
        <v/>
      </c>
      <c r="X249" s="49"/>
      <c r="Y249" s="50"/>
      <c r="Z249" s="57"/>
      <c r="AA249" s="50"/>
      <c r="AB249" s="50"/>
      <c r="AC249" s="51" t="str">
        <f t="shared" si="135"/>
        <v/>
      </c>
      <c r="AD249" s="59"/>
      <c r="AE249" s="50"/>
      <c r="AF249" s="50"/>
      <c r="AG249" s="50"/>
      <c r="AH249" s="50"/>
      <c r="AI249" s="99" t="str">
        <f t="shared" si="136"/>
        <v/>
      </c>
    </row>
    <row r="250" spans="1:35" x14ac:dyDescent="0.15">
      <c r="A250" s="82">
        <f>'Match Summary'!$B$23</f>
        <v>42238</v>
      </c>
      <c r="B250" s="64" t="str">
        <f>'Match Summary'!$C$23</f>
        <v>Canfield</v>
      </c>
      <c r="C250" s="59">
        <v>9</v>
      </c>
      <c r="D250" s="60" t="s">
        <v>44</v>
      </c>
      <c r="E250" s="49"/>
      <c r="F250" s="51"/>
      <c r="G250" s="117" t="s">
        <v>200</v>
      </c>
      <c r="H250" s="59"/>
      <c r="I250" s="59"/>
      <c r="J250" s="57"/>
      <c r="K250" s="57"/>
      <c r="L250" s="50"/>
      <c r="M250" s="50"/>
      <c r="N250" s="49" t="str">
        <f t="shared" si="131"/>
        <v/>
      </c>
      <c r="O250" s="50" t="str">
        <f t="shared" si="134"/>
        <v/>
      </c>
      <c r="P250" s="50" t="str">
        <f t="shared" si="132"/>
        <v/>
      </c>
      <c r="Q250" s="51" t="str">
        <f t="shared" si="133"/>
        <v/>
      </c>
      <c r="R250" s="59">
        <v>4</v>
      </c>
      <c r="S250" s="57">
        <v>1</v>
      </c>
      <c r="T250" s="57">
        <v>0</v>
      </c>
      <c r="U250" s="57">
        <v>0</v>
      </c>
      <c r="V250" s="57">
        <v>5</v>
      </c>
      <c r="W250" s="59">
        <f t="shared" si="123"/>
        <v>1</v>
      </c>
      <c r="X250" s="49"/>
      <c r="Y250" s="50"/>
      <c r="Z250" s="50">
        <v>1</v>
      </c>
      <c r="AA250" s="50"/>
      <c r="AB250" s="50"/>
      <c r="AC250" s="51" t="str">
        <f t="shared" si="135"/>
        <v/>
      </c>
      <c r="AD250" s="59"/>
      <c r="AE250" s="50">
        <v>2</v>
      </c>
      <c r="AF250" s="50"/>
      <c r="AG250" s="50"/>
      <c r="AH250" s="50"/>
      <c r="AI250" s="99">
        <f t="shared" si="136"/>
        <v>2</v>
      </c>
    </row>
    <row r="251" spans="1:35" x14ac:dyDescent="0.15">
      <c r="A251" s="82">
        <f>'Match Summary'!$B$23</f>
        <v>42238</v>
      </c>
      <c r="B251" s="64" t="str">
        <f>'Match Summary'!$C$23</f>
        <v>Canfield</v>
      </c>
      <c r="C251" s="59">
        <v>10</v>
      </c>
      <c r="D251" s="60" t="s">
        <v>51</v>
      </c>
      <c r="E251" s="49"/>
      <c r="F251" s="51"/>
      <c r="G251" s="117" t="s">
        <v>200</v>
      </c>
      <c r="H251" s="59"/>
      <c r="I251" s="59"/>
      <c r="J251" s="57"/>
      <c r="K251" s="57"/>
      <c r="L251" s="50"/>
      <c r="M251" s="50"/>
      <c r="N251" s="49" t="str">
        <f t="shared" si="131"/>
        <v/>
      </c>
      <c r="O251" s="50" t="str">
        <f t="shared" si="134"/>
        <v/>
      </c>
      <c r="P251" s="50"/>
      <c r="Q251" s="51"/>
      <c r="R251" s="59">
        <v>4</v>
      </c>
      <c r="S251" s="50">
        <v>0</v>
      </c>
      <c r="T251" s="50">
        <v>1</v>
      </c>
      <c r="U251" s="57">
        <v>0</v>
      </c>
      <c r="V251" s="57">
        <v>8</v>
      </c>
      <c r="W251" s="59">
        <f t="shared" si="123"/>
        <v>2</v>
      </c>
      <c r="X251" s="49"/>
      <c r="Y251" s="50"/>
      <c r="Z251" s="50">
        <v>2</v>
      </c>
      <c r="AA251" s="50"/>
      <c r="AB251" s="50"/>
      <c r="AC251" s="51" t="str">
        <f t="shared" si="135"/>
        <v/>
      </c>
      <c r="AD251" s="59"/>
      <c r="AE251" s="50"/>
      <c r="AF251" s="50"/>
      <c r="AG251" s="50"/>
      <c r="AH251" s="50"/>
      <c r="AI251" s="99" t="str">
        <f t="shared" si="136"/>
        <v/>
      </c>
    </row>
    <row r="252" spans="1:35" x14ac:dyDescent="0.15">
      <c r="A252" s="82">
        <f>'Match Summary'!$B$23</f>
        <v>42238</v>
      </c>
      <c r="B252" s="64" t="str">
        <f>'Match Summary'!$C$23</f>
        <v>Canfield</v>
      </c>
      <c r="C252" s="56">
        <v>11</v>
      </c>
      <c r="D252" t="s">
        <v>223</v>
      </c>
      <c r="E252" s="52"/>
      <c r="F252" s="54"/>
      <c r="G252" s="117"/>
      <c r="H252" s="56"/>
      <c r="I252" s="56"/>
      <c r="J252" s="53"/>
      <c r="K252" s="53"/>
      <c r="L252" s="53"/>
      <c r="M252" s="53"/>
      <c r="N252" s="52" t="str">
        <f t="shared" si="131"/>
        <v/>
      </c>
      <c r="O252" s="53" t="str">
        <f t="shared" si="134"/>
        <v/>
      </c>
      <c r="P252" s="53"/>
      <c r="Q252" s="54"/>
      <c r="R252" s="56"/>
      <c r="S252" s="53"/>
      <c r="T252" s="53"/>
      <c r="U252" s="53"/>
      <c r="V252" s="53"/>
      <c r="W252" s="56" t="str">
        <f t="shared" si="123"/>
        <v/>
      </c>
      <c r="X252" s="52"/>
      <c r="Y252" s="53"/>
      <c r="Z252" s="53"/>
      <c r="AA252" s="53"/>
      <c r="AB252" s="53"/>
      <c r="AC252" s="54" t="str">
        <f t="shared" si="135"/>
        <v/>
      </c>
      <c r="AD252" s="56"/>
      <c r="AE252" s="53">
        <v>1</v>
      </c>
      <c r="AF252" s="53">
        <v>1</v>
      </c>
      <c r="AG252" s="53"/>
      <c r="AH252" s="53"/>
      <c r="AI252" s="100">
        <f>IF(SUM(AE252:AH252)=0,"",SUM(AE252:AH252))</f>
        <v>2</v>
      </c>
    </row>
    <row r="253" spans="1:35" ht="15" thickBot="1" x14ac:dyDescent="0.2">
      <c r="A253" s="83">
        <f>'Match Summary'!$B$23</f>
        <v>42238</v>
      </c>
      <c r="B253" s="84" t="str">
        <f>'Match Summary'!$C$23</f>
        <v>Canfield</v>
      </c>
      <c r="C253" s="85"/>
      <c r="D253" s="86" t="s">
        <v>174</v>
      </c>
      <c r="E253" s="85"/>
      <c r="F253" s="85"/>
      <c r="G253" s="113"/>
      <c r="H253" s="86">
        <v>6</v>
      </c>
      <c r="I253" s="85"/>
      <c r="J253" s="85"/>
      <c r="K253" s="85"/>
      <c r="L253" s="85"/>
      <c r="M253" s="85"/>
      <c r="N253" s="85"/>
      <c r="O253" s="85"/>
      <c r="P253" s="87"/>
      <c r="Q253" s="88"/>
      <c r="R253" s="86">
        <f>SUBTOTAL(9,R242:R252)</f>
        <v>26</v>
      </c>
      <c r="S253" s="91">
        <f t="shared" ref="S253" si="137">SUBTOTAL(9,S242:S252)</f>
        <v>7</v>
      </c>
      <c r="T253" s="86">
        <f>SUBTOTAL(9,T242:T252)</f>
        <v>14</v>
      </c>
      <c r="U253" s="86">
        <f>SUBTOTAL(9,U242:U252)</f>
        <v>0</v>
      </c>
      <c r="V253" s="86">
        <f>SUBTOTAL(9,V242:V252)</f>
        <v>70</v>
      </c>
      <c r="W253" s="86">
        <f>SUBTOTAL(9,W242:W252)</f>
        <v>9</v>
      </c>
      <c r="X253" s="85"/>
      <c r="Y253" s="85"/>
      <c r="Z253" s="85"/>
      <c r="AA253" s="85"/>
      <c r="AB253" s="85"/>
      <c r="AC253" s="85" t="s">
        <v>259</v>
      </c>
      <c r="AD253" s="92">
        <v>1</v>
      </c>
      <c r="AE253" s="85"/>
      <c r="AF253" s="85"/>
      <c r="AG253" s="85"/>
      <c r="AH253" s="85"/>
      <c r="AI253" s="101"/>
    </row>
    <row r="254" spans="1:35" x14ac:dyDescent="0.15">
      <c r="A254" s="75">
        <f>'Match Summary'!$B$24</f>
        <v>42246</v>
      </c>
      <c r="B254" s="76" t="str">
        <f>'Match Summary'!$C$24</f>
        <v>Springfield_II_D1</v>
      </c>
      <c r="C254" s="77">
        <v>1</v>
      </c>
      <c r="D254" s="78" t="s">
        <v>111</v>
      </c>
      <c r="E254" s="79"/>
      <c r="F254" s="80"/>
      <c r="G254" s="116" t="s">
        <v>199</v>
      </c>
      <c r="H254" s="77">
        <v>7</v>
      </c>
      <c r="I254" s="77" t="s">
        <v>201</v>
      </c>
      <c r="J254" s="81">
        <v>13</v>
      </c>
      <c r="K254" s="81">
        <v>16</v>
      </c>
      <c r="L254" s="81">
        <v>1</v>
      </c>
      <c r="M254" s="81"/>
      <c r="N254" s="79" t="str">
        <f t="shared" ref="N254:N265" si="138">IF(I254="NO",1,"")</f>
        <v/>
      </c>
      <c r="O254" s="81" t="str">
        <f t="shared" ref="O254:O265" si="139">IF(OR(H254&gt;0,H254=""),"",IF(I254="no","",1))</f>
        <v/>
      </c>
      <c r="P254" s="81" t="str">
        <f t="shared" ref="P254:P266" si="140">IF(AND(H254&gt;=50,H254&lt;100),1,"")</f>
        <v/>
      </c>
      <c r="Q254" s="80" t="str">
        <f t="shared" ref="Q254:Q266" si="141">IF(H254&gt;=100,1,"")</f>
        <v/>
      </c>
      <c r="R254" s="77"/>
      <c r="S254" s="81"/>
      <c r="T254" s="81"/>
      <c r="U254" s="81"/>
      <c r="V254" s="81"/>
      <c r="W254" s="77" t="str">
        <f t="shared" si="123"/>
        <v/>
      </c>
      <c r="X254" s="79"/>
      <c r="Y254" s="81"/>
      <c r="Z254" s="81"/>
      <c r="AA254" s="81"/>
      <c r="AB254" s="81"/>
      <c r="AC254" s="80" t="str">
        <f t="shared" ref="AC254:AC265" si="142">IF(AND(ISNUMBER(W254),W254&gt;=5),1,"")</f>
        <v/>
      </c>
      <c r="AD254" s="77"/>
      <c r="AE254" s="81"/>
      <c r="AF254" s="81"/>
      <c r="AG254" s="81"/>
      <c r="AH254" s="81"/>
      <c r="AI254" s="98" t="str">
        <f>IF(SUM(AE254:AH254)=0,"",SUM(AE254:AH254))</f>
        <v/>
      </c>
    </row>
    <row r="255" spans="1:35" x14ac:dyDescent="0.15">
      <c r="A255" s="82">
        <f>'Match Summary'!$B$24</f>
        <v>42246</v>
      </c>
      <c r="B255" s="64" t="str">
        <f>'Match Summary'!$C$24</f>
        <v>Springfield_II_D1</v>
      </c>
      <c r="C255" s="59">
        <v>2</v>
      </c>
      <c r="D255" s="60" t="s">
        <v>160</v>
      </c>
      <c r="E255" s="49"/>
      <c r="F255" s="51"/>
      <c r="G255" s="117" t="s">
        <v>199</v>
      </c>
      <c r="H255" s="59">
        <v>0</v>
      </c>
      <c r="I255" s="59" t="s">
        <v>201</v>
      </c>
      <c r="J255" s="57">
        <v>3</v>
      </c>
      <c r="K255" s="57">
        <v>3</v>
      </c>
      <c r="L255" s="50"/>
      <c r="M255" s="50"/>
      <c r="N255" s="49" t="str">
        <f t="shared" si="138"/>
        <v/>
      </c>
      <c r="O255" s="50">
        <f t="shared" si="139"/>
        <v>1</v>
      </c>
      <c r="P255" s="50" t="str">
        <f t="shared" si="140"/>
        <v/>
      </c>
      <c r="Q255" s="51" t="str">
        <f t="shared" si="141"/>
        <v/>
      </c>
      <c r="R255" s="59"/>
      <c r="S255" s="50"/>
      <c r="T255" s="50"/>
      <c r="U255" s="50"/>
      <c r="V255" s="50"/>
      <c r="W255" s="59" t="str">
        <f t="shared" si="123"/>
        <v/>
      </c>
      <c r="X255" s="49"/>
      <c r="Y255" s="50"/>
      <c r="Z255" s="50"/>
      <c r="AA255" s="50"/>
      <c r="AB255" s="50"/>
      <c r="AC255" s="51" t="str">
        <f t="shared" si="142"/>
        <v/>
      </c>
      <c r="AD255" s="59"/>
      <c r="AE255" s="50"/>
      <c r="AF255" s="50"/>
      <c r="AG255" s="50"/>
      <c r="AH255" s="50"/>
      <c r="AI255" s="99" t="str">
        <f t="shared" ref="AI255:AI263" si="143">IF(SUM(AE255:AH255)=0,"",SUM(AE255:AH255))</f>
        <v/>
      </c>
    </row>
    <row r="256" spans="1:35" x14ac:dyDescent="0.15">
      <c r="A256" s="82">
        <f>'Match Summary'!$B$24</f>
        <v>42246</v>
      </c>
      <c r="B256" s="64" t="str">
        <f>'Match Summary'!$C$24</f>
        <v>Springfield_II_D1</v>
      </c>
      <c r="C256" s="59">
        <v>3</v>
      </c>
      <c r="D256" s="61" t="s">
        <v>40</v>
      </c>
      <c r="E256" s="49"/>
      <c r="F256" s="51"/>
      <c r="G256" s="117" t="s">
        <v>199</v>
      </c>
      <c r="H256" s="59">
        <v>35</v>
      </c>
      <c r="I256" s="59" t="s">
        <v>202</v>
      </c>
      <c r="J256" s="57">
        <v>74</v>
      </c>
      <c r="K256" s="57">
        <v>82</v>
      </c>
      <c r="L256" s="57">
        <v>4</v>
      </c>
      <c r="M256" s="50"/>
      <c r="N256" s="49" t="str">
        <f t="shared" si="138"/>
        <v/>
      </c>
      <c r="O256" s="50" t="str">
        <f t="shared" si="139"/>
        <v/>
      </c>
      <c r="P256" s="50" t="str">
        <f t="shared" si="140"/>
        <v/>
      </c>
      <c r="Q256" s="51" t="str">
        <f t="shared" si="141"/>
        <v/>
      </c>
      <c r="R256" s="59">
        <v>8</v>
      </c>
      <c r="S256" s="50">
        <v>2</v>
      </c>
      <c r="T256" s="50">
        <v>0</v>
      </c>
      <c r="U256" s="57">
        <v>0</v>
      </c>
      <c r="V256" s="57">
        <v>35</v>
      </c>
      <c r="W256" s="59">
        <f t="shared" si="123"/>
        <v>2</v>
      </c>
      <c r="X256" s="49">
        <v>2</v>
      </c>
      <c r="Y256" s="50"/>
      <c r="Z256" s="57"/>
      <c r="AA256" s="50"/>
      <c r="AB256" s="50"/>
      <c r="AC256" s="51" t="str">
        <f t="shared" si="142"/>
        <v/>
      </c>
      <c r="AD256" s="59"/>
      <c r="AE256" s="50"/>
      <c r="AF256" s="50"/>
      <c r="AG256" s="50"/>
      <c r="AH256" s="50"/>
      <c r="AI256" s="99" t="str">
        <f t="shared" si="143"/>
        <v/>
      </c>
    </row>
    <row r="257" spans="1:35" x14ac:dyDescent="0.15">
      <c r="A257" s="82">
        <f>'Match Summary'!$B$24</f>
        <v>42246</v>
      </c>
      <c r="B257" s="64" t="str">
        <f>'Match Summary'!$C$24</f>
        <v>Springfield_II_D1</v>
      </c>
      <c r="C257" s="59">
        <v>4</v>
      </c>
      <c r="D257" s="17" t="s">
        <v>156</v>
      </c>
      <c r="E257" s="49"/>
      <c r="F257" s="51"/>
      <c r="G257" s="117" t="s">
        <v>199</v>
      </c>
      <c r="H257" s="59">
        <v>46</v>
      </c>
      <c r="I257" s="59" t="s">
        <v>201</v>
      </c>
      <c r="J257" s="57">
        <v>70</v>
      </c>
      <c r="K257" s="57">
        <v>89</v>
      </c>
      <c r="L257" s="57">
        <v>4</v>
      </c>
      <c r="M257" s="57">
        <v>1</v>
      </c>
      <c r="N257" s="49" t="str">
        <f t="shared" si="138"/>
        <v/>
      </c>
      <c r="O257" s="50" t="str">
        <f t="shared" si="139"/>
        <v/>
      </c>
      <c r="P257" s="50" t="str">
        <f t="shared" si="140"/>
        <v/>
      </c>
      <c r="Q257" s="51" t="str">
        <f t="shared" si="141"/>
        <v/>
      </c>
      <c r="R257" s="59"/>
      <c r="S257" s="50"/>
      <c r="T257" s="50"/>
      <c r="U257" s="50"/>
      <c r="V257" s="50"/>
      <c r="W257" s="59" t="str">
        <f t="shared" si="123"/>
        <v/>
      </c>
      <c r="X257" s="49"/>
      <c r="Y257" s="50"/>
      <c r="Z257" s="50"/>
      <c r="AA257" s="50"/>
      <c r="AB257" s="50"/>
      <c r="AC257" s="51" t="str">
        <f t="shared" si="142"/>
        <v/>
      </c>
      <c r="AD257" s="59"/>
      <c r="AE257" s="50"/>
      <c r="AF257" s="50"/>
      <c r="AG257" s="50"/>
      <c r="AH257" s="50"/>
      <c r="AI257" s="99" t="str">
        <f t="shared" si="143"/>
        <v/>
      </c>
    </row>
    <row r="258" spans="1:35" x14ac:dyDescent="0.15">
      <c r="A258" s="82">
        <f>'Match Summary'!$B$24</f>
        <v>42246</v>
      </c>
      <c r="B258" s="64" t="str">
        <f>'Match Summary'!$C$24</f>
        <v>Springfield_II_D1</v>
      </c>
      <c r="C258" s="59">
        <v>5</v>
      </c>
      <c r="D258" s="61" t="s">
        <v>41</v>
      </c>
      <c r="E258" s="49"/>
      <c r="F258" s="51"/>
      <c r="G258" s="117" t="s">
        <v>199</v>
      </c>
      <c r="H258" s="59">
        <v>20</v>
      </c>
      <c r="I258" s="59" t="s">
        <v>201</v>
      </c>
      <c r="J258" s="57">
        <v>22</v>
      </c>
      <c r="K258" s="57">
        <v>20</v>
      </c>
      <c r="L258" s="57">
        <v>2</v>
      </c>
      <c r="M258" s="50"/>
      <c r="N258" s="49" t="str">
        <f t="shared" si="138"/>
        <v/>
      </c>
      <c r="O258" s="50" t="str">
        <f t="shared" si="139"/>
        <v/>
      </c>
      <c r="P258" s="50" t="str">
        <f t="shared" si="140"/>
        <v/>
      </c>
      <c r="Q258" s="51" t="str">
        <f t="shared" si="141"/>
        <v/>
      </c>
      <c r="R258" s="59">
        <v>3.2</v>
      </c>
      <c r="S258" s="50">
        <v>0</v>
      </c>
      <c r="T258" s="50">
        <v>0</v>
      </c>
      <c r="U258" s="57">
        <v>0</v>
      </c>
      <c r="V258" s="57">
        <v>20</v>
      </c>
      <c r="W258" s="59">
        <f t="shared" si="123"/>
        <v>1</v>
      </c>
      <c r="X258" s="49">
        <v>1</v>
      </c>
      <c r="Y258" s="50"/>
      <c r="Z258" s="57"/>
      <c r="AA258" s="50"/>
      <c r="AB258" s="50"/>
      <c r="AC258" s="51" t="str">
        <f t="shared" si="142"/>
        <v/>
      </c>
      <c r="AD258" s="59"/>
      <c r="AE258" s="50"/>
      <c r="AF258" s="50"/>
      <c r="AG258" s="50"/>
      <c r="AH258" s="50"/>
      <c r="AI258" s="99" t="str">
        <f t="shared" si="143"/>
        <v/>
      </c>
    </row>
    <row r="259" spans="1:35" x14ac:dyDescent="0.15">
      <c r="A259" s="82">
        <f>'Match Summary'!$B$24</f>
        <v>42246</v>
      </c>
      <c r="B259" s="64" t="str">
        <f>'Match Summary'!$C$24</f>
        <v>Springfield_II_D1</v>
      </c>
      <c r="C259" s="59">
        <v>6</v>
      </c>
      <c r="D259" s="61" t="s">
        <v>47</v>
      </c>
      <c r="E259" s="49" t="s">
        <v>195</v>
      </c>
      <c r="F259" s="51"/>
      <c r="G259" s="117" t="s">
        <v>199</v>
      </c>
      <c r="H259" s="59">
        <v>12</v>
      </c>
      <c r="I259" s="59" t="s">
        <v>201</v>
      </c>
      <c r="J259" s="57">
        <v>42</v>
      </c>
      <c r="K259" s="57">
        <v>33</v>
      </c>
      <c r="L259" s="57">
        <v>1</v>
      </c>
      <c r="M259" s="50"/>
      <c r="N259" s="49" t="str">
        <f t="shared" si="138"/>
        <v/>
      </c>
      <c r="O259" s="50" t="str">
        <f t="shared" si="139"/>
        <v/>
      </c>
      <c r="P259" s="50" t="str">
        <f t="shared" si="140"/>
        <v/>
      </c>
      <c r="Q259" s="51" t="str">
        <f t="shared" si="141"/>
        <v/>
      </c>
      <c r="R259" s="59">
        <v>11</v>
      </c>
      <c r="S259" s="50">
        <v>1</v>
      </c>
      <c r="T259" s="50">
        <v>1</v>
      </c>
      <c r="U259" s="57">
        <v>0</v>
      </c>
      <c r="V259" s="57">
        <v>41</v>
      </c>
      <c r="W259" s="59">
        <f t="shared" si="123"/>
        <v>2</v>
      </c>
      <c r="X259" s="49">
        <v>2</v>
      </c>
      <c r="Y259" s="50"/>
      <c r="Z259" s="50"/>
      <c r="AA259" s="50"/>
      <c r="AB259" s="50"/>
      <c r="AC259" s="51" t="str">
        <f t="shared" si="142"/>
        <v/>
      </c>
      <c r="AD259" s="59"/>
      <c r="AE259" s="50"/>
      <c r="AF259" s="50"/>
      <c r="AG259" s="50"/>
      <c r="AH259" s="50"/>
      <c r="AI259" s="99" t="str">
        <f t="shared" si="143"/>
        <v/>
      </c>
    </row>
    <row r="260" spans="1:35" x14ac:dyDescent="0.15">
      <c r="A260" s="82">
        <f>'Match Summary'!$B$24</f>
        <v>42246</v>
      </c>
      <c r="B260" s="64" t="str">
        <f>'Match Summary'!$C$24</f>
        <v>Springfield_II_D1</v>
      </c>
      <c r="C260" s="59">
        <v>7</v>
      </c>
      <c r="D260" s="61" t="s">
        <v>39</v>
      </c>
      <c r="E260" s="49"/>
      <c r="F260" s="51"/>
      <c r="G260" s="117" t="s">
        <v>199</v>
      </c>
      <c r="H260" s="59">
        <v>14</v>
      </c>
      <c r="I260" s="59" t="s">
        <v>202</v>
      </c>
      <c r="J260" s="57">
        <v>20</v>
      </c>
      <c r="K260" s="57">
        <v>42</v>
      </c>
      <c r="L260" s="57">
        <v>1</v>
      </c>
      <c r="M260" s="57"/>
      <c r="N260" s="49" t="str">
        <f t="shared" si="138"/>
        <v/>
      </c>
      <c r="O260" s="50" t="str">
        <f t="shared" si="139"/>
        <v/>
      </c>
      <c r="P260" s="50" t="str">
        <f t="shared" si="140"/>
        <v/>
      </c>
      <c r="Q260" s="51" t="str">
        <f t="shared" si="141"/>
        <v/>
      </c>
      <c r="R260" s="59">
        <v>4</v>
      </c>
      <c r="S260" s="50">
        <v>2</v>
      </c>
      <c r="T260" s="50">
        <v>0</v>
      </c>
      <c r="U260" s="57">
        <v>0</v>
      </c>
      <c r="V260" s="57">
        <v>3</v>
      </c>
      <c r="W260" s="59">
        <f t="shared" si="123"/>
        <v>1</v>
      </c>
      <c r="X260" s="49">
        <v>1</v>
      </c>
      <c r="Y260" s="50"/>
      <c r="Z260" s="57"/>
      <c r="AA260" s="50"/>
      <c r="AB260" s="50"/>
      <c r="AC260" s="51" t="str">
        <f>IF(AND(ISNUMBER(W260),W260&gt;=5),1,"")</f>
        <v/>
      </c>
      <c r="AD260" s="59"/>
      <c r="AE260" s="50"/>
      <c r="AF260" s="50"/>
      <c r="AG260" s="50"/>
      <c r="AH260" s="50"/>
      <c r="AI260" s="99" t="str">
        <f t="shared" si="143"/>
        <v/>
      </c>
    </row>
    <row r="261" spans="1:35" x14ac:dyDescent="0.15">
      <c r="A261" s="82">
        <f>'Match Summary'!$B$24</f>
        <v>42246</v>
      </c>
      <c r="B261" s="64" t="str">
        <f>'Match Summary'!$C$24</f>
        <v>Springfield_II_D1</v>
      </c>
      <c r="C261" s="59">
        <v>8</v>
      </c>
      <c r="D261" s="60" t="s">
        <v>103</v>
      </c>
      <c r="E261" s="49"/>
      <c r="F261" s="51"/>
      <c r="G261" s="117" t="s">
        <v>199</v>
      </c>
      <c r="H261" s="59">
        <v>0</v>
      </c>
      <c r="I261" s="59" t="s">
        <v>201</v>
      </c>
      <c r="J261" s="57">
        <v>3</v>
      </c>
      <c r="K261" s="57">
        <v>5</v>
      </c>
      <c r="L261" s="50"/>
      <c r="M261" s="50"/>
      <c r="N261" s="49" t="str">
        <f t="shared" si="138"/>
        <v/>
      </c>
      <c r="O261" s="50">
        <f t="shared" si="139"/>
        <v>1</v>
      </c>
      <c r="P261" s="50" t="str">
        <f t="shared" si="140"/>
        <v/>
      </c>
      <c r="Q261" s="51" t="str">
        <f t="shared" si="141"/>
        <v/>
      </c>
      <c r="R261" s="59"/>
      <c r="S261" s="50"/>
      <c r="T261" s="50"/>
      <c r="U261" s="57"/>
      <c r="V261" s="57"/>
      <c r="W261" s="59" t="str">
        <f t="shared" si="123"/>
        <v/>
      </c>
      <c r="X261" s="49"/>
      <c r="Y261" s="50"/>
      <c r="Z261" s="57"/>
      <c r="AA261" s="50"/>
      <c r="AB261" s="50"/>
      <c r="AC261" s="51" t="str">
        <f t="shared" si="142"/>
        <v/>
      </c>
      <c r="AD261" s="59"/>
      <c r="AE261" s="50"/>
      <c r="AF261" s="50"/>
      <c r="AG261" s="50"/>
      <c r="AH261" s="50"/>
      <c r="AI261" s="99" t="str">
        <f t="shared" si="143"/>
        <v/>
      </c>
    </row>
    <row r="262" spans="1:35" x14ac:dyDescent="0.15">
      <c r="A262" s="82">
        <f>'Match Summary'!$B$24</f>
        <v>42246</v>
      </c>
      <c r="B262" s="64" t="str">
        <f>'Match Summary'!$C$24</f>
        <v>Springfield_II_D1</v>
      </c>
      <c r="C262" s="59">
        <v>9</v>
      </c>
      <c r="D262" s="60" t="s">
        <v>185</v>
      </c>
      <c r="E262" s="49"/>
      <c r="F262" s="51"/>
      <c r="G262" s="117" t="s">
        <v>199</v>
      </c>
      <c r="H262" s="59">
        <v>0</v>
      </c>
      <c r="I262" s="59" t="s">
        <v>232</v>
      </c>
      <c r="J262" s="57">
        <v>6</v>
      </c>
      <c r="K262" s="57">
        <v>5</v>
      </c>
      <c r="L262" s="50"/>
      <c r="M262" s="50"/>
      <c r="N262" s="49" t="str">
        <f t="shared" si="138"/>
        <v/>
      </c>
      <c r="O262" s="50">
        <f t="shared" si="139"/>
        <v>1</v>
      </c>
      <c r="P262" s="50" t="str">
        <f t="shared" si="140"/>
        <v/>
      </c>
      <c r="Q262" s="51" t="str">
        <f t="shared" si="141"/>
        <v/>
      </c>
      <c r="R262" s="59">
        <v>3</v>
      </c>
      <c r="S262" s="57">
        <v>1</v>
      </c>
      <c r="T262" s="57">
        <v>0</v>
      </c>
      <c r="U262" s="57">
        <v>2</v>
      </c>
      <c r="V262" s="57">
        <v>11</v>
      </c>
      <c r="W262" s="59">
        <f t="shared" si="123"/>
        <v>1</v>
      </c>
      <c r="X262" s="49">
        <v>1</v>
      </c>
      <c r="Y262" s="50"/>
      <c r="Z262" s="50"/>
      <c r="AA262" s="50"/>
      <c r="AB262" s="50"/>
      <c r="AC262" s="51" t="str">
        <f t="shared" si="142"/>
        <v/>
      </c>
      <c r="AD262" s="59"/>
      <c r="AE262" s="50"/>
      <c r="AF262" s="50"/>
      <c r="AG262" s="50"/>
      <c r="AH262" s="50"/>
      <c r="AI262" s="99" t="str">
        <f t="shared" si="143"/>
        <v/>
      </c>
    </row>
    <row r="263" spans="1:35" x14ac:dyDescent="0.15">
      <c r="A263" s="82">
        <f>'Match Summary'!$B$24</f>
        <v>42246</v>
      </c>
      <c r="B263" s="64" t="str">
        <f>'Match Summary'!$C$24</f>
        <v>Springfield_II_D1</v>
      </c>
      <c r="C263" s="59">
        <v>10</v>
      </c>
      <c r="D263" s="60" t="s">
        <v>117</v>
      </c>
      <c r="E263" s="49"/>
      <c r="F263" s="51"/>
      <c r="G263" s="117" t="s">
        <v>199</v>
      </c>
      <c r="H263" s="59">
        <v>1</v>
      </c>
      <c r="I263" s="59" t="s">
        <v>201</v>
      </c>
      <c r="J263" s="57">
        <v>12</v>
      </c>
      <c r="K263" s="57">
        <v>16</v>
      </c>
      <c r="L263" s="50"/>
      <c r="M263" s="50"/>
      <c r="N263" s="49" t="str">
        <f t="shared" ref="N263" si="144">IF(I263="NO",1,"")</f>
        <v/>
      </c>
      <c r="O263" s="50" t="str">
        <f t="shared" ref="O263" si="145">IF(OR(H263&gt;0,H263=""),"",IF(I263="no","",1))</f>
        <v/>
      </c>
      <c r="P263" s="50" t="str">
        <f t="shared" ref="P263" si="146">IF(AND(H263&gt;=50,H263&lt;100),1,"")</f>
        <v/>
      </c>
      <c r="Q263" s="51" t="str">
        <f t="shared" ref="Q263" si="147">IF(H263&gt;=100,1,"")</f>
        <v/>
      </c>
      <c r="R263" s="59"/>
      <c r="S263" s="50"/>
      <c r="T263" s="50"/>
      <c r="U263" s="50"/>
      <c r="V263" s="50"/>
      <c r="W263" s="59" t="str">
        <f t="shared" si="123"/>
        <v/>
      </c>
      <c r="X263" s="49"/>
      <c r="Y263" s="50"/>
      <c r="Z263" s="50"/>
      <c r="AA263" s="50"/>
      <c r="AB263" s="50"/>
      <c r="AC263" s="51" t="str">
        <f t="shared" si="142"/>
        <v/>
      </c>
      <c r="AD263" s="59"/>
      <c r="AE263" s="50"/>
      <c r="AF263" s="50"/>
      <c r="AG263" s="50"/>
      <c r="AH263" s="50"/>
      <c r="AI263" s="99" t="str">
        <f t="shared" si="143"/>
        <v/>
      </c>
    </row>
    <row r="264" spans="1:35" x14ac:dyDescent="0.15">
      <c r="A264" s="82">
        <f>'Match Summary'!$B$24</f>
        <v>42246</v>
      </c>
      <c r="B264" s="64" t="str">
        <f>'Match Summary'!$C$24</f>
        <v>Springfield_II_D1</v>
      </c>
      <c r="C264" s="59">
        <v>11</v>
      </c>
      <c r="D264" s="60" t="s">
        <v>45</v>
      </c>
      <c r="E264" s="49"/>
      <c r="F264" s="51"/>
      <c r="G264" s="117" t="s">
        <v>199</v>
      </c>
      <c r="H264" s="59">
        <v>2</v>
      </c>
      <c r="I264" s="59" t="s">
        <v>203</v>
      </c>
      <c r="J264" s="57">
        <v>4</v>
      </c>
      <c r="K264" s="57">
        <v>15</v>
      </c>
      <c r="L264" s="50"/>
      <c r="M264" s="50"/>
      <c r="N264" s="49">
        <f t="shared" si="138"/>
        <v>1</v>
      </c>
      <c r="O264" s="57" t="str">
        <f t="shared" si="139"/>
        <v/>
      </c>
      <c r="P264" s="57" t="str">
        <f t="shared" si="140"/>
        <v/>
      </c>
      <c r="Q264" s="51" t="str">
        <f t="shared" si="141"/>
        <v/>
      </c>
      <c r="R264" s="59">
        <v>8</v>
      </c>
      <c r="S264" s="50">
        <v>3</v>
      </c>
      <c r="T264" s="50">
        <v>0</v>
      </c>
      <c r="U264" s="57">
        <v>0</v>
      </c>
      <c r="V264" s="57">
        <v>23</v>
      </c>
      <c r="W264" s="59">
        <f t="shared" si="123"/>
        <v>3</v>
      </c>
      <c r="X264" s="49">
        <v>2</v>
      </c>
      <c r="Y264" s="50"/>
      <c r="Z264" s="57">
        <v>1</v>
      </c>
      <c r="AA264" s="50"/>
      <c r="AB264" s="50"/>
      <c r="AC264" s="51" t="str">
        <f t="shared" si="142"/>
        <v/>
      </c>
      <c r="AD264" s="59"/>
      <c r="AE264" s="50"/>
      <c r="AF264" s="50"/>
      <c r="AG264" s="50"/>
      <c r="AH264" s="50"/>
      <c r="AI264" s="99" t="str">
        <f>IF(SUM(AE264:AH264)=0,"",SUM(AE264:AH264))</f>
        <v/>
      </c>
    </row>
    <row r="265" spans="1:35" x14ac:dyDescent="0.15">
      <c r="A265" s="82">
        <f>'Match Summary'!$B$24</f>
        <v>42246</v>
      </c>
      <c r="B265" s="64" t="str">
        <f>'Match Summary'!$C$24</f>
        <v>Springfield_II_D1</v>
      </c>
      <c r="C265" s="59">
        <v>12</v>
      </c>
      <c r="D265" s="62" t="s">
        <v>49</v>
      </c>
      <c r="E265" s="52"/>
      <c r="F265" s="54" t="s">
        <v>195</v>
      </c>
      <c r="G265" s="117" t="s">
        <v>199</v>
      </c>
      <c r="H265" s="56">
        <v>9</v>
      </c>
      <c r="I265" s="56" t="s">
        <v>202</v>
      </c>
      <c r="J265" s="53">
        <v>12</v>
      </c>
      <c r="K265" s="53">
        <v>10</v>
      </c>
      <c r="L265" s="53">
        <v>2</v>
      </c>
      <c r="M265" s="53"/>
      <c r="N265" s="52" t="str">
        <f t="shared" si="138"/>
        <v/>
      </c>
      <c r="O265" s="53" t="str">
        <f t="shared" si="139"/>
        <v/>
      </c>
      <c r="P265" s="53" t="str">
        <f t="shared" si="140"/>
        <v/>
      </c>
      <c r="Q265" s="54" t="str">
        <f t="shared" si="141"/>
        <v/>
      </c>
      <c r="R265" s="56"/>
      <c r="S265" s="53"/>
      <c r="T265" s="53"/>
      <c r="U265" s="53"/>
      <c r="V265" s="53"/>
      <c r="W265" s="56" t="str">
        <f t="shared" si="123"/>
        <v/>
      </c>
      <c r="X265" s="52"/>
      <c r="Y265" s="53"/>
      <c r="Z265" s="53"/>
      <c r="AA265" s="53"/>
      <c r="AB265" s="53"/>
      <c r="AC265" s="53" t="str">
        <f t="shared" si="142"/>
        <v/>
      </c>
      <c r="AD265" s="56">
        <v>4</v>
      </c>
      <c r="AE265" s="53"/>
      <c r="AF265" s="53"/>
      <c r="AG265" s="53"/>
      <c r="AH265" s="53">
        <v>1</v>
      </c>
      <c r="AI265" s="100"/>
    </row>
    <row r="266" spans="1:35" ht="15" thickBot="1" x14ac:dyDescent="0.2">
      <c r="A266" s="83">
        <f>'Match Summary'!$B$24</f>
        <v>42246</v>
      </c>
      <c r="B266" s="84" t="str">
        <f>'Match Summary'!$C$24</f>
        <v>Springfield_II_D1</v>
      </c>
      <c r="C266" s="85"/>
      <c r="D266" s="86" t="s">
        <v>174</v>
      </c>
      <c r="E266" s="85"/>
      <c r="F266" s="85"/>
      <c r="G266" s="113"/>
      <c r="H266" s="86">
        <v>9</v>
      </c>
      <c r="I266" s="85"/>
      <c r="J266" s="85"/>
      <c r="K266" s="85"/>
      <c r="L266" s="85"/>
      <c r="M266" s="85"/>
      <c r="N266" s="85"/>
      <c r="O266" s="85"/>
      <c r="P266" s="87" t="str">
        <f t="shared" si="140"/>
        <v/>
      </c>
      <c r="Q266" s="88" t="str">
        <f t="shared" si="141"/>
        <v/>
      </c>
      <c r="R266" s="86">
        <f>SUBTOTAL(9,R255:R265)</f>
        <v>37.200000000000003</v>
      </c>
      <c r="S266" s="91">
        <f t="shared" ref="S266" si="148">SUBTOTAL(9,S255:S265)</f>
        <v>9</v>
      </c>
      <c r="T266" s="86">
        <f>SUBTOTAL(9,T255:T265)</f>
        <v>1</v>
      </c>
      <c r="U266" s="86">
        <f>SUBTOTAL(9,U255:U265)</f>
        <v>2</v>
      </c>
      <c r="V266" s="86">
        <f>SUBTOTAL(9,V255:V265)</f>
        <v>133</v>
      </c>
      <c r="W266" s="86">
        <f>SUBTOTAL(9,W255:W265)</f>
        <v>10</v>
      </c>
      <c r="X266" s="85"/>
      <c r="Y266" s="85"/>
      <c r="Z266" s="85"/>
      <c r="AA266" s="85"/>
      <c r="AB266" s="85"/>
      <c r="AC266" s="85" t="s">
        <v>259</v>
      </c>
      <c r="AD266" s="92">
        <v>6</v>
      </c>
      <c r="AE266" s="85"/>
      <c r="AF266" s="85"/>
      <c r="AG266" s="85"/>
      <c r="AH266" s="85"/>
      <c r="AI266" s="101"/>
    </row>
    <row r="267" spans="1:35" x14ac:dyDescent="0.15">
      <c r="A267" s="75">
        <f>'Match Summary'!$B$25</f>
        <v>42247</v>
      </c>
      <c r="B267" s="76" t="str">
        <f>'Match Summary'!$C$25</f>
        <v>Springfield_II_D2</v>
      </c>
      <c r="C267" s="77">
        <v>1</v>
      </c>
      <c r="D267" s="78"/>
      <c r="E267" s="79"/>
      <c r="F267" s="80"/>
      <c r="G267" s="116"/>
      <c r="H267" s="77"/>
      <c r="I267" s="77"/>
      <c r="J267" s="81"/>
      <c r="K267" s="81"/>
      <c r="L267" s="81"/>
      <c r="M267" s="81"/>
      <c r="N267" s="79" t="str">
        <f t="shared" ref="N267" si="149">IF(I267="NO",1,"")</f>
        <v/>
      </c>
      <c r="O267" s="81" t="str">
        <f t="shared" ref="O267" si="150">IF(OR(H267&gt;0,H267=""),"",IF(I267="no","",1))</f>
        <v/>
      </c>
      <c r="P267" s="81" t="str">
        <f t="shared" ref="P267" si="151">IF(AND(H267&gt;=50,H267&lt;100),1,"")</f>
        <v/>
      </c>
      <c r="Q267" s="80" t="str">
        <f t="shared" ref="Q267" si="152">IF(H267&gt;=100,1,"")</f>
        <v/>
      </c>
      <c r="R267" s="77"/>
      <c r="S267" s="81"/>
      <c r="T267" s="81"/>
      <c r="U267" s="81"/>
      <c r="V267" s="81"/>
      <c r="W267" s="77" t="str">
        <f t="shared" ref="W267:W279" si="153">IF(R267="","",SUM(X267:AB267))</f>
        <v/>
      </c>
      <c r="X267" s="79"/>
      <c r="Y267" s="81"/>
      <c r="Z267" s="81"/>
      <c r="AA267" s="81"/>
      <c r="AB267" s="81"/>
      <c r="AC267" s="81"/>
      <c r="AD267" s="77"/>
      <c r="AE267" s="81"/>
      <c r="AF267" s="81"/>
      <c r="AG267" s="81"/>
      <c r="AH267" s="81"/>
      <c r="AI267" s="98"/>
    </row>
    <row r="268" spans="1:35" x14ac:dyDescent="0.15">
      <c r="A268" s="82">
        <f>'Match Summary'!$B$25</f>
        <v>42247</v>
      </c>
      <c r="B268" s="50" t="str">
        <f>'Match Summary'!$C$25</f>
        <v>Springfield_II_D2</v>
      </c>
      <c r="C268" s="59">
        <v>2</v>
      </c>
      <c r="D268" s="61"/>
      <c r="E268" s="49"/>
      <c r="F268" s="51"/>
      <c r="G268" s="117"/>
      <c r="H268" s="59"/>
      <c r="I268" s="59"/>
      <c r="J268" s="57"/>
      <c r="K268" s="57"/>
      <c r="L268" s="50"/>
      <c r="M268" s="50"/>
      <c r="N268" s="49" t="str">
        <f t="shared" ref="N268:N278" si="154">IF(I268="NO",1,"")</f>
        <v/>
      </c>
      <c r="O268" s="50" t="str">
        <f t="shared" ref="O268:O278" si="155">IF(OR(H268&gt;0,H268=""),"",IF(I268="no","",1))</f>
        <v/>
      </c>
      <c r="P268" s="50" t="str">
        <f t="shared" ref="P268:P278" si="156">IF(AND(H268&gt;=50,H268&lt;100),1,"")</f>
        <v/>
      </c>
      <c r="Q268" s="51" t="str">
        <f t="shared" ref="Q268:Q278" si="157">IF(H268&gt;=100,1,"")</f>
        <v/>
      </c>
      <c r="R268" s="59"/>
      <c r="S268" s="50"/>
      <c r="T268" s="50"/>
      <c r="U268" s="50"/>
      <c r="V268" s="50"/>
      <c r="W268" s="59" t="str">
        <f t="shared" si="153"/>
        <v/>
      </c>
      <c r="X268" s="49"/>
      <c r="Y268" s="50"/>
      <c r="Z268" s="50"/>
      <c r="AA268" s="50"/>
      <c r="AB268" s="50"/>
      <c r="AC268" s="50"/>
      <c r="AD268" s="59"/>
      <c r="AE268" s="50"/>
      <c r="AF268" s="50"/>
      <c r="AG268" s="50"/>
      <c r="AH268" s="50"/>
      <c r="AI268" s="99"/>
    </row>
    <row r="269" spans="1:35" x14ac:dyDescent="0.15">
      <c r="A269" s="82">
        <f>'Match Summary'!$B$25</f>
        <v>42247</v>
      </c>
      <c r="B269" s="50" t="str">
        <f>'Match Summary'!$C$25</f>
        <v>Springfield_II_D2</v>
      </c>
      <c r="C269" s="59">
        <v>3</v>
      </c>
      <c r="D269" s="61"/>
      <c r="E269" s="49"/>
      <c r="F269" s="51"/>
      <c r="G269" s="117"/>
      <c r="H269" s="59"/>
      <c r="I269" s="59"/>
      <c r="J269" s="57"/>
      <c r="K269" s="57"/>
      <c r="L269" s="57"/>
      <c r="M269" s="51"/>
      <c r="N269" s="50" t="str">
        <f t="shared" si="154"/>
        <v/>
      </c>
      <c r="O269" s="50" t="str">
        <f t="shared" si="155"/>
        <v/>
      </c>
      <c r="P269" s="50" t="str">
        <f t="shared" si="156"/>
        <v/>
      </c>
      <c r="Q269" s="51" t="str">
        <f t="shared" si="157"/>
        <v/>
      </c>
      <c r="R269" s="59"/>
      <c r="S269" s="50"/>
      <c r="T269" s="50"/>
      <c r="U269" s="57"/>
      <c r="V269" s="57"/>
      <c r="W269" s="59" t="str">
        <f t="shared" si="153"/>
        <v/>
      </c>
      <c r="X269" s="49"/>
      <c r="Y269" s="50"/>
      <c r="Z269" s="57"/>
      <c r="AA269" s="50"/>
      <c r="AB269" s="50"/>
      <c r="AC269" s="50"/>
      <c r="AD269" s="59"/>
      <c r="AE269" s="50"/>
      <c r="AF269" s="50"/>
      <c r="AG269" s="50"/>
      <c r="AH269" s="50"/>
      <c r="AI269" s="99"/>
    </row>
    <row r="270" spans="1:35" x14ac:dyDescent="0.15">
      <c r="A270" s="82">
        <f>'Match Summary'!$B$25</f>
        <v>42247</v>
      </c>
      <c r="B270" s="50" t="str">
        <f>'Match Summary'!$C$25</f>
        <v>Springfield_II_D2</v>
      </c>
      <c r="C270" s="59">
        <v>4</v>
      </c>
      <c r="D270" s="61"/>
      <c r="E270" s="49"/>
      <c r="F270" s="51"/>
      <c r="G270" s="117"/>
      <c r="H270" s="59"/>
      <c r="I270" s="59"/>
      <c r="J270" s="57"/>
      <c r="K270" s="57"/>
      <c r="L270" s="57"/>
      <c r="M270" s="50"/>
      <c r="N270" s="49" t="str">
        <f t="shared" si="154"/>
        <v/>
      </c>
      <c r="O270" s="50" t="str">
        <f t="shared" si="155"/>
        <v/>
      </c>
      <c r="P270" s="50" t="str">
        <f t="shared" si="156"/>
        <v/>
      </c>
      <c r="Q270" s="51" t="str">
        <f t="shared" si="157"/>
        <v/>
      </c>
      <c r="R270" s="59"/>
      <c r="S270" s="50"/>
      <c r="T270" s="50"/>
      <c r="U270" s="50"/>
      <c r="V270" s="50"/>
      <c r="W270" s="59" t="str">
        <f t="shared" si="153"/>
        <v/>
      </c>
      <c r="X270" s="49"/>
      <c r="Y270" s="50"/>
      <c r="Z270" s="50"/>
      <c r="AA270" s="50"/>
      <c r="AB270" s="50"/>
      <c r="AC270" s="50"/>
      <c r="AD270" s="59"/>
      <c r="AE270" s="50"/>
      <c r="AF270" s="50"/>
      <c r="AG270" s="50"/>
      <c r="AH270" s="50"/>
      <c r="AI270" s="99"/>
    </row>
    <row r="271" spans="1:35" x14ac:dyDescent="0.15">
      <c r="A271" s="82">
        <f>'Match Summary'!$B$25</f>
        <v>42247</v>
      </c>
      <c r="B271" s="50" t="str">
        <f>'Match Summary'!$C$25</f>
        <v>Springfield_II_D2</v>
      </c>
      <c r="C271" s="59">
        <v>5</v>
      </c>
      <c r="D271" s="60"/>
      <c r="E271" s="49"/>
      <c r="F271" s="51"/>
      <c r="G271" s="117"/>
      <c r="H271" s="59"/>
      <c r="I271" s="59"/>
      <c r="J271" s="57"/>
      <c r="K271" s="57"/>
      <c r="L271" s="57"/>
      <c r="M271" s="50"/>
      <c r="N271" s="49" t="str">
        <f t="shared" si="154"/>
        <v/>
      </c>
      <c r="O271" s="50" t="str">
        <f t="shared" si="155"/>
        <v/>
      </c>
      <c r="P271" s="50" t="str">
        <f t="shared" si="156"/>
        <v/>
      </c>
      <c r="Q271" s="51" t="str">
        <f t="shared" si="157"/>
        <v/>
      </c>
      <c r="R271" s="59"/>
      <c r="S271" s="50"/>
      <c r="T271" s="50"/>
      <c r="U271" s="57"/>
      <c r="V271" s="57"/>
      <c r="W271" s="59" t="str">
        <f t="shared" si="153"/>
        <v/>
      </c>
      <c r="X271" s="49"/>
      <c r="Y271" s="50"/>
      <c r="Z271" s="57"/>
      <c r="AA271" s="50"/>
      <c r="AB271" s="50"/>
      <c r="AC271" s="50"/>
      <c r="AD271" s="59"/>
      <c r="AE271" s="50"/>
      <c r="AF271" s="50"/>
      <c r="AG271" s="50"/>
      <c r="AH271" s="50"/>
      <c r="AI271" s="99"/>
    </row>
    <row r="272" spans="1:35" x14ac:dyDescent="0.15">
      <c r="A272" s="82">
        <f>'Match Summary'!$B$25</f>
        <v>42247</v>
      </c>
      <c r="B272" s="50" t="str">
        <f>'Match Summary'!$C$25</f>
        <v>Springfield_II_D2</v>
      </c>
      <c r="C272" s="59">
        <v>6</v>
      </c>
      <c r="D272" s="61"/>
      <c r="E272" s="49"/>
      <c r="F272" s="51"/>
      <c r="G272" s="117"/>
      <c r="H272" s="59"/>
      <c r="I272" s="59"/>
      <c r="J272" s="57"/>
      <c r="K272" s="57"/>
      <c r="L272" s="57"/>
      <c r="M272" s="50"/>
      <c r="N272" s="49" t="str">
        <f t="shared" si="154"/>
        <v/>
      </c>
      <c r="O272" s="50" t="str">
        <f t="shared" si="155"/>
        <v/>
      </c>
      <c r="P272" s="50" t="str">
        <f t="shared" si="156"/>
        <v/>
      </c>
      <c r="Q272" s="51" t="str">
        <f t="shared" si="157"/>
        <v/>
      </c>
      <c r="R272" s="59"/>
      <c r="S272" s="50"/>
      <c r="T272" s="50"/>
      <c r="U272" s="50"/>
      <c r="V272" s="50"/>
      <c r="W272" s="59" t="str">
        <f t="shared" si="153"/>
        <v/>
      </c>
      <c r="X272" s="49"/>
      <c r="Y272" s="50"/>
      <c r="Z272" s="50"/>
      <c r="AA272" s="50"/>
      <c r="AB272" s="50"/>
      <c r="AC272" s="50"/>
      <c r="AD272" s="59"/>
      <c r="AE272" s="50"/>
      <c r="AF272" s="50"/>
      <c r="AG272" s="50"/>
      <c r="AH272" s="50"/>
      <c r="AI272" s="99"/>
    </row>
    <row r="273" spans="1:35" x14ac:dyDescent="0.15">
      <c r="A273" s="82">
        <f>'Match Summary'!$B$25</f>
        <v>42247</v>
      </c>
      <c r="B273" s="50" t="str">
        <f>'Match Summary'!$C$25</f>
        <v>Springfield_II_D2</v>
      </c>
      <c r="C273" s="59">
        <v>7</v>
      </c>
      <c r="D273" s="60"/>
      <c r="E273" s="49"/>
      <c r="F273" s="51"/>
      <c r="G273" s="117"/>
      <c r="H273" s="59"/>
      <c r="I273" s="59"/>
      <c r="J273" s="57"/>
      <c r="K273" s="57"/>
      <c r="L273" s="57"/>
      <c r="M273" s="57"/>
      <c r="N273" s="49" t="str">
        <f t="shared" si="154"/>
        <v/>
      </c>
      <c r="O273" s="50" t="str">
        <f t="shared" si="155"/>
        <v/>
      </c>
      <c r="P273" s="50" t="str">
        <f t="shared" si="156"/>
        <v/>
      </c>
      <c r="Q273" s="51" t="str">
        <f t="shared" si="157"/>
        <v/>
      </c>
      <c r="R273" s="59"/>
      <c r="S273" s="50"/>
      <c r="T273" s="50"/>
      <c r="U273" s="57"/>
      <c r="V273" s="57"/>
      <c r="W273" s="59" t="str">
        <f t="shared" si="153"/>
        <v/>
      </c>
      <c r="X273" s="49"/>
      <c r="Y273" s="50"/>
      <c r="Z273" s="57"/>
      <c r="AA273" s="50"/>
      <c r="AB273" s="50"/>
      <c r="AC273" s="50" t="str">
        <f t="shared" ref="AC273" si="158">IF(W273="","",IF(W273&gt;=5,1,"") )</f>
        <v/>
      </c>
      <c r="AD273" s="59"/>
      <c r="AE273" s="50"/>
      <c r="AF273" s="50"/>
      <c r="AG273" s="50"/>
      <c r="AH273" s="50"/>
      <c r="AI273" s="99"/>
    </row>
    <row r="274" spans="1:35" x14ac:dyDescent="0.15">
      <c r="A274" s="82">
        <f>'Match Summary'!$B$25</f>
        <v>42247</v>
      </c>
      <c r="B274" s="50" t="str">
        <f>'Match Summary'!$C$25</f>
        <v>Springfield_II_D2</v>
      </c>
      <c r="C274" s="59">
        <v>8</v>
      </c>
      <c r="D274" s="60"/>
      <c r="E274" s="49"/>
      <c r="F274" s="51"/>
      <c r="G274" s="117"/>
      <c r="H274" s="59"/>
      <c r="I274" s="59"/>
      <c r="J274" s="57"/>
      <c r="K274" s="57"/>
      <c r="L274" s="50"/>
      <c r="M274" s="50"/>
      <c r="N274" s="49" t="str">
        <f t="shared" si="154"/>
        <v/>
      </c>
      <c r="O274" s="50" t="str">
        <f t="shared" si="155"/>
        <v/>
      </c>
      <c r="P274" s="50" t="str">
        <f t="shared" si="156"/>
        <v/>
      </c>
      <c r="Q274" s="51" t="str">
        <f t="shared" si="157"/>
        <v/>
      </c>
      <c r="R274" s="59"/>
      <c r="S274" s="50"/>
      <c r="T274" s="50"/>
      <c r="U274" s="57"/>
      <c r="V274" s="57"/>
      <c r="W274" s="59" t="str">
        <f t="shared" si="153"/>
        <v/>
      </c>
      <c r="X274" s="49"/>
      <c r="Y274" s="50"/>
      <c r="Z274" s="57"/>
      <c r="AA274" s="50"/>
      <c r="AB274" s="50"/>
      <c r="AC274" s="50"/>
      <c r="AD274" s="59"/>
      <c r="AE274" s="50"/>
      <c r="AF274" s="50"/>
      <c r="AG274" s="50"/>
      <c r="AH274" s="50"/>
      <c r="AI274" s="99"/>
    </row>
    <row r="275" spans="1:35" x14ac:dyDescent="0.15">
      <c r="A275" s="82">
        <f>'Match Summary'!$B$25</f>
        <v>42247</v>
      </c>
      <c r="B275" s="50" t="str">
        <f>'Match Summary'!$C$25</f>
        <v>Springfield_II_D2</v>
      </c>
      <c r="C275" s="59">
        <v>9</v>
      </c>
      <c r="D275" s="60"/>
      <c r="E275" s="49"/>
      <c r="F275" s="51"/>
      <c r="G275" s="117"/>
      <c r="H275" s="59"/>
      <c r="I275" s="59"/>
      <c r="J275" s="57"/>
      <c r="K275" s="57"/>
      <c r="L275" s="50"/>
      <c r="M275" s="50"/>
      <c r="N275" s="49" t="str">
        <f t="shared" si="154"/>
        <v/>
      </c>
      <c r="O275" s="50" t="str">
        <f t="shared" si="155"/>
        <v/>
      </c>
      <c r="P275" s="50" t="str">
        <f t="shared" si="156"/>
        <v/>
      </c>
      <c r="Q275" s="51" t="str">
        <f t="shared" si="157"/>
        <v/>
      </c>
      <c r="R275" s="59"/>
      <c r="S275" s="57"/>
      <c r="T275" s="57"/>
      <c r="U275" s="57"/>
      <c r="V275" s="57"/>
      <c r="W275" s="59" t="str">
        <f t="shared" si="153"/>
        <v/>
      </c>
      <c r="X275" s="49"/>
      <c r="Y275" s="50"/>
      <c r="Z275" s="50"/>
      <c r="AA275" s="50"/>
      <c r="AB275" s="50"/>
      <c r="AC275" s="50"/>
      <c r="AD275" s="59"/>
      <c r="AE275" s="50"/>
      <c r="AF275" s="50"/>
      <c r="AG275" s="50"/>
      <c r="AH275" s="50"/>
      <c r="AI275" s="99"/>
    </row>
    <row r="276" spans="1:35" x14ac:dyDescent="0.15">
      <c r="A276" s="82">
        <f>'Match Summary'!$B$25</f>
        <v>42247</v>
      </c>
      <c r="B276" s="50" t="str">
        <f>'Match Summary'!$C$25</f>
        <v>Springfield_II_D2</v>
      </c>
      <c r="C276" s="59">
        <v>10</v>
      </c>
      <c r="D276" s="60"/>
      <c r="E276" s="49"/>
      <c r="F276" s="51"/>
      <c r="G276" s="117"/>
      <c r="H276" s="59"/>
      <c r="I276" s="59"/>
      <c r="J276" s="57"/>
      <c r="K276" s="57"/>
      <c r="L276" s="50"/>
      <c r="M276" s="50"/>
      <c r="N276" s="49" t="str">
        <f t="shared" si="154"/>
        <v/>
      </c>
      <c r="O276" s="50" t="str">
        <f t="shared" si="155"/>
        <v/>
      </c>
      <c r="P276" s="50" t="str">
        <f t="shared" si="156"/>
        <v/>
      </c>
      <c r="Q276" s="51" t="str">
        <f t="shared" si="157"/>
        <v/>
      </c>
      <c r="R276" s="59"/>
      <c r="S276" s="50"/>
      <c r="T276" s="50"/>
      <c r="U276" s="50"/>
      <c r="V276" s="50"/>
      <c r="W276" s="59" t="str">
        <f t="shared" si="153"/>
        <v/>
      </c>
      <c r="X276" s="49"/>
      <c r="Y276" s="50"/>
      <c r="Z276" s="50"/>
      <c r="AA276" s="50"/>
      <c r="AB276" s="50"/>
      <c r="AC276" s="50"/>
      <c r="AD276" s="59"/>
      <c r="AE276" s="50"/>
      <c r="AF276" s="50"/>
      <c r="AG276" s="50"/>
      <c r="AH276" s="50"/>
      <c r="AI276" s="99"/>
    </row>
    <row r="277" spans="1:35" x14ac:dyDescent="0.15">
      <c r="A277" s="82">
        <f>'Match Summary'!$B$25</f>
        <v>42247</v>
      </c>
      <c r="B277" s="50" t="str">
        <f>'Match Summary'!$C$25</f>
        <v>Springfield_II_D2</v>
      </c>
      <c r="C277" s="59">
        <v>11</v>
      </c>
      <c r="D277" s="60"/>
      <c r="E277" s="49"/>
      <c r="F277" s="51"/>
      <c r="G277" s="117"/>
      <c r="H277" s="59"/>
      <c r="I277" s="59"/>
      <c r="J277" s="57"/>
      <c r="K277" s="57"/>
      <c r="L277" s="50"/>
      <c r="M277" s="50"/>
      <c r="N277" s="49"/>
      <c r="O277" s="50"/>
      <c r="P277" s="50"/>
      <c r="Q277" s="51"/>
      <c r="R277" s="59"/>
      <c r="S277" s="50"/>
      <c r="T277" s="50"/>
      <c r="U277" s="50"/>
      <c r="V277" s="50"/>
      <c r="W277" s="59"/>
      <c r="X277" s="49"/>
      <c r="Y277" s="50"/>
      <c r="Z277" s="50"/>
      <c r="AA277" s="50"/>
      <c r="AB277" s="50"/>
      <c r="AC277" s="50"/>
      <c r="AD277" s="59"/>
      <c r="AE277" s="50"/>
      <c r="AF277" s="50"/>
      <c r="AG277" s="50"/>
      <c r="AH277" s="50"/>
      <c r="AI277" s="99"/>
    </row>
    <row r="278" spans="1:35" x14ac:dyDescent="0.15">
      <c r="A278" s="82">
        <f>'Match Summary'!$B$25</f>
        <v>42247</v>
      </c>
      <c r="B278" s="50" t="str">
        <f>'Match Summary'!$C$25</f>
        <v>Springfield_II_D2</v>
      </c>
      <c r="C278" s="59">
        <v>12</v>
      </c>
      <c r="D278" s="62"/>
      <c r="E278" s="52"/>
      <c r="F278" s="54"/>
      <c r="G278" s="117"/>
      <c r="H278" s="56"/>
      <c r="I278" s="56"/>
      <c r="J278" s="53"/>
      <c r="K278" s="53"/>
      <c r="L278" s="53"/>
      <c r="M278" s="53"/>
      <c r="N278" s="52" t="str">
        <f t="shared" si="154"/>
        <v/>
      </c>
      <c r="O278" s="53" t="str">
        <f t="shared" si="155"/>
        <v/>
      </c>
      <c r="P278" s="53" t="str">
        <f t="shared" si="156"/>
        <v/>
      </c>
      <c r="Q278" s="54" t="str">
        <f t="shared" si="157"/>
        <v/>
      </c>
      <c r="R278" s="56"/>
      <c r="S278" s="53"/>
      <c r="T278" s="53"/>
      <c r="U278" s="53"/>
      <c r="V278" s="53"/>
      <c r="W278" s="56" t="str">
        <f t="shared" si="153"/>
        <v/>
      </c>
      <c r="X278" s="52"/>
      <c r="Y278" s="53"/>
      <c r="Z278" s="53"/>
      <c r="AA278" s="53"/>
      <c r="AB278" s="53"/>
      <c r="AC278" s="53"/>
      <c r="AD278" s="56"/>
      <c r="AE278" s="53"/>
      <c r="AF278" s="53"/>
      <c r="AG278" s="53"/>
      <c r="AH278" s="53"/>
      <c r="AI278" s="100"/>
    </row>
    <row r="279" spans="1:35" ht="15" thickBot="1" x14ac:dyDescent="0.2">
      <c r="A279" s="83">
        <f>'Match Summary'!$B$25</f>
        <v>42247</v>
      </c>
      <c r="B279" s="85" t="str">
        <f>'Match Summary'!$C$25</f>
        <v>Springfield_II_D2</v>
      </c>
      <c r="C279" s="85"/>
      <c r="D279" s="86" t="s">
        <v>174</v>
      </c>
      <c r="E279" s="85"/>
      <c r="F279" s="85"/>
      <c r="G279" s="113"/>
      <c r="H279" s="86"/>
      <c r="I279" s="85"/>
      <c r="J279" s="85"/>
      <c r="K279" s="85"/>
      <c r="L279" s="85"/>
      <c r="M279" s="85"/>
      <c r="N279" s="85"/>
      <c r="O279" s="85"/>
      <c r="P279" s="87"/>
      <c r="Q279" s="88"/>
      <c r="R279" s="86"/>
      <c r="S279" s="91"/>
      <c r="T279" s="86"/>
      <c r="U279" s="86"/>
      <c r="V279" s="86"/>
      <c r="W279" s="86" t="str">
        <f t="shared" si="153"/>
        <v/>
      </c>
      <c r="X279" s="85"/>
      <c r="Y279" s="85"/>
      <c r="Z279" s="85"/>
      <c r="AA279" s="85"/>
      <c r="AB279" s="85"/>
      <c r="AC279" s="85" t="s">
        <v>259</v>
      </c>
      <c r="AD279" s="86"/>
      <c r="AE279" s="85"/>
      <c r="AF279" s="85"/>
      <c r="AG279" s="85"/>
      <c r="AH279" s="85"/>
      <c r="AI279" s="101"/>
    </row>
    <row r="280" spans="1:35" x14ac:dyDescent="0.15">
      <c r="A280" s="75">
        <f>'Match Summary'!$B$26</f>
        <v>42253</v>
      </c>
      <c r="B280" s="81" t="str">
        <f>'Match Summary'!$C$26</f>
        <v>Sheering</v>
      </c>
      <c r="C280" s="77">
        <v>1</v>
      </c>
      <c r="D280" s="1" t="s">
        <v>40</v>
      </c>
      <c r="E280" s="79"/>
      <c r="F280" s="80"/>
      <c r="G280" s="24" t="s">
        <v>199</v>
      </c>
      <c r="H280" s="77">
        <v>10</v>
      </c>
      <c r="I280" s="77" t="s">
        <v>202</v>
      </c>
      <c r="J280" s="81">
        <v>18</v>
      </c>
      <c r="K280" s="81">
        <v>20</v>
      </c>
      <c r="L280" s="81">
        <v>2</v>
      </c>
      <c r="M280" s="81"/>
      <c r="N280" s="79" t="str">
        <f t="shared" ref="N280:N290" si="159">IF(I280="NO",1,"")</f>
        <v/>
      </c>
      <c r="O280" s="81" t="str">
        <f t="shared" ref="O280:O290" si="160">IF(OR(H280&gt;0,H280=""),"",IF(I280="no","",1))</f>
        <v/>
      </c>
      <c r="P280" s="81" t="str">
        <f t="shared" ref="P280:P290" si="161">IF(AND(H280&gt;=50,H280&lt;100),1,"")</f>
        <v/>
      </c>
      <c r="Q280" s="80" t="str">
        <f t="shared" ref="Q280:Q290" si="162">IF(H280&gt;=100,1,"")</f>
        <v/>
      </c>
      <c r="R280" s="77">
        <v>10</v>
      </c>
      <c r="S280" s="81">
        <v>0</v>
      </c>
      <c r="T280" s="81">
        <v>1</v>
      </c>
      <c r="U280" s="81">
        <v>1</v>
      </c>
      <c r="V280" s="81">
        <v>39</v>
      </c>
      <c r="W280" s="77">
        <f t="shared" ref="W280:W327" si="163">IF(R280="","",SUM(X280:AB280))</f>
        <v>1</v>
      </c>
      <c r="X280" s="79"/>
      <c r="Y280" s="81"/>
      <c r="Z280" s="81">
        <v>1</v>
      </c>
      <c r="AA280" s="81"/>
      <c r="AB280" s="81"/>
      <c r="AC280" s="80" t="str">
        <f t="shared" ref="AC280:AC290" si="164">IF(AND(ISNUMBER(W280),W280&gt;=5),1,"")</f>
        <v/>
      </c>
      <c r="AD280" s="77"/>
      <c r="AE280" s="81"/>
      <c r="AF280" s="81"/>
      <c r="AG280" s="81"/>
      <c r="AH280" s="81"/>
      <c r="AI280" s="98" t="str">
        <f>IF(SUM(AE280:AH280)=0,"",SUM(AE280:AH280))</f>
        <v/>
      </c>
    </row>
    <row r="281" spans="1:35" x14ac:dyDescent="0.15">
      <c r="A281" s="82">
        <f>'Match Summary'!$B$26</f>
        <v>42253</v>
      </c>
      <c r="B281" s="50" t="str">
        <f>'Match Summary'!$C$26</f>
        <v>Sheering</v>
      </c>
      <c r="C281" s="59">
        <v>2</v>
      </c>
      <c r="D281" s="17" t="s">
        <v>160</v>
      </c>
      <c r="E281" s="49"/>
      <c r="F281" s="51"/>
      <c r="G281" s="24" t="s">
        <v>199</v>
      </c>
      <c r="H281" s="59">
        <v>35</v>
      </c>
      <c r="I281" s="59" t="s">
        <v>201</v>
      </c>
      <c r="J281" s="57">
        <v>41</v>
      </c>
      <c r="K281" s="57">
        <v>43</v>
      </c>
      <c r="L281" s="57">
        <v>7</v>
      </c>
      <c r="M281" s="50"/>
      <c r="N281" s="49" t="str">
        <f t="shared" si="159"/>
        <v/>
      </c>
      <c r="O281" s="50" t="str">
        <f t="shared" si="160"/>
        <v/>
      </c>
      <c r="P281" s="50" t="str">
        <f t="shared" si="161"/>
        <v/>
      </c>
      <c r="Q281" s="51" t="str">
        <f t="shared" si="162"/>
        <v/>
      </c>
      <c r="R281" s="59"/>
      <c r="S281" s="50"/>
      <c r="T281" s="50"/>
      <c r="U281" s="50"/>
      <c r="V281" s="50"/>
      <c r="W281" s="59" t="str">
        <f t="shared" si="163"/>
        <v/>
      </c>
      <c r="X281" s="49"/>
      <c r="Y281" s="50"/>
      <c r="Z281" s="50"/>
      <c r="AA281" s="50"/>
      <c r="AB281" s="50"/>
      <c r="AC281" s="51" t="str">
        <f t="shared" si="164"/>
        <v/>
      </c>
      <c r="AD281" s="59"/>
      <c r="AE281" s="50"/>
      <c r="AF281" s="50"/>
      <c r="AG281" s="50"/>
      <c r="AH281" s="50"/>
      <c r="AI281" s="99" t="str">
        <f t="shared" ref="AI281:AI289" si="165">IF(SUM(AE281:AH281)=0,"",SUM(AE281:AH281))</f>
        <v/>
      </c>
    </row>
    <row r="282" spans="1:35" x14ac:dyDescent="0.15">
      <c r="A282" s="82">
        <f>'Match Summary'!$B$26</f>
        <v>42253</v>
      </c>
      <c r="B282" s="50" t="str">
        <f>'Match Summary'!$C$26</f>
        <v>Sheering</v>
      </c>
      <c r="C282" s="59">
        <v>3</v>
      </c>
      <c r="D282" s="17" t="s">
        <v>156</v>
      </c>
      <c r="E282" s="49"/>
      <c r="F282" s="51"/>
      <c r="G282" s="24" t="s">
        <v>199</v>
      </c>
      <c r="H282" s="59">
        <v>32</v>
      </c>
      <c r="I282" s="59" t="s">
        <v>202</v>
      </c>
      <c r="J282" s="57">
        <v>27</v>
      </c>
      <c r="K282" s="57">
        <v>30</v>
      </c>
      <c r="L282" s="57">
        <v>2</v>
      </c>
      <c r="M282" s="51">
        <v>3</v>
      </c>
      <c r="N282" s="50" t="str">
        <f t="shared" si="159"/>
        <v/>
      </c>
      <c r="O282" s="50" t="str">
        <f t="shared" si="160"/>
        <v/>
      </c>
      <c r="P282" s="50" t="str">
        <f t="shared" si="161"/>
        <v/>
      </c>
      <c r="Q282" s="51" t="str">
        <f t="shared" si="162"/>
        <v/>
      </c>
      <c r="R282" s="59"/>
      <c r="S282" s="50"/>
      <c r="T282" s="50"/>
      <c r="U282" s="57"/>
      <c r="V282" s="57"/>
      <c r="W282" s="59" t="str">
        <f t="shared" si="163"/>
        <v/>
      </c>
      <c r="X282" s="49"/>
      <c r="Y282" s="50"/>
      <c r="Z282" s="57"/>
      <c r="AA282" s="50"/>
      <c r="AB282" s="50"/>
      <c r="AC282" s="51" t="str">
        <f t="shared" si="164"/>
        <v/>
      </c>
      <c r="AD282" s="59"/>
      <c r="AE282" s="50"/>
      <c r="AF282" s="50"/>
      <c r="AG282" s="50"/>
      <c r="AH282" s="50"/>
      <c r="AI282" s="99" t="str">
        <f t="shared" si="165"/>
        <v/>
      </c>
    </row>
    <row r="283" spans="1:35" x14ac:dyDescent="0.15">
      <c r="A283" s="82">
        <f>'Match Summary'!$B$26</f>
        <v>42253</v>
      </c>
      <c r="B283" s="50" t="str">
        <f>'Match Summary'!$C$26</f>
        <v>Sheering</v>
      </c>
      <c r="C283" s="59">
        <v>4</v>
      </c>
      <c r="D283" s="17" t="s">
        <v>185</v>
      </c>
      <c r="E283" s="49"/>
      <c r="F283" s="51"/>
      <c r="G283" s="24" t="s">
        <v>199</v>
      </c>
      <c r="H283" s="59">
        <v>10</v>
      </c>
      <c r="I283" s="59" t="s">
        <v>202</v>
      </c>
      <c r="J283" s="57">
        <v>27</v>
      </c>
      <c r="K283" s="57">
        <v>27</v>
      </c>
      <c r="L283" s="57">
        <v>2</v>
      </c>
      <c r="M283" s="50"/>
      <c r="N283" s="49" t="str">
        <f t="shared" si="159"/>
        <v/>
      </c>
      <c r="O283" s="50" t="str">
        <f t="shared" si="160"/>
        <v/>
      </c>
      <c r="P283" s="50" t="str">
        <f t="shared" si="161"/>
        <v/>
      </c>
      <c r="Q283" s="51" t="str">
        <f t="shared" si="162"/>
        <v/>
      </c>
      <c r="R283" s="59">
        <v>4</v>
      </c>
      <c r="S283" s="50">
        <v>0</v>
      </c>
      <c r="T283" s="50">
        <v>1</v>
      </c>
      <c r="U283" s="57">
        <v>2</v>
      </c>
      <c r="V283" s="57">
        <v>33</v>
      </c>
      <c r="W283" s="59">
        <f t="shared" si="163"/>
        <v>1</v>
      </c>
      <c r="X283" s="49"/>
      <c r="Y283" s="50"/>
      <c r="Z283" s="50">
        <v>1</v>
      </c>
      <c r="AA283" s="50"/>
      <c r="AB283" s="50"/>
      <c r="AC283" s="51" t="str">
        <f t="shared" si="164"/>
        <v/>
      </c>
      <c r="AD283" s="59"/>
      <c r="AE283" s="50"/>
      <c r="AF283" s="50"/>
      <c r="AG283" s="50"/>
      <c r="AH283" s="50"/>
      <c r="AI283" s="99" t="str">
        <f t="shared" si="165"/>
        <v/>
      </c>
    </row>
    <row r="284" spans="1:35" x14ac:dyDescent="0.15">
      <c r="A284" s="82">
        <f>'Match Summary'!$B$26</f>
        <v>42253</v>
      </c>
      <c r="B284" s="50" t="str">
        <f>'Match Summary'!$C$26</f>
        <v>Sheering</v>
      </c>
      <c r="C284" s="59">
        <v>5</v>
      </c>
      <c r="D284" s="1" t="s">
        <v>47</v>
      </c>
      <c r="E284" s="49" t="s">
        <v>195</v>
      </c>
      <c r="F284" s="51"/>
      <c r="G284" s="24" t="s">
        <v>199</v>
      </c>
      <c r="H284" s="59">
        <v>23</v>
      </c>
      <c r="I284" s="59" t="s">
        <v>201</v>
      </c>
      <c r="J284" s="57">
        <v>57</v>
      </c>
      <c r="K284" s="57">
        <v>50</v>
      </c>
      <c r="L284" s="57">
        <v>5</v>
      </c>
      <c r="M284" s="50"/>
      <c r="N284" s="49" t="str">
        <f t="shared" si="159"/>
        <v/>
      </c>
      <c r="O284" s="50" t="str">
        <f t="shared" si="160"/>
        <v/>
      </c>
      <c r="P284" s="50" t="str">
        <f t="shared" si="161"/>
        <v/>
      </c>
      <c r="Q284" s="51" t="str">
        <f t="shared" si="162"/>
        <v/>
      </c>
      <c r="R284" s="59">
        <v>10</v>
      </c>
      <c r="S284" s="50">
        <v>3</v>
      </c>
      <c r="T284" s="50">
        <v>0</v>
      </c>
      <c r="U284" s="57">
        <v>0</v>
      </c>
      <c r="V284" s="57">
        <v>54</v>
      </c>
      <c r="W284" s="59">
        <f t="shared" si="163"/>
        <v>2</v>
      </c>
      <c r="X284" s="49">
        <v>2</v>
      </c>
      <c r="Y284" s="50"/>
      <c r="Z284" s="57"/>
      <c r="AA284" s="50"/>
      <c r="AB284" s="50"/>
      <c r="AC284" s="51" t="str">
        <f t="shared" si="164"/>
        <v/>
      </c>
      <c r="AD284" s="59"/>
      <c r="AE284" s="50"/>
      <c r="AF284" s="50"/>
      <c r="AG284" s="50"/>
      <c r="AH284" s="50"/>
      <c r="AI284" s="99" t="str">
        <f t="shared" si="165"/>
        <v/>
      </c>
    </row>
    <row r="285" spans="1:35" x14ac:dyDescent="0.15">
      <c r="A285" s="82">
        <f>'Match Summary'!$B$26</f>
        <v>42253</v>
      </c>
      <c r="B285" s="50" t="str">
        <f>'Match Summary'!$C$26</f>
        <v>Sheering</v>
      </c>
      <c r="C285" s="59">
        <v>6</v>
      </c>
      <c r="D285" s="17" t="s">
        <v>301</v>
      </c>
      <c r="E285" s="49"/>
      <c r="F285" s="51"/>
      <c r="G285" s="24" t="s">
        <v>199</v>
      </c>
      <c r="H285" s="59">
        <v>26</v>
      </c>
      <c r="I285" s="59" t="s">
        <v>203</v>
      </c>
      <c r="J285" s="57">
        <v>54</v>
      </c>
      <c r="K285" s="57">
        <v>60</v>
      </c>
      <c r="L285" s="57">
        <v>3</v>
      </c>
      <c r="M285" s="50"/>
      <c r="N285" s="49">
        <f t="shared" si="159"/>
        <v>1</v>
      </c>
      <c r="O285" s="50" t="str">
        <f t="shared" si="160"/>
        <v/>
      </c>
      <c r="P285" s="50" t="str">
        <f t="shared" si="161"/>
        <v/>
      </c>
      <c r="Q285" s="51" t="str">
        <f t="shared" si="162"/>
        <v/>
      </c>
      <c r="R285" s="59">
        <v>3</v>
      </c>
      <c r="S285" s="57">
        <v>0</v>
      </c>
      <c r="T285" s="57">
        <v>0</v>
      </c>
      <c r="U285" s="57">
        <v>1</v>
      </c>
      <c r="V285" s="57">
        <v>34</v>
      </c>
      <c r="W285" s="59">
        <f t="shared" si="163"/>
        <v>0</v>
      </c>
      <c r="X285" s="49"/>
      <c r="Y285" s="50"/>
      <c r="Z285" s="50"/>
      <c r="AA285" s="50"/>
      <c r="AB285" s="50"/>
      <c r="AC285" s="51" t="str">
        <f t="shared" si="164"/>
        <v/>
      </c>
      <c r="AD285" s="59"/>
      <c r="AE285" s="50">
        <v>1</v>
      </c>
      <c r="AF285" s="50"/>
      <c r="AG285" s="50"/>
      <c r="AH285" s="50"/>
      <c r="AI285" s="99">
        <f t="shared" si="165"/>
        <v>1</v>
      </c>
    </row>
    <row r="286" spans="1:35" x14ac:dyDescent="0.15">
      <c r="A286" s="82">
        <f>'Match Summary'!$B$26</f>
        <v>42253</v>
      </c>
      <c r="B286" s="50" t="str">
        <f>'Match Summary'!$C$26</f>
        <v>Sheering</v>
      </c>
      <c r="C286" s="59">
        <v>7</v>
      </c>
      <c r="D286" s="17" t="s">
        <v>117</v>
      </c>
      <c r="E286" s="49"/>
      <c r="F286" s="51"/>
      <c r="G286" s="24" t="s">
        <v>199</v>
      </c>
      <c r="H286" s="59">
        <v>0</v>
      </c>
      <c r="I286" s="59" t="s">
        <v>201</v>
      </c>
      <c r="J286" s="57">
        <v>3</v>
      </c>
      <c r="K286" s="57">
        <v>10</v>
      </c>
      <c r="L286" s="57"/>
      <c r="M286" s="57"/>
      <c r="N286" s="49" t="str">
        <f t="shared" si="159"/>
        <v/>
      </c>
      <c r="O286" s="50">
        <f t="shared" si="160"/>
        <v>1</v>
      </c>
      <c r="P286" s="50" t="str">
        <f t="shared" si="161"/>
        <v/>
      </c>
      <c r="Q286" s="51" t="str">
        <f t="shared" si="162"/>
        <v/>
      </c>
      <c r="R286" s="59"/>
      <c r="S286" s="50"/>
      <c r="T286" s="50"/>
      <c r="U286" s="57"/>
      <c r="V286" s="57"/>
      <c r="W286" s="59" t="str">
        <f t="shared" si="163"/>
        <v/>
      </c>
      <c r="X286" s="49"/>
      <c r="Y286" s="50"/>
      <c r="Z286" s="57"/>
      <c r="AA286" s="50"/>
      <c r="AB286" s="50"/>
      <c r="AC286" s="51" t="str">
        <f>IF(AND(ISNUMBER(W286),W286&gt;=5),1,"")</f>
        <v/>
      </c>
      <c r="AD286" s="59"/>
      <c r="AE286" s="50"/>
      <c r="AF286" s="50"/>
      <c r="AG286" s="50"/>
      <c r="AH286" s="50"/>
      <c r="AI286" s="99" t="str">
        <f t="shared" si="165"/>
        <v/>
      </c>
    </row>
    <row r="287" spans="1:35" x14ac:dyDescent="0.15">
      <c r="A287" s="82">
        <f>'Match Summary'!$B$26</f>
        <v>42253</v>
      </c>
      <c r="B287" s="50" t="str">
        <f>'Match Summary'!$C$26</f>
        <v>Sheering</v>
      </c>
      <c r="C287" s="59">
        <v>8</v>
      </c>
      <c r="D287" s="17" t="s">
        <v>214</v>
      </c>
      <c r="E287" s="49"/>
      <c r="F287" s="51"/>
      <c r="G287" s="24" t="s">
        <v>199</v>
      </c>
      <c r="H287" s="59">
        <v>0</v>
      </c>
      <c r="I287" s="59" t="s">
        <v>201</v>
      </c>
      <c r="J287" s="57">
        <v>12</v>
      </c>
      <c r="K287" s="57">
        <v>14</v>
      </c>
      <c r="L287" s="50"/>
      <c r="M287" s="50"/>
      <c r="N287" s="49" t="str">
        <f t="shared" si="159"/>
        <v/>
      </c>
      <c r="O287" s="50">
        <f t="shared" si="160"/>
        <v>1</v>
      </c>
      <c r="P287" s="50" t="str">
        <f t="shared" si="161"/>
        <v/>
      </c>
      <c r="Q287" s="51" t="str">
        <f t="shared" si="162"/>
        <v/>
      </c>
      <c r="R287" s="59"/>
      <c r="S287" s="50"/>
      <c r="T287" s="50"/>
      <c r="U287" s="57"/>
      <c r="V287" s="57"/>
      <c r="W287" s="59" t="str">
        <f t="shared" si="163"/>
        <v/>
      </c>
      <c r="X287" s="49"/>
      <c r="Y287" s="50"/>
      <c r="Z287" s="57"/>
      <c r="AA287" s="50"/>
      <c r="AB287" s="50"/>
      <c r="AC287" s="51" t="str">
        <f t="shared" si="164"/>
        <v/>
      </c>
      <c r="AD287" s="59"/>
      <c r="AE287" s="50"/>
      <c r="AF287" s="50"/>
      <c r="AG287" s="50"/>
      <c r="AH287" s="50"/>
      <c r="AI287" s="99" t="str">
        <f t="shared" si="165"/>
        <v/>
      </c>
    </row>
    <row r="288" spans="1:35" x14ac:dyDescent="0.15">
      <c r="A288" s="82">
        <f>'Match Summary'!$B$26</f>
        <v>42253</v>
      </c>
      <c r="B288" s="50" t="str">
        <f>'Match Summary'!$C$26</f>
        <v>Sheering</v>
      </c>
      <c r="C288" s="59">
        <v>9</v>
      </c>
      <c r="D288" s="1" t="s">
        <v>50</v>
      </c>
      <c r="E288" s="49"/>
      <c r="F288" s="51"/>
      <c r="G288" s="24" t="s">
        <v>199</v>
      </c>
      <c r="H288" s="59">
        <v>0</v>
      </c>
      <c r="I288" s="59" t="s">
        <v>203</v>
      </c>
      <c r="J288" s="57">
        <v>2</v>
      </c>
      <c r="K288" s="57">
        <v>4</v>
      </c>
      <c r="L288" s="50"/>
      <c r="M288" s="50"/>
      <c r="N288" s="49">
        <f t="shared" si="159"/>
        <v>1</v>
      </c>
      <c r="O288" s="50" t="str">
        <f t="shared" si="160"/>
        <v/>
      </c>
      <c r="P288" s="50" t="str">
        <f t="shared" si="161"/>
        <v/>
      </c>
      <c r="Q288" s="51" t="str">
        <f t="shared" si="162"/>
        <v/>
      </c>
      <c r="R288" s="59">
        <v>2</v>
      </c>
      <c r="S288" s="57">
        <v>0</v>
      </c>
      <c r="T288" s="57">
        <v>0</v>
      </c>
      <c r="U288" s="57">
        <v>0</v>
      </c>
      <c r="V288" s="57">
        <v>23</v>
      </c>
      <c r="W288" s="59">
        <f t="shared" si="163"/>
        <v>0</v>
      </c>
      <c r="X288" s="49"/>
      <c r="Y288" s="50"/>
      <c r="Z288" s="50"/>
      <c r="AA288" s="50"/>
      <c r="AB288" s="50"/>
      <c r="AC288" s="51" t="str">
        <f t="shared" si="164"/>
        <v/>
      </c>
      <c r="AD288" s="59"/>
      <c r="AE288" s="50">
        <v>1</v>
      </c>
      <c r="AF288" s="50"/>
      <c r="AG288" s="50"/>
      <c r="AH288" s="50"/>
      <c r="AI288" s="99">
        <f t="shared" si="165"/>
        <v>1</v>
      </c>
    </row>
    <row r="289" spans="1:35" x14ac:dyDescent="0.15">
      <c r="A289" s="82">
        <f>'Match Summary'!$B$26</f>
        <v>42253</v>
      </c>
      <c r="B289" s="50" t="str">
        <f>'Match Summary'!$C$26</f>
        <v>Sheering</v>
      </c>
      <c r="C289" s="59">
        <v>10</v>
      </c>
      <c r="D289" s="1" t="s">
        <v>44</v>
      </c>
      <c r="E289" s="49"/>
      <c r="F289" s="51"/>
      <c r="G289" s="24" t="s">
        <v>200</v>
      </c>
      <c r="H289" s="59"/>
      <c r="I289" s="59" t="s">
        <v>204</v>
      </c>
      <c r="J289" s="57"/>
      <c r="K289" s="57"/>
      <c r="L289" s="50"/>
      <c r="M289" s="50"/>
      <c r="N289" s="49" t="str">
        <f t="shared" si="159"/>
        <v/>
      </c>
      <c r="O289" s="50" t="str">
        <f t="shared" si="160"/>
        <v/>
      </c>
      <c r="P289" s="50" t="str">
        <f t="shared" si="161"/>
        <v/>
      </c>
      <c r="Q289" s="51" t="str">
        <f t="shared" si="162"/>
        <v/>
      </c>
      <c r="R289" s="59">
        <v>10</v>
      </c>
      <c r="S289" s="50">
        <v>3</v>
      </c>
      <c r="T289" s="50">
        <v>0</v>
      </c>
      <c r="U289" s="57">
        <v>0</v>
      </c>
      <c r="V289" s="57">
        <v>52</v>
      </c>
      <c r="W289" s="59">
        <f t="shared" si="163"/>
        <v>3</v>
      </c>
      <c r="X289" s="49"/>
      <c r="Y289" s="57">
        <v>1</v>
      </c>
      <c r="Z289" s="57">
        <v>2</v>
      </c>
      <c r="AA289" s="50"/>
      <c r="AB289" s="50"/>
      <c r="AC289" s="51" t="str">
        <f t="shared" si="164"/>
        <v/>
      </c>
      <c r="AD289" s="59"/>
      <c r="AE289" s="50">
        <v>1</v>
      </c>
      <c r="AF289" s="50"/>
      <c r="AG289" s="50"/>
      <c r="AH289" s="50"/>
      <c r="AI289" s="99">
        <f t="shared" si="165"/>
        <v>1</v>
      </c>
    </row>
    <row r="290" spans="1:35" x14ac:dyDescent="0.15">
      <c r="A290" s="82">
        <f>'Match Summary'!$B$26</f>
        <v>42253</v>
      </c>
      <c r="B290" s="50" t="str">
        <f>'Match Summary'!$C$26</f>
        <v>Sheering</v>
      </c>
      <c r="C290" s="56">
        <v>11</v>
      </c>
      <c r="D290" s="1" t="s">
        <v>49</v>
      </c>
      <c r="E290" s="52"/>
      <c r="F290" s="54" t="s">
        <v>195</v>
      </c>
      <c r="G290" s="24" t="s">
        <v>200</v>
      </c>
      <c r="H290" s="56"/>
      <c r="I290" s="56" t="s">
        <v>204</v>
      </c>
      <c r="J290" s="53"/>
      <c r="K290" s="53"/>
      <c r="L290" s="53"/>
      <c r="M290" s="53"/>
      <c r="N290" s="52" t="str">
        <f t="shared" si="159"/>
        <v/>
      </c>
      <c r="O290" s="53" t="str">
        <f t="shared" si="160"/>
        <v/>
      </c>
      <c r="P290" s="53" t="str">
        <f t="shared" si="161"/>
        <v/>
      </c>
      <c r="Q290" s="54" t="str">
        <f t="shared" si="162"/>
        <v/>
      </c>
      <c r="R290" s="56"/>
      <c r="S290" s="53"/>
      <c r="T290" s="53"/>
      <c r="U290" s="53"/>
      <c r="V290" s="53"/>
      <c r="W290" s="56" t="str">
        <f t="shared" si="163"/>
        <v/>
      </c>
      <c r="X290" s="52"/>
      <c r="Y290" s="53"/>
      <c r="Z290" s="53"/>
      <c r="AA290" s="53"/>
      <c r="AB290" s="53"/>
      <c r="AC290" s="54" t="str">
        <f t="shared" si="164"/>
        <v/>
      </c>
      <c r="AD290" s="56">
        <v>3</v>
      </c>
      <c r="AE290" s="53"/>
      <c r="AF290" s="53"/>
      <c r="AG290" s="53"/>
      <c r="AH290" s="53">
        <v>1</v>
      </c>
      <c r="AI290" s="100">
        <f>IF(SUM(AE290:AH290)=0,"",SUM(AE290:AH290))</f>
        <v>1</v>
      </c>
    </row>
    <row r="291" spans="1:35" ht="15" thickBot="1" x14ac:dyDescent="0.2">
      <c r="A291" s="83">
        <f>'Match Summary'!$B$26</f>
        <v>42253</v>
      </c>
      <c r="B291" s="85" t="str">
        <f>'Match Summary'!$C$26</f>
        <v>Sheering</v>
      </c>
      <c r="C291" s="85"/>
      <c r="D291" s="86" t="s">
        <v>174</v>
      </c>
      <c r="E291" s="85"/>
      <c r="F291" s="85"/>
      <c r="G291" s="113"/>
      <c r="H291" s="86">
        <v>18</v>
      </c>
      <c r="I291" s="85"/>
      <c r="J291" s="85"/>
      <c r="K291" s="85"/>
      <c r="L291" s="85"/>
      <c r="M291" s="85"/>
      <c r="N291" s="85"/>
      <c r="O291" s="85"/>
      <c r="P291" s="87"/>
      <c r="Q291" s="88"/>
      <c r="R291" s="86">
        <f>SUBTOTAL(9,R280:R290)</f>
        <v>39</v>
      </c>
      <c r="S291" s="91">
        <f t="shared" ref="S291" si="166">SUBTOTAL(9,S280:S290)</f>
        <v>6</v>
      </c>
      <c r="T291" s="86">
        <f>SUBTOTAL(9,T280:T290)</f>
        <v>2</v>
      </c>
      <c r="U291" s="86">
        <f>SUBTOTAL(9,U280:U290)</f>
        <v>4</v>
      </c>
      <c r="V291" s="86">
        <f>SUBTOTAL(9,V280:V290)</f>
        <v>235</v>
      </c>
      <c r="W291" s="86">
        <f>SUBTOTAL(9,W280:W290)</f>
        <v>7</v>
      </c>
      <c r="X291" s="85"/>
      <c r="Y291" s="85"/>
      <c r="Z291" s="85"/>
      <c r="AA291" s="85"/>
      <c r="AB291" s="85"/>
      <c r="AC291" s="85" t="s">
        <v>259</v>
      </c>
      <c r="AD291" s="86">
        <v>4</v>
      </c>
      <c r="AE291" s="85"/>
      <c r="AF291" s="85"/>
      <c r="AG291" s="85"/>
      <c r="AH291" s="85"/>
      <c r="AI291" s="101"/>
    </row>
    <row r="292" spans="1:35" x14ac:dyDescent="0.15">
      <c r="A292" s="75">
        <f>'Match Summary'!$B$27</f>
        <v>42260</v>
      </c>
      <c r="B292" s="81" t="str">
        <f>'Match Summary'!$C$27</f>
        <v>Bures</v>
      </c>
      <c r="C292" s="77">
        <v>1</v>
      </c>
      <c r="D292" s="17" t="s">
        <v>186</v>
      </c>
      <c r="E292" s="79"/>
      <c r="F292" s="80"/>
      <c r="G292" s="24" t="s">
        <v>199</v>
      </c>
      <c r="H292" s="77">
        <v>19</v>
      </c>
      <c r="I292" s="77" t="s">
        <v>202</v>
      </c>
      <c r="J292" s="81">
        <v>23</v>
      </c>
      <c r="K292" s="81">
        <v>29</v>
      </c>
      <c r="L292" s="81">
        <v>3</v>
      </c>
      <c r="M292" s="81"/>
      <c r="N292" s="79" t="str">
        <f t="shared" ref="N292:N302" si="167">IF(I292="NO",1,"")</f>
        <v/>
      </c>
      <c r="O292" s="81" t="str">
        <f t="shared" ref="O292:O302" si="168">IF(OR(H292&gt;0,H292=""),"",IF(I292="no","",1))</f>
        <v/>
      </c>
      <c r="P292" s="81" t="str">
        <f t="shared" ref="P292:P302" si="169">IF(AND(H292&gt;=50,H292&lt;100),1,"")</f>
        <v/>
      </c>
      <c r="Q292" s="80" t="str">
        <f t="shared" ref="Q292:Q302" si="170">IF(H292&gt;=100,1,"")</f>
        <v/>
      </c>
      <c r="R292" s="77">
        <v>5</v>
      </c>
      <c r="S292" s="81">
        <v>0</v>
      </c>
      <c r="T292" s="81">
        <v>0</v>
      </c>
      <c r="U292" s="81">
        <v>2</v>
      </c>
      <c r="V292" s="81">
        <v>39</v>
      </c>
      <c r="W292" s="77">
        <f t="shared" si="163"/>
        <v>2</v>
      </c>
      <c r="X292" s="79">
        <v>1</v>
      </c>
      <c r="Y292" s="81"/>
      <c r="Z292" s="81">
        <v>1</v>
      </c>
      <c r="AA292" s="81"/>
      <c r="AB292" s="81"/>
      <c r="AC292" s="80" t="str">
        <f t="shared" ref="AC292:AC302" si="171">IF(AND(ISNUMBER(W292),W292&gt;=5),1,"")</f>
        <v/>
      </c>
      <c r="AD292" s="77"/>
      <c r="AE292" s="81"/>
      <c r="AF292" s="81"/>
      <c r="AG292" s="81"/>
      <c r="AH292" s="81"/>
      <c r="AI292" s="98" t="str">
        <f>IF(SUM(AE292:AH292)=0,"",SUM(AE292:AH292))</f>
        <v/>
      </c>
    </row>
    <row r="293" spans="1:35" x14ac:dyDescent="0.15">
      <c r="A293" s="82">
        <f>'Match Summary'!$B$27</f>
        <v>42260</v>
      </c>
      <c r="B293" s="50" t="str">
        <f>'Match Summary'!$C$27</f>
        <v>Bures</v>
      </c>
      <c r="C293" s="59">
        <v>2</v>
      </c>
      <c r="D293" s="17" t="s">
        <v>160</v>
      </c>
      <c r="E293" s="49"/>
      <c r="F293" s="51"/>
      <c r="G293" s="24" t="s">
        <v>199</v>
      </c>
      <c r="H293" s="59">
        <v>20</v>
      </c>
      <c r="I293" s="59" t="s">
        <v>202</v>
      </c>
      <c r="J293" s="57">
        <v>37</v>
      </c>
      <c r="K293" s="57">
        <v>43</v>
      </c>
      <c r="L293" s="57">
        <v>2</v>
      </c>
      <c r="M293" s="50"/>
      <c r="N293" s="49" t="str">
        <f t="shared" si="167"/>
        <v/>
      </c>
      <c r="O293" s="50" t="str">
        <f t="shared" si="168"/>
        <v/>
      </c>
      <c r="P293" s="50" t="str">
        <f t="shared" si="169"/>
        <v/>
      </c>
      <c r="Q293" s="51" t="str">
        <f t="shared" si="170"/>
        <v/>
      </c>
      <c r="R293" s="59"/>
      <c r="S293" s="50"/>
      <c r="T293" s="50"/>
      <c r="U293" s="50"/>
      <c r="V293" s="50"/>
      <c r="W293" s="59" t="str">
        <f t="shared" si="163"/>
        <v/>
      </c>
      <c r="X293" s="49"/>
      <c r="Y293" s="50"/>
      <c r="Z293" s="50"/>
      <c r="AA293" s="50"/>
      <c r="AB293" s="50"/>
      <c r="AC293" s="51" t="str">
        <f t="shared" si="171"/>
        <v/>
      </c>
      <c r="AD293" s="59"/>
      <c r="AE293" s="50">
        <v>1</v>
      </c>
      <c r="AF293" s="50"/>
      <c r="AG293" s="50"/>
      <c r="AH293" s="50"/>
      <c r="AI293" s="99">
        <f t="shared" ref="AI293:AI301" si="172">IF(SUM(AE293:AH293)=0,"",SUM(AE293:AH293))</f>
        <v>1</v>
      </c>
    </row>
    <row r="294" spans="1:35" x14ac:dyDescent="0.15">
      <c r="A294" s="82">
        <f>'Match Summary'!$B$27</f>
        <v>42260</v>
      </c>
      <c r="B294" s="50" t="str">
        <f>'Match Summary'!$C$27</f>
        <v>Bures</v>
      </c>
      <c r="C294" s="59">
        <v>3</v>
      </c>
      <c r="D294" s="1" t="s">
        <v>47</v>
      </c>
      <c r="E294" s="49" t="s">
        <v>195</v>
      </c>
      <c r="F294" s="51"/>
      <c r="G294" s="24" t="s">
        <v>199</v>
      </c>
      <c r="H294" s="59">
        <v>2</v>
      </c>
      <c r="I294" s="59" t="s">
        <v>201</v>
      </c>
      <c r="J294" s="57">
        <v>13</v>
      </c>
      <c r="K294" s="57">
        <v>18</v>
      </c>
      <c r="L294" s="57">
        <v>0</v>
      </c>
      <c r="M294" s="51"/>
      <c r="N294" s="50" t="str">
        <f t="shared" si="167"/>
        <v/>
      </c>
      <c r="O294" s="50" t="str">
        <f t="shared" si="168"/>
        <v/>
      </c>
      <c r="P294" s="50" t="str">
        <f t="shared" si="169"/>
        <v/>
      </c>
      <c r="Q294" s="51" t="str">
        <f t="shared" si="170"/>
        <v/>
      </c>
      <c r="R294" s="59">
        <v>11</v>
      </c>
      <c r="S294" s="50">
        <v>3</v>
      </c>
      <c r="T294" s="50">
        <v>1</v>
      </c>
      <c r="U294" s="57">
        <v>2</v>
      </c>
      <c r="V294" s="57">
        <v>58</v>
      </c>
      <c r="W294" s="59">
        <f t="shared" si="163"/>
        <v>1</v>
      </c>
      <c r="X294" s="49"/>
      <c r="Y294" s="50"/>
      <c r="Z294" s="57">
        <v>1</v>
      </c>
      <c r="AA294" s="50"/>
      <c r="AB294" s="50"/>
      <c r="AC294" s="51" t="str">
        <f t="shared" si="171"/>
        <v/>
      </c>
      <c r="AD294" s="59"/>
      <c r="AE294" s="50">
        <v>1</v>
      </c>
      <c r="AF294" s="50"/>
      <c r="AG294" s="50"/>
      <c r="AH294" s="50"/>
      <c r="AI294" s="99">
        <f t="shared" si="172"/>
        <v>1</v>
      </c>
    </row>
    <row r="295" spans="1:35" x14ac:dyDescent="0.15">
      <c r="A295" s="82">
        <f>'Match Summary'!$B$27</f>
        <v>42260</v>
      </c>
      <c r="B295" s="50" t="str">
        <f>'Match Summary'!$C$27</f>
        <v>Bures</v>
      </c>
      <c r="C295" s="59">
        <v>4</v>
      </c>
      <c r="D295" s="1" t="s">
        <v>103</v>
      </c>
      <c r="E295" s="49"/>
      <c r="F295" s="51"/>
      <c r="G295" s="24" t="s">
        <v>199</v>
      </c>
      <c r="H295" s="59">
        <v>4</v>
      </c>
      <c r="I295" s="59" t="s">
        <v>202</v>
      </c>
      <c r="J295" s="57">
        <v>16</v>
      </c>
      <c r="K295" s="57">
        <v>16</v>
      </c>
      <c r="L295" s="57">
        <v>0</v>
      </c>
      <c r="M295" s="50"/>
      <c r="N295" s="49" t="str">
        <f t="shared" si="167"/>
        <v/>
      </c>
      <c r="O295" s="50" t="str">
        <f t="shared" si="168"/>
        <v/>
      </c>
      <c r="P295" s="50" t="str">
        <f t="shared" si="169"/>
        <v/>
      </c>
      <c r="Q295" s="51" t="str">
        <f t="shared" si="170"/>
        <v/>
      </c>
      <c r="R295" s="59"/>
      <c r="S295" s="50"/>
      <c r="T295" s="50"/>
      <c r="U295" s="50"/>
      <c r="V295" s="50"/>
      <c r="W295" s="59" t="str">
        <f t="shared" si="163"/>
        <v/>
      </c>
      <c r="X295" s="49"/>
      <c r="Y295" s="50"/>
      <c r="Z295" s="50"/>
      <c r="AA295" s="50"/>
      <c r="AB295" s="50"/>
      <c r="AC295" s="51" t="str">
        <f t="shared" si="171"/>
        <v/>
      </c>
      <c r="AD295" s="59"/>
      <c r="AE295" s="50">
        <v>1</v>
      </c>
      <c r="AF295" s="50"/>
      <c r="AG295" s="50"/>
      <c r="AH295" s="50"/>
      <c r="AI295" s="99">
        <f t="shared" si="172"/>
        <v>1</v>
      </c>
    </row>
    <row r="296" spans="1:35" x14ac:dyDescent="0.15">
      <c r="A296" s="82">
        <f>'Match Summary'!$B$27</f>
        <v>42260</v>
      </c>
      <c r="B296" s="50" t="str">
        <f>'Match Summary'!$C$27</f>
        <v>Bures</v>
      </c>
      <c r="C296" s="59">
        <v>5</v>
      </c>
      <c r="D296" s="17" t="s">
        <v>301</v>
      </c>
      <c r="E296" s="49"/>
      <c r="F296" s="51"/>
      <c r="G296" s="24" t="s">
        <v>199</v>
      </c>
      <c r="H296" s="59">
        <v>16</v>
      </c>
      <c r="I296" s="59" t="s">
        <v>202</v>
      </c>
      <c r="J296" s="57">
        <v>31</v>
      </c>
      <c r="K296" s="57">
        <v>39</v>
      </c>
      <c r="L296" s="57">
        <v>2</v>
      </c>
      <c r="M296" s="50"/>
      <c r="N296" s="49" t="str">
        <f t="shared" si="167"/>
        <v/>
      </c>
      <c r="O296" s="50" t="str">
        <f t="shared" si="168"/>
        <v/>
      </c>
      <c r="P296" s="50" t="str">
        <f t="shared" si="169"/>
        <v/>
      </c>
      <c r="Q296" s="51" t="str">
        <f t="shared" si="170"/>
        <v/>
      </c>
      <c r="R296" s="59">
        <v>4</v>
      </c>
      <c r="S296" s="50">
        <v>0</v>
      </c>
      <c r="T296" s="50">
        <v>0</v>
      </c>
      <c r="U296" s="57">
        <v>0</v>
      </c>
      <c r="V296" s="57">
        <v>38</v>
      </c>
      <c r="W296" s="59">
        <f t="shared" si="163"/>
        <v>0</v>
      </c>
      <c r="X296" s="49"/>
      <c r="Y296" s="50"/>
      <c r="Z296" s="57"/>
      <c r="AA296" s="50"/>
      <c r="AB296" s="50"/>
      <c r="AC296" s="51" t="str">
        <f t="shared" si="171"/>
        <v/>
      </c>
      <c r="AD296" s="59"/>
      <c r="AE296" s="50"/>
      <c r="AF296" s="50"/>
      <c r="AG296" s="50"/>
      <c r="AH296" s="50"/>
      <c r="AI296" s="99" t="str">
        <f t="shared" si="172"/>
        <v/>
      </c>
    </row>
    <row r="297" spans="1:35" x14ac:dyDescent="0.15">
      <c r="A297" s="82">
        <f>'Match Summary'!$B$27</f>
        <v>42260</v>
      </c>
      <c r="B297" s="50" t="str">
        <f>'Match Summary'!$C$27</f>
        <v>Bures</v>
      </c>
      <c r="C297" s="59">
        <v>6</v>
      </c>
      <c r="D297" s="1" t="s">
        <v>100</v>
      </c>
      <c r="E297" s="49"/>
      <c r="F297" s="51"/>
      <c r="G297" s="24" t="s">
        <v>199</v>
      </c>
      <c r="H297" s="59">
        <v>14</v>
      </c>
      <c r="I297" s="59" t="s">
        <v>201</v>
      </c>
      <c r="J297" s="57">
        <v>22</v>
      </c>
      <c r="K297" s="57">
        <v>18</v>
      </c>
      <c r="L297" s="57">
        <v>1</v>
      </c>
      <c r="M297" s="50"/>
      <c r="N297" s="49" t="str">
        <f t="shared" si="167"/>
        <v/>
      </c>
      <c r="O297" s="50" t="str">
        <f t="shared" si="168"/>
        <v/>
      </c>
      <c r="P297" s="50" t="str">
        <f t="shared" si="169"/>
        <v/>
      </c>
      <c r="Q297" s="51" t="str">
        <f t="shared" si="170"/>
        <v/>
      </c>
      <c r="R297" s="59">
        <v>8</v>
      </c>
      <c r="S297" s="50">
        <v>0</v>
      </c>
      <c r="T297" s="50">
        <v>2</v>
      </c>
      <c r="U297" s="57">
        <v>0</v>
      </c>
      <c r="V297" s="57">
        <v>63</v>
      </c>
      <c r="W297" s="59">
        <f t="shared" si="163"/>
        <v>0</v>
      </c>
      <c r="X297" s="49"/>
      <c r="Y297" s="50"/>
      <c r="Z297" s="50"/>
      <c r="AA297" s="50"/>
      <c r="AB297" s="50"/>
      <c r="AC297" s="51" t="str">
        <f t="shared" si="171"/>
        <v/>
      </c>
      <c r="AD297" s="59"/>
      <c r="AE297" s="50"/>
      <c r="AF297" s="50"/>
      <c r="AG297" s="50"/>
      <c r="AH297" s="50"/>
      <c r="AI297" s="99" t="str">
        <f t="shared" si="172"/>
        <v/>
      </c>
    </row>
    <row r="298" spans="1:35" x14ac:dyDescent="0.15">
      <c r="A298" s="82">
        <f>'Match Summary'!$B$27</f>
        <v>42260</v>
      </c>
      <c r="B298" s="50" t="str">
        <f>'Match Summary'!$C$27</f>
        <v>Bures</v>
      </c>
      <c r="C298" s="59">
        <v>7</v>
      </c>
      <c r="D298" s="1" t="s">
        <v>52</v>
      </c>
      <c r="E298" s="49"/>
      <c r="F298" s="51"/>
      <c r="G298" s="24" t="s">
        <v>199</v>
      </c>
      <c r="H298" s="59">
        <v>39</v>
      </c>
      <c r="I298" s="59" t="s">
        <v>237</v>
      </c>
      <c r="J298" s="57">
        <v>46</v>
      </c>
      <c r="K298" s="57">
        <v>42</v>
      </c>
      <c r="L298" s="57">
        <v>4</v>
      </c>
      <c r="M298" s="57"/>
      <c r="N298" s="49" t="str">
        <f t="shared" si="167"/>
        <v/>
      </c>
      <c r="O298" s="50" t="str">
        <f t="shared" si="168"/>
        <v/>
      </c>
      <c r="P298" s="50" t="str">
        <f t="shared" si="169"/>
        <v/>
      </c>
      <c r="Q298" s="51" t="str">
        <f t="shared" si="170"/>
        <v/>
      </c>
      <c r="R298" s="59">
        <v>9</v>
      </c>
      <c r="S298" s="50">
        <v>0</v>
      </c>
      <c r="T298" s="50">
        <v>5</v>
      </c>
      <c r="U298" s="57">
        <v>0</v>
      </c>
      <c r="V298" s="57">
        <v>61</v>
      </c>
      <c r="W298" s="59">
        <f t="shared" si="163"/>
        <v>2</v>
      </c>
      <c r="X298" s="49"/>
      <c r="Y298" s="50"/>
      <c r="Z298" s="57">
        <v>2</v>
      </c>
      <c r="AA298" s="50"/>
      <c r="AB298" s="50"/>
      <c r="AC298" s="51" t="str">
        <f>IF(AND(ISNUMBER(W298),W298&gt;=5),1,"")</f>
        <v/>
      </c>
      <c r="AD298" s="59"/>
      <c r="AE298" s="50"/>
      <c r="AF298" s="50"/>
      <c r="AG298" s="50"/>
      <c r="AH298" s="50"/>
      <c r="AI298" s="99" t="str">
        <f t="shared" si="172"/>
        <v/>
      </c>
    </row>
    <row r="299" spans="1:35" x14ac:dyDescent="0.15">
      <c r="A299" s="82">
        <f>'Match Summary'!$B$27</f>
        <v>42260</v>
      </c>
      <c r="B299" s="50" t="str">
        <f>'Match Summary'!$C$27</f>
        <v>Bures</v>
      </c>
      <c r="C299" s="59">
        <v>8</v>
      </c>
      <c r="D299" s="17" t="s">
        <v>268</v>
      </c>
      <c r="E299" s="49"/>
      <c r="F299" s="51"/>
      <c r="G299" s="24" t="s">
        <v>199</v>
      </c>
      <c r="H299" s="59">
        <v>12</v>
      </c>
      <c r="I299" s="59" t="s">
        <v>203</v>
      </c>
      <c r="J299" s="57">
        <v>34</v>
      </c>
      <c r="K299" s="57">
        <v>36</v>
      </c>
      <c r="L299" s="57">
        <v>2</v>
      </c>
      <c r="M299" s="50"/>
      <c r="N299" s="49">
        <f t="shared" si="167"/>
        <v>1</v>
      </c>
      <c r="O299" s="50" t="str">
        <f t="shared" si="168"/>
        <v/>
      </c>
      <c r="P299" s="50" t="str">
        <f t="shared" si="169"/>
        <v/>
      </c>
      <c r="Q299" s="51" t="str">
        <f t="shared" si="170"/>
        <v/>
      </c>
      <c r="R299" s="59">
        <v>3</v>
      </c>
      <c r="S299" s="57">
        <v>0</v>
      </c>
      <c r="T299" s="57">
        <v>1</v>
      </c>
      <c r="U299" s="57">
        <v>0</v>
      </c>
      <c r="V299" s="57">
        <v>40</v>
      </c>
      <c r="W299" s="59">
        <f t="shared" si="163"/>
        <v>0</v>
      </c>
      <c r="X299" s="49"/>
      <c r="Y299" s="50"/>
      <c r="Z299" s="57"/>
      <c r="AA299" s="50"/>
      <c r="AB299" s="50"/>
      <c r="AC299" s="51" t="str">
        <f t="shared" si="171"/>
        <v/>
      </c>
      <c r="AD299" s="59"/>
      <c r="AE299" s="50"/>
      <c r="AF299" s="50"/>
      <c r="AG299" s="50"/>
      <c r="AH299" s="50"/>
      <c r="AI299" s="99" t="str">
        <f t="shared" si="172"/>
        <v/>
      </c>
    </row>
    <row r="300" spans="1:35" x14ac:dyDescent="0.15">
      <c r="A300" s="82">
        <f>'Match Summary'!$B$27</f>
        <v>42260</v>
      </c>
      <c r="B300" s="50" t="str">
        <f>'Match Summary'!$C$27</f>
        <v>Bures</v>
      </c>
      <c r="C300" s="59">
        <v>9</v>
      </c>
      <c r="D300" s="17" t="s">
        <v>291</v>
      </c>
      <c r="E300" s="49"/>
      <c r="F300" s="51"/>
      <c r="G300" s="24" t="s">
        <v>199</v>
      </c>
      <c r="H300" s="59">
        <v>0</v>
      </c>
      <c r="I300" s="59" t="s">
        <v>201</v>
      </c>
      <c r="J300" s="57">
        <v>1</v>
      </c>
      <c r="K300" s="57">
        <v>2</v>
      </c>
      <c r="L300" s="57">
        <v>0</v>
      </c>
      <c r="M300" s="50"/>
      <c r="N300" s="49" t="str">
        <f t="shared" si="167"/>
        <v/>
      </c>
      <c r="O300" s="50">
        <f t="shared" si="168"/>
        <v>1</v>
      </c>
      <c r="P300" s="50" t="str">
        <f t="shared" si="169"/>
        <v/>
      </c>
      <c r="Q300" s="51" t="str">
        <f t="shared" si="170"/>
        <v/>
      </c>
      <c r="R300" s="59"/>
      <c r="S300" s="57"/>
      <c r="T300" s="57"/>
      <c r="U300" s="57"/>
      <c r="V300" s="57"/>
      <c r="W300" s="59" t="str">
        <f t="shared" si="163"/>
        <v/>
      </c>
      <c r="X300" s="49"/>
      <c r="Y300" s="50"/>
      <c r="Z300" s="50"/>
      <c r="AA300" s="50"/>
      <c r="AB300" s="50"/>
      <c r="AC300" s="51" t="str">
        <f t="shared" si="171"/>
        <v/>
      </c>
      <c r="AD300" s="59"/>
      <c r="AE300" s="50"/>
      <c r="AF300" s="50"/>
      <c r="AG300" s="50"/>
      <c r="AH300" s="50"/>
      <c r="AI300" s="99" t="str">
        <f t="shared" si="172"/>
        <v/>
      </c>
    </row>
    <row r="301" spans="1:35" x14ac:dyDescent="0.15">
      <c r="A301" s="82">
        <f>'Match Summary'!$B$27</f>
        <v>42260</v>
      </c>
      <c r="B301" s="50" t="str">
        <f>'Match Summary'!$C$27</f>
        <v>Bures</v>
      </c>
      <c r="C301" s="59">
        <v>10</v>
      </c>
      <c r="D301" s="1" t="s">
        <v>49</v>
      </c>
      <c r="E301" s="49"/>
      <c r="F301" s="51" t="s">
        <v>195</v>
      </c>
      <c r="G301" s="24" t="s">
        <v>199</v>
      </c>
      <c r="H301" s="59">
        <v>2</v>
      </c>
      <c r="I301" s="59" t="s">
        <v>203</v>
      </c>
      <c r="J301" s="57">
        <v>5</v>
      </c>
      <c r="K301" s="57">
        <v>6</v>
      </c>
      <c r="L301" s="57">
        <v>0</v>
      </c>
      <c r="M301" s="50"/>
      <c r="N301" s="49">
        <f t="shared" si="167"/>
        <v>1</v>
      </c>
      <c r="O301" s="50" t="str">
        <f t="shared" si="168"/>
        <v/>
      </c>
      <c r="P301" s="50" t="str">
        <f t="shared" si="169"/>
        <v/>
      </c>
      <c r="Q301" s="51" t="str">
        <f t="shared" si="170"/>
        <v/>
      </c>
      <c r="R301" s="59"/>
      <c r="S301" s="50"/>
      <c r="T301" s="50"/>
      <c r="U301" s="50"/>
      <c r="V301" s="50"/>
      <c r="W301" s="59" t="str">
        <f t="shared" si="163"/>
        <v/>
      </c>
      <c r="X301" s="49"/>
      <c r="Y301" s="50"/>
      <c r="Z301" s="50"/>
      <c r="AA301" s="50"/>
      <c r="AB301" s="50"/>
      <c r="AC301" s="51" t="str">
        <f t="shared" si="171"/>
        <v/>
      </c>
      <c r="AD301" s="59">
        <v>0</v>
      </c>
      <c r="AE301" s="50"/>
      <c r="AF301" s="50"/>
      <c r="AG301" s="50"/>
      <c r="AH301" s="50"/>
      <c r="AI301" s="99" t="str">
        <f t="shared" si="172"/>
        <v/>
      </c>
    </row>
    <row r="302" spans="1:35" x14ac:dyDescent="0.15">
      <c r="A302" s="82">
        <f>'Match Summary'!$B$27</f>
        <v>42260</v>
      </c>
      <c r="B302" s="50" t="str">
        <f>'Match Summary'!$C$27</f>
        <v>Bures</v>
      </c>
      <c r="C302" s="56">
        <v>11</v>
      </c>
      <c r="D302" s="17" t="s">
        <v>117</v>
      </c>
      <c r="E302" s="52"/>
      <c r="F302" s="54"/>
      <c r="G302" s="24" t="s">
        <v>199</v>
      </c>
      <c r="H302" s="56"/>
      <c r="I302" s="56" t="s">
        <v>204</v>
      </c>
      <c r="J302" s="53"/>
      <c r="K302" s="53"/>
      <c r="L302" s="53"/>
      <c r="M302" s="53"/>
      <c r="N302" s="52" t="str">
        <f t="shared" si="167"/>
        <v/>
      </c>
      <c r="O302" s="53" t="str">
        <f t="shared" si="168"/>
        <v/>
      </c>
      <c r="P302" s="53" t="str">
        <f t="shared" si="169"/>
        <v/>
      </c>
      <c r="Q302" s="54" t="str">
        <f t="shared" si="170"/>
        <v/>
      </c>
      <c r="R302" s="56"/>
      <c r="S302" s="53"/>
      <c r="T302" s="53"/>
      <c r="U302" s="53"/>
      <c r="V302" s="53"/>
      <c r="W302" s="56" t="str">
        <f t="shared" si="163"/>
        <v/>
      </c>
      <c r="X302" s="52"/>
      <c r="Y302" s="53"/>
      <c r="Z302" s="53"/>
      <c r="AA302" s="53"/>
      <c r="AB302" s="53"/>
      <c r="AC302" s="54" t="str">
        <f t="shared" si="171"/>
        <v/>
      </c>
      <c r="AD302" s="56"/>
      <c r="AE302" s="53">
        <v>1</v>
      </c>
      <c r="AF302" s="53"/>
      <c r="AG302" s="53"/>
      <c r="AH302" s="53"/>
      <c r="AI302" s="100">
        <f>IF(SUM(AE302:AH302)=0,"",SUM(AE302:AH302))</f>
        <v>1</v>
      </c>
    </row>
    <row r="303" spans="1:35" ht="15" thickBot="1" x14ac:dyDescent="0.2">
      <c r="A303" s="83">
        <f>'Match Summary'!$B$27</f>
        <v>42260</v>
      </c>
      <c r="B303" s="85" t="str">
        <f>'Match Summary'!$C$27</f>
        <v>Bures</v>
      </c>
      <c r="C303" s="85"/>
      <c r="D303" s="86" t="s">
        <v>174</v>
      </c>
      <c r="E303" s="85"/>
      <c r="F303" s="85"/>
      <c r="G303" s="113"/>
      <c r="H303" s="86">
        <v>6</v>
      </c>
      <c r="I303" s="85"/>
      <c r="J303" s="85"/>
      <c r="K303" s="85"/>
      <c r="L303" s="85"/>
      <c r="M303" s="85"/>
      <c r="N303" s="85"/>
      <c r="O303" s="85"/>
      <c r="P303" s="87"/>
      <c r="Q303" s="88"/>
      <c r="R303" s="86">
        <f>SUBTOTAL(9,R292:R302)</f>
        <v>40</v>
      </c>
      <c r="S303" s="91">
        <f t="shared" ref="S303" si="173">SUBTOTAL(9,S292:S302)</f>
        <v>3</v>
      </c>
      <c r="T303" s="86">
        <f>SUBTOTAL(9,T292:T302)</f>
        <v>9</v>
      </c>
      <c r="U303" s="86">
        <f>SUBTOTAL(9,U292:U302)</f>
        <v>4</v>
      </c>
      <c r="V303" s="86">
        <f>SUBTOTAL(9,V292:V302)</f>
        <v>299</v>
      </c>
      <c r="W303" s="86">
        <f>SUBTOTAL(9,W292:W302)</f>
        <v>5</v>
      </c>
      <c r="X303" s="85"/>
      <c r="Y303" s="85"/>
      <c r="Z303" s="85"/>
      <c r="AA303" s="85"/>
      <c r="AB303" s="85"/>
      <c r="AC303" s="85" t="s">
        <v>259</v>
      </c>
      <c r="AD303" s="86">
        <v>1</v>
      </c>
      <c r="AE303" s="85"/>
      <c r="AF303" s="85"/>
      <c r="AG303" s="85"/>
      <c r="AH303" s="85"/>
      <c r="AI303" s="101"/>
    </row>
    <row r="304" spans="1:35" x14ac:dyDescent="0.15">
      <c r="A304" s="75">
        <f>'Match Summary'!$B$28</f>
        <v>42267</v>
      </c>
      <c r="B304" s="81" t="str">
        <f>'Match Summary'!$C$28</f>
        <v>Old_Sectonians</v>
      </c>
      <c r="C304" s="77">
        <v>1</v>
      </c>
      <c r="D304" s="17" t="s">
        <v>186</v>
      </c>
      <c r="E304" s="79"/>
      <c r="F304" s="80"/>
      <c r="G304" s="24" t="s">
        <v>199</v>
      </c>
      <c r="H304" s="77">
        <v>48</v>
      </c>
      <c r="I304" s="77" t="s">
        <v>201</v>
      </c>
      <c r="J304" s="81">
        <v>75</v>
      </c>
      <c r="K304" s="81">
        <v>88</v>
      </c>
      <c r="L304" s="81">
        <v>6</v>
      </c>
      <c r="M304" s="81"/>
      <c r="N304" s="79" t="str">
        <f t="shared" ref="N304:N314" si="174">IF(I304="NO",1,"")</f>
        <v/>
      </c>
      <c r="O304" s="81" t="str">
        <f t="shared" ref="O304:O314" si="175">IF(OR(H304&gt;0,H304=""),"",IF(I304="no","",1))</f>
        <v/>
      </c>
      <c r="P304" s="81" t="str">
        <f t="shared" ref="P304:P314" si="176">IF(AND(H304&gt;=50,H304&lt;100),1,"")</f>
        <v/>
      </c>
      <c r="Q304" s="80" t="str">
        <f t="shared" ref="Q304:Q314" si="177">IF(H304&gt;=100,1,"")</f>
        <v/>
      </c>
      <c r="R304" s="77"/>
      <c r="S304" s="81"/>
      <c r="T304" s="81"/>
      <c r="U304" s="81"/>
      <c r="V304" s="81"/>
      <c r="W304" s="77" t="str">
        <f t="shared" si="163"/>
        <v/>
      </c>
      <c r="X304" s="79"/>
      <c r="Y304" s="81"/>
      <c r="Z304" s="81"/>
      <c r="AA304" s="81"/>
      <c r="AB304" s="81"/>
      <c r="AC304" s="80" t="str">
        <f t="shared" ref="AC304:AC314" si="178">IF(AND(ISNUMBER(W304),W304&gt;=5),1,"")</f>
        <v/>
      </c>
      <c r="AD304" s="77"/>
      <c r="AE304" s="81"/>
      <c r="AF304" s="81">
        <v>1</v>
      </c>
      <c r="AG304" s="81"/>
      <c r="AH304" s="81"/>
      <c r="AI304" s="98">
        <f>IF(SUM(AE304:AH304)=0,"",SUM(AE304:AH304))</f>
        <v>1</v>
      </c>
    </row>
    <row r="305" spans="1:35" x14ac:dyDescent="0.15">
      <c r="A305" s="82">
        <f>'Match Summary'!$B$28</f>
        <v>42267</v>
      </c>
      <c r="B305" s="50" t="str">
        <f>'Match Summary'!$C$28</f>
        <v>Old_Sectonians</v>
      </c>
      <c r="C305" s="59">
        <v>2</v>
      </c>
      <c r="D305" s="17" t="s">
        <v>160</v>
      </c>
      <c r="E305" s="49"/>
      <c r="F305" s="51"/>
      <c r="G305" s="24" t="s">
        <v>199</v>
      </c>
      <c r="H305" s="59">
        <v>15</v>
      </c>
      <c r="I305" s="59" t="s">
        <v>202</v>
      </c>
      <c r="J305" s="57">
        <v>47</v>
      </c>
      <c r="K305" s="57">
        <v>41</v>
      </c>
      <c r="L305" s="57">
        <v>1</v>
      </c>
      <c r="M305" s="50"/>
      <c r="N305" s="49" t="str">
        <f t="shared" si="174"/>
        <v/>
      </c>
      <c r="O305" s="50" t="str">
        <f t="shared" si="175"/>
        <v/>
      </c>
      <c r="P305" s="50" t="str">
        <f t="shared" si="176"/>
        <v/>
      </c>
      <c r="Q305" s="51" t="str">
        <f t="shared" si="177"/>
        <v/>
      </c>
      <c r="R305" s="59"/>
      <c r="S305" s="50"/>
      <c r="T305" s="50"/>
      <c r="U305" s="50"/>
      <c r="V305" s="50"/>
      <c r="W305" s="59" t="str">
        <f t="shared" si="163"/>
        <v/>
      </c>
      <c r="X305" s="49"/>
      <c r="Y305" s="50"/>
      <c r="Z305" s="50"/>
      <c r="AA305" s="50"/>
      <c r="AB305" s="50"/>
      <c r="AC305" s="51" t="str">
        <f t="shared" si="178"/>
        <v/>
      </c>
      <c r="AD305" s="59"/>
      <c r="AE305" s="50">
        <v>1</v>
      </c>
      <c r="AF305" s="50"/>
      <c r="AG305" s="50"/>
      <c r="AH305" s="50"/>
      <c r="AI305" s="99">
        <f t="shared" ref="AI305:AI313" si="179">IF(SUM(AE305:AH305)=0,"",SUM(AE305:AH305))</f>
        <v>1</v>
      </c>
    </row>
    <row r="306" spans="1:35" x14ac:dyDescent="0.15">
      <c r="A306" s="82">
        <f>'Match Summary'!$B$28</f>
        <v>42267</v>
      </c>
      <c r="B306" s="50" t="str">
        <f>'Match Summary'!$C$28</f>
        <v>Old_Sectonians</v>
      </c>
      <c r="C306" s="59">
        <v>3</v>
      </c>
      <c r="D306" s="17" t="s">
        <v>156</v>
      </c>
      <c r="E306" s="49"/>
      <c r="F306" s="51"/>
      <c r="G306" s="24" t="s">
        <v>199</v>
      </c>
      <c r="H306" s="59">
        <v>20</v>
      </c>
      <c r="I306" s="59" t="s">
        <v>201</v>
      </c>
      <c r="J306" s="57">
        <v>29</v>
      </c>
      <c r="K306" s="57">
        <v>34</v>
      </c>
      <c r="L306" s="57">
        <v>3</v>
      </c>
      <c r="M306" s="51"/>
      <c r="N306" s="50" t="str">
        <f t="shared" si="174"/>
        <v/>
      </c>
      <c r="O306" s="50" t="str">
        <f t="shared" si="175"/>
        <v/>
      </c>
      <c r="P306" s="50" t="str">
        <f t="shared" si="176"/>
        <v/>
      </c>
      <c r="Q306" s="51" t="str">
        <f t="shared" si="177"/>
        <v/>
      </c>
      <c r="R306" s="59"/>
      <c r="S306" s="50"/>
      <c r="T306" s="50"/>
      <c r="U306" s="57"/>
      <c r="V306" s="57"/>
      <c r="W306" s="59" t="str">
        <f t="shared" si="163"/>
        <v/>
      </c>
      <c r="X306" s="49"/>
      <c r="Y306" s="50"/>
      <c r="Z306" s="57"/>
      <c r="AA306" s="50"/>
      <c r="AB306" s="50"/>
      <c r="AC306" s="51" t="str">
        <f t="shared" si="178"/>
        <v/>
      </c>
      <c r="AD306" s="59"/>
      <c r="AE306" s="50">
        <v>1</v>
      </c>
      <c r="AF306" s="50"/>
      <c r="AG306" s="50"/>
      <c r="AH306" s="50"/>
      <c r="AI306" s="99">
        <f t="shared" si="179"/>
        <v>1</v>
      </c>
    </row>
    <row r="307" spans="1:35" x14ac:dyDescent="0.15">
      <c r="A307" s="82">
        <f>'Match Summary'!$B$28</f>
        <v>42267</v>
      </c>
      <c r="B307" s="50" t="str">
        <f>'Match Summary'!$C$28</f>
        <v>Old_Sectonians</v>
      </c>
      <c r="C307" s="59">
        <v>4</v>
      </c>
      <c r="D307" s="1" t="s">
        <v>47</v>
      </c>
      <c r="E307" s="49"/>
      <c r="F307" s="51"/>
      <c r="G307" s="24" t="s">
        <v>199</v>
      </c>
      <c r="H307" s="59">
        <v>25</v>
      </c>
      <c r="I307" s="59" t="s">
        <v>201</v>
      </c>
      <c r="J307" s="57">
        <v>44</v>
      </c>
      <c r="K307" s="57">
        <v>41</v>
      </c>
      <c r="L307" s="57">
        <v>1</v>
      </c>
      <c r="M307" s="57">
        <v>1</v>
      </c>
      <c r="N307" s="49" t="str">
        <f t="shared" si="174"/>
        <v/>
      </c>
      <c r="O307" s="50" t="str">
        <f t="shared" si="175"/>
        <v/>
      </c>
      <c r="P307" s="50" t="str">
        <f t="shared" si="176"/>
        <v/>
      </c>
      <c r="Q307" s="51" t="str">
        <f t="shared" si="177"/>
        <v/>
      </c>
      <c r="R307" s="59">
        <v>3</v>
      </c>
      <c r="S307" s="50">
        <v>0</v>
      </c>
      <c r="T307" s="50">
        <v>5</v>
      </c>
      <c r="U307" s="57">
        <v>0</v>
      </c>
      <c r="V307" s="57">
        <v>25</v>
      </c>
      <c r="W307" s="59">
        <f t="shared" si="163"/>
        <v>0</v>
      </c>
      <c r="X307" s="49"/>
      <c r="Y307" s="50"/>
      <c r="Z307" s="50"/>
      <c r="AA307" s="50"/>
      <c r="AB307" s="50"/>
      <c r="AC307" s="51" t="str">
        <f t="shared" si="178"/>
        <v/>
      </c>
      <c r="AD307" s="59"/>
      <c r="AE307" s="50">
        <v>1</v>
      </c>
      <c r="AF307" s="50"/>
      <c r="AG307" s="50"/>
      <c r="AH307" s="50"/>
      <c r="AI307" s="99">
        <f t="shared" si="179"/>
        <v>1</v>
      </c>
    </row>
    <row r="308" spans="1:35" x14ac:dyDescent="0.15">
      <c r="A308" s="82">
        <f>'Match Summary'!$B$28</f>
        <v>42267</v>
      </c>
      <c r="B308" s="50" t="str">
        <f>'Match Summary'!$C$28</f>
        <v>Old_Sectonians</v>
      </c>
      <c r="C308" s="59">
        <v>5</v>
      </c>
      <c r="D308" s="17" t="s">
        <v>301</v>
      </c>
      <c r="E308" s="49"/>
      <c r="F308" s="51"/>
      <c r="G308" s="24" t="s">
        <v>199</v>
      </c>
      <c r="H308" s="59">
        <v>11</v>
      </c>
      <c r="I308" s="59" t="s">
        <v>201</v>
      </c>
      <c r="J308" s="57">
        <v>16</v>
      </c>
      <c r="K308" s="57">
        <v>21</v>
      </c>
      <c r="L308" s="57">
        <v>2</v>
      </c>
      <c r="M308" s="50"/>
      <c r="N308" s="49" t="str">
        <f t="shared" si="174"/>
        <v/>
      </c>
      <c r="O308" s="50" t="str">
        <f t="shared" si="175"/>
        <v/>
      </c>
      <c r="P308" s="50" t="str">
        <f t="shared" si="176"/>
        <v/>
      </c>
      <c r="Q308" s="51" t="str">
        <f t="shared" si="177"/>
        <v/>
      </c>
      <c r="R308" s="59">
        <v>2</v>
      </c>
      <c r="S308" s="50">
        <v>0</v>
      </c>
      <c r="T308" s="50">
        <v>1</v>
      </c>
      <c r="U308" s="57">
        <v>1</v>
      </c>
      <c r="V308" s="57">
        <v>12</v>
      </c>
      <c r="W308" s="59">
        <f t="shared" si="163"/>
        <v>0</v>
      </c>
      <c r="X308" s="49"/>
      <c r="Y308" s="50"/>
      <c r="Z308" s="57"/>
      <c r="AA308" s="50"/>
      <c r="AB308" s="50"/>
      <c r="AC308" s="51" t="str">
        <f t="shared" si="178"/>
        <v/>
      </c>
      <c r="AD308" s="59"/>
      <c r="AE308" s="50"/>
      <c r="AF308" s="50"/>
      <c r="AG308" s="50"/>
      <c r="AH308" s="50"/>
      <c r="AI308" s="99" t="str">
        <f t="shared" si="179"/>
        <v/>
      </c>
    </row>
    <row r="309" spans="1:35" x14ac:dyDescent="0.15">
      <c r="A309" s="82">
        <f>'Match Summary'!$B$28</f>
        <v>42267</v>
      </c>
      <c r="B309" s="50" t="str">
        <f>'Match Summary'!$C$28</f>
        <v>Old_Sectonians</v>
      </c>
      <c r="C309" s="59">
        <v>6</v>
      </c>
      <c r="D309" s="1" t="s">
        <v>103</v>
      </c>
      <c r="E309" s="49"/>
      <c r="F309" s="51"/>
      <c r="G309" s="24" t="s">
        <v>199</v>
      </c>
      <c r="H309" s="59">
        <v>0</v>
      </c>
      <c r="I309" s="59" t="s">
        <v>201</v>
      </c>
      <c r="J309" s="57">
        <v>2</v>
      </c>
      <c r="K309" s="57">
        <v>2</v>
      </c>
      <c r="L309" s="57"/>
      <c r="M309" s="50"/>
      <c r="N309" s="49" t="str">
        <f t="shared" si="174"/>
        <v/>
      </c>
      <c r="O309" s="50">
        <f t="shared" si="175"/>
        <v>1</v>
      </c>
      <c r="P309" s="50" t="str">
        <f t="shared" si="176"/>
        <v/>
      </c>
      <c r="Q309" s="51" t="str">
        <f t="shared" si="177"/>
        <v/>
      </c>
      <c r="R309" s="59"/>
      <c r="S309" s="50"/>
      <c r="T309" s="50"/>
      <c r="U309" s="50"/>
      <c r="V309" s="50"/>
      <c r="W309" s="59" t="str">
        <f t="shared" si="163"/>
        <v/>
      </c>
      <c r="X309" s="49"/>
      <c r="Y309" s="50"/>
      <c r="Z309" s="50"/>
      <c r="AA309" s="50"/>
      <c r="AB309" s="50"/>
      <c r="AC309" s="51" t="str">
        <f t="shared" si="178"/>
        <v/>
      </c>
      <c r="AD309" s="59"/>
      <c r="AE309" s="57">
        <v>1</v>
      </c>
      <c r="AF309" s="50"/>
      <c r="AG309" s="50"/>
      <c r="AH309" s="50"/>
      <c r="AI309" s="99">
        <f t="shared" si="179"/>
        <v>1</v>
      </c>
    </row>
    <row r="310" spans="1:35" x14ac:dyDescent="0.15">
      <c r="A310" s="82">
        <f>'Match Summary'!$B$28</f>
        <v>42267</v>
      </c>
      <c r="B310" s="50" t="str">
        <f>'Match Summary'!$C$28</f>
        <v>Old_Sectonians</v>
      </c>
      <c r="C310" s="59">
        <v>7</v>
      </c>
      <c r="D310" s="1" t="s">
        <v>100</v>
      </c>
      <c r="E310" s="49"/>
      <c r="F310" s="51"/>
      <c r="G310" s="24" t="s">
        <v>199</v>
      </c>
      <c r="H310" s="59">
        <v>32</v>
      </c>
      <c r="I310" s="59" t="s">
        <v>203</v>
      </c>
      <c r="J310" s="57">
        <v>21</v>
      </c>
      <c r="K310" s="57">
        <v>39</v>
      </c>
      <c r="L310" s="57">
        <v>3</v>
      </c>
      <c r="M310" s="57">
        <v>2</v>
      </c>
      <c r="N310" s="49">
        <f t="shared" si="174"/>
        <v>1</v>
      </c>
      <c r="O310" s="50" t="str">
        <f t="shared" si="175"/>
        <v/>
      </c>
      <c r="P310" s="50" t="str">
        <f t="shared" si="176"/>
        <v/>
      </c>
      <c r="Q310" s="51" t="str">
        <f t="shared" si="177"/>
        <v/>
      </c>
      <c r="R310" s="59">
        <v>9</v>
      </c>
      <c r="S310" s="50">
        <v>1</v>
      </c>
      <c r="T310" s="50">
        <v>0</v>
      </c>
      <c r="U310" s="57">
        <v>5</v>
      </c>
      <c r="V310" s="57">
        <v>32</v>
      </c>
      <c r="W310" s="59">
        <f t="shared" si="163"/>
        <v>2</v>
      </c>
      <c r="X310" s="49"/>
      <c r="Y310" s="50"/>
      <c r="Z310" s="57">
        <v>2</v>
      </c>
      <c r="AA310" s="50"/>
      <c r="AB310" s="50"/>
      <c r="AC310" s="51" t="str">
        <f>IF(AND(ISNUMBER(W310),W310&gt;=5),1,"")</f>
        <v/>
      </c>
      <c r="AD310" s="59"/>
      <c r="AE310" s="50"/>
      <c r="AF310" s="50"/>
      <c r="AG310" s="50"/>
      <c r="AH310" s="50"/>
      <c r="AI310" s="99" t="str">
        <f t="shared" si="179"/>
        <v/>
      </c>
    </row>
    <row r="311" spans="1:35" x14ac:dyDescent="0.15">
      <c r="A311" s="82">
        <f>'Match Summary'!$B$28</f>
        <v>42267</v>
      </c>
      <c r="B311" s="50" t="str">
        <f>'Match Summary'!$C$28</f>
        <v>Old_Sectonians</v>
      </c>
      <c r="C311" s="59">
        <v>8</v>
      </c>
      <c r="D311" s="17" t="s">
        <v>268</v>
      </c>
      <c r="E311" s="49"/>
      <c r="F311" s="51"/>
      <c r="G311" s="24" t="s">
        <v>199</v>
      </c>
      <c r="H311" s="59">
        <v>1</v>
      </c>
      <c r="I311" s="59" t="s">
        <v>237</v>
      </c>
      <c r="J311" s="57">
        <v>2</v>
      </c>
      <c r="K311" s="57">
        <v>4</v>
      </c>
      <c r="L311" s="50"/>
      <c r="M311" s="50"/>
      <c r="N311" s="49" t="str">
        <f t="shared" si="174"/>
        <v/>
      </c>
      <c r="O311" s="50" t="str">
        <f t="shared" si="175"/>
        <v/>
      </c>
      <c r="P311" s="50" t="str">
        <f t="shared" si="176"/>
        <v/>
      </c>
      <c r="Q311" s="51" t="str">
        <f t="shared" si="177"/>
        <v/>
      </c>
      <c r="R311" s="59"/>
      <c r="S311" s="50"/>
      <c r="T311" s="50"/>
      <c r="U311" s="57"/>
      <c r="V311" s="57"/>
      <c r="W311" s="59" t="str">
        <f t="shared" si="163"/>
        <v/>
      </c>
      <c r="X311" s="49"/>
      <c r="Y311" s="50"/>
      <c r="Z311" s="57"/>
      <c r="AA311" s="50"/>
      <c r="AB311" s="50"/>
      <c r="AC311" s="51" t="str">
        <f t="shared" si="178"/>
        <v/>
      </c>
      <c r="AD311" s="59"/>
      <c r="AE311" s="50"/>
      <c r="AF311" s="50"/>
      <c r="AG311" s="50"/>
      <c r="AH311" s="50"/>
      <c r="AI311" s="99" t="str">
        <f t="shared" si="179"/>
        <v/>
      </c>
    </row>
    <row r="312" spans="1:35" x14ac:dyDescent="0.15">
      <c r="A312" s="82">
        <f>'Match Summary'!$B$28</f>
        <v>42267</v>
      </c>
      <c r="B312" s="50" t="str">
        <f>'Match Summary'!$C$28</f>
        <v>Old_Sectonians</v>
      </c>
      <c r="C312" s="59">
        <v>9</v>
      </c>
      <c r="D312" s="1" t="s">
        <v>44</v>
      </c>
      <c r="E312" s="49"/>
      <c r="F312" s="51"/>
      <c r="G312" s="24" t="s">
        <v>199</v>
      </c>
      <c r="H312" s="59">
        <v>2</v>
      </c>
      <c r="I312" s="59" t="s">
        <v>201</v>
      </c>
      <c r="J312" s="57">
        <v>15</v>
      </c>
      <c r="K312" s="57">
        <v>8</v>
      </c>
      <c r="L312" s="50"/>
      <c r="M312" s="50"/>
      <c r="N312" s="49" t="str">
        <f t="shared" si="174"/>
        <v/>
      </c>
      <c r="O312" s="50" t="str">
        <f t="shared" si="175"/>
        <v/>
      </c>
      <c r="P312" s="50" t="str">
        <f t="shared" si="176"/>
        <v/>
      </c>
      <c r="Q312" s="51" t="str">
        <f t="shared" si="177"/>
        <v/>
      </c>
      <c r="R312" s="59">
        <v>7</v>
      </c>
      <c r="S312" s="57">
        <v>2</v>
      </c>
      <c r="T312" s="57">
        <v>0</v>
      </c>
      <c r="U312" s="57">
        <v>0</v>
      </c>
      <c r="V312" s="57">
        <v>10</v>
      </c>
      <c r="W312" s="59">
        <f t="shared" si="163"/>
        <v>5</v>
      </c>
      <c r="X312" s="49">
        <v>3</v>
      </c>
      <c r="Y312" s="57">
        <v>1</v>
      </c>
      <c r="Z312" s="57">
        <v>1</v>
      </c>
      <c r="AA312" s="50"/>
      <c r="AB312" s="50"/>
      <c r="AC312" s="51">
        <f t="shared" si="178"/>
        <v>1</v>
      </c>
      <c r="AD312" s="59"/>
      <c r="AE312" s="50"/>
      <c r="AF312" s="50"/>
      <c r="AG312" s="50"/>
      <c r="AH312" s="50"/>
      <c r="AI312" s="99" t="str">
        <f t="shared" si="179"/>
        <v/>
      </c>
    </row>
    <row r="313" spans="1:35" x14ac:dyDescent="0.15">
      <c r="A313" s="82">
        <f>'Match Summary'!$B$28</f>
        <v>42267</v>
      </c>
      <c r="B313" s="50" t="str">
        <f>'Match Summary'!$C$28</f>
        <v>Old_Sectonians</v>
      </c>
      <c r="C313" s="59">
        <v>10</v>
      </c>
      <c r="D313" s="1" t="s">
        <v>49</v>
      </c>
      <c r="E313" s="49"/>
      <c r="F313" s="51" t="s">
        <v>195</v>
      </c>
      <c r="G313" s="24" t="s">
        <v>199</v>
      </c>
      <c r="H313" s="59">
        <v>11</v>
      </c>
      <c r="I313" s="59" t="s">
        <v>203</v>
      </c>
      <c r="J313" s="57">
        <v>12</v>
      </c>
      <c r="K313" s="57">
        <v>13</v>
      </c>
      <c r="L313" s="57">
        <v>2</v>
      </c>
      <c r="M313" s="50"/>
      <c r="N313" s="49">
        <f t="shared" si="174"/>
        <v>1</v>
      </c>
      <c r="O313" s="50" t="str">
        <f t="shared" si="175"/>
        <v/>
      </c>
      <c r="P313" s="50" t="str">
        <f t="shared" si="176"/>
        <v/>
      </c>
      <c r="Q313" s="51" t="str">
        <f t="shared" si="177"/>
        <v/>
      </c>
      <c r="R313" s="59"/>
      <c r="S313" s="50"/>
      <c r="T313" s="50"/>
      <c r="U313" s="50"/>
      <c r="V313" s="50"/>
      <c r="W313" s="59" t="str">
        <f t="shared" si="163"/>
        <v/>
      </c>
      <c r="X313" s="49"/>
      <c r="Y313" s="50"/>
      <c r="Z313" s="50"/>
      <c r="AA313" s="50"/>
      <c r="AB313" s="50"/>
      <c r="AC313" s="51" t="str">
        <f t="shared" si="178"/>
        <v/>
      </c>
      <c r="AD313" s="59">
        <v>1</v>
      </c>
      <c r="AE313" s="50"/>
      <c r="AF313" s="50"/>
      <c r="AG313" s="50"/>
      <c r="AH313" s="50">
        <v>1</v>
      </c>
      <c r="AI313" s="99">
        <f t="shared" si="179"/>
        <v>1</v>
      </c>
    </row>
    <row r="314" spans="1:35" x14ac:dyDescent="0.15">
      <c r="A314" s="82">
        <f>'Match Summary'!$B$28</f>
        <v>42267</v>
      </c>
      <c r="B314" s="50" t="str">
        <f>'Match Summary'!$C$28</f>
        <v>Old_Sectonians</v>
      </c>
      <c r="C314" s="56">
        <v>11</v>
      </c>
      <c r="D314" s="1" t="s">
        <v>51</v>
      </c>
      <c r="E314" s="52"/>
      <c r="F314" s="54"/>
      <c r="G314" s="24" t="s">
        <v>200</v>
      </c>
      <c r="H314" s="56"/>
      <c r="I314" s="56" t="s">
        <v>204</v>
      </c>
      <c r="J314" s="53"/>
      <c r="K314" s="53"/>
      <c r="L314" s="53"/>
      <c r="M314" s="53"/>
      <c r="N314" s="52" t="str">
        <f t="shared" si="174"/>
        <v/>
      </c>
      <c r="O314" s="53" t="str">
        <f t="shared" si="175"/>
        <v/>
      </c>
      <c r="P314" s="53" t="str">
        <f t="shared" si="176"/>
        <v/>
      </c>
      <c r="Q314" s="54" t="str">
        <f t="shared" si="177"/>
        <v/>
      </c>
      <c r="R314" s="56">
        <v>2.4</v>
      </c>
      <c r="S314" s="53">
        <v>2</v>
      </c>
      <c r="T314" s="53">
        <v>0</v>
      </c>
      <c r="U314" s="53">
        <v>0</v>
      </c>
      <c r="V314" s="53">
        <v>4</v>
      </c>
      <c r="W314" s="56">
        <f t="shared" si="163"/>
        <v>2</v>
      </c>
      <c r="X314" s="52"/>
      <c r="Y314" s="53"/>
      <c r="Z314" s="53">
        <v>2</v>
      </c>
      <c r="AA314" s="53"/>
      <c r="AB314" s="53"/>
      <c r="AC314" s="54" t="str">
        <f t="shared" si="178"/>
        <v/>
      </c>
      <c r="AD314" s="56"/>
      <c r="AE314" s="53"/>
      <c r="AF314" s="53"/>
      <c r="AG314" s="53"/>
      <c r="AH314" s="53"/>
      <c r="AI314" s="100" t="str">
        <f>IF(SUM(AE314:AH314)=0,"",SUM(AE314:AH314))</f>
        <v/>
      </c>
    </row>
    <row r="315" spans="1:35" ht="15" thickBot="1" x14ac:dyDescent="0.2">
      <c r="A315" s="83">
        <f>'Match Summary'!$B$28</f>
        <v>42267</v>
      </c>
      <c r="B315" s="85" t="str">
        <f>'Match Summary'!$C$28</f>
        <v>Old_Sectonians</v>
      </c>
      <c r="C315" s="85"/>
      <c r="D315" s="86" t="s">
        <v>174</v>
      </c>
      <c r="E315" s="85"/>
      <c r="F315" s="85"/>
      <c r="G315" s="113"/>
      <c r="H315" s="86">
        <v>10</v>
      </c>
      <c r="I315" s="85"/>
      <c r="J315" s="85"/>
      <c r="K315" s="85"/>
      <c r="L315" s="85"/>
      <c r="M315" s="85"/>
      <c r="N315" s="85"/>
      <c r="O315" s="85"/>
      <c r="P315" s="87"/>
      <c r="Q315" s="88"/>
      <c r="R315" s="86">
        <f>SUBTOTAL(9,R304:R314)</f>
        <v>23.4</v>
      </c>
      <c r="S315" s="91">
        <f t="shared" ref="S315" si="180">SUBTOTAL(9,S304:S314)</f>
        <v>5</v>
      </c>
      <c r="T315" s="86">
        <f>SUBTOTAL(9,T304:T314)</f>
        <v>6</v>
      </c>
      <c r="U315" s="86">
        <f>SUBTOTAL(9,U304:U314)</f>
        <v>6</v>
      </c>
      <c r="V315" s="86">
        <f>SUBTOTAL(9,V304:V314)</f>
        <v>83</v>
      </c>
      <c r="W315" s="86">
        <f>SUBTOTAL(9,W304:W314)</f>
        <v>9</v>
      </c>
      <c r="X315" s="85"/>
      <c r="Y315" s="85"/>
      <c r="Z315" s="85"/>
      <c r="AA315" s="85"/>
      <c r="AB315" s="85"/>
      <c r="AC315" s="85" t="s">
        <v>259</v>
      </c>
      <c r="AD315" s="86">
        <v>2</v>
      </c>
      <c r="AE315" s="85"/>
      <c r="AF315" s="85"/>
      <c r="AG315" s="85"/>
      <c r="AH315" s="85"/>
      <c r="AI315" s="101"/>
    </row>
    <row r="316" spans="1:35" x14ac:dyDescent="0.15">
      <c r="A316" s="75">
        <f>'Match Summary'!$B$29</f>
        <v>42274</v>
      </c>
      <c r="B316" s="81" t="str">
        <f>'Match Summary'!$C$29</f>
        <v>Sewards End</v>
      </c>
      <c r="C316" s="77">
        <v>1</v>
      </c>
      <c r="D316" s="78"/>
      <c r="E316" s="79"/>
      <c r="F316" s="80"/>
      <c r="G316" s="116"/>
      <c r="H316" s="77"/>
      <c r="I316" s="77"/>
      <c r="J316" s="81"/>
      <c r="K316" s="81"/>
      <c r="L316" s="81"/>
      <c r="M316" s="81"/>
      <c r="N316" s="79" t="str">
        <f t="shared" ref="N316:N326" si="181">IF(I316="NO",1,"")</f>
        <v/>
      </c>
      <c r="O316" s="81" t="str">
        <f t="shared" ref="O316:O326" si="182">IF(OR(H316&gt;0,H316=""),"",IF(I316="no","",1))</f>
        <v/>
      </c>
      <c r="P316" s="81" t="str">
        <f t="shared" ref="P316:P326" si="183">IF(AND(H316&gt;=50,H316&lt;100),1,"")</f>
        <v/>
      </c>
      <c r="Q316" s="80" t="str">
        <f t="shared" ref="Q316:Q326" si="184">IF(H316&gt;=100,1,"")</f>
        <v/>
      </c>
      <c r="R316" s="77"/>
      <c r="S316" s="81"/>
      <c r="T316" s="81"/>
      <c r="U316" s="81"/>
      <c r="V316" s="81"/>
      <c r="W316" s="77" t="str">
        <f t="shared" si="163"/>
        <v/>
      </c>
      <c r="X316" s="79"/>
      <c r="Y316" s="81"/>
      <c r="Z316" s="81"/>
      <c r="AA316" s="81"/>
      <c r="AB316" s="81"/>
      <c r="AC316" s="80" t="str">
        <f t="shared" ref="AC316:AC326" si="185">IF(AND(ISNUMBER(W316),W316&gt;=5),1,"")</f>
        <v/>
      </c>
      <c r="AD316" s="77"/>
      <c r="AE316" s="81"/>
      <c r="AF316" s="81"/>
      <c r="AG316" s="81"/>
      <c r="AH316" s="81"/>
      <c r="AI316" s="98"/>
    </row>
    <row r="317" spans="1:35" x14ac:dyDescent="0.15">
      <c r="A317" s="82">
        <f>'Match Summary'!$B$29</f>
        <v>42274</v>
      </c>
      <c r="B317" s="50" t="str">
        <f>'Match Summary'!$C$29</f>
        <v>Sewards End</v>
      </c>
      <c r="C317" s="59">
        <v>2</v>
      </c>
      <c r="D317" s="61"/>
      <c r="E317" s="49"/>
      <c r="F317" s="51"/>
      <c r="G317" s="117"/>
      <c r="H317" s="59"/>
      <c r="I317" s="59"/>
      <c r="J317" s="57"/>
      <c r="K317" s="57"/>
      <c r="L317" s="50"/>
      <c r="M317" s="50"/>
      <c r="N317" s="49" t="str">
        <f t="shared" si="181"/>
        <v/>
      </c>
      <c r="O317" s="50" t="str">
        <f t="shared" si="182"/>
        <v/>
      </c>
      <c r="P317" s="50" t="str">
        <f t="shared" si="183"/>
        <v/>
      </c>
      <c r="Q317" s="51" t="str">
        <f t="shared" si="184"/>
        <v/>
      </c>
      <c r="R317" s="59"/>
      <c r="S317" s="50"/>
      <c r="T317" s="50"/>
      <c r="U317" s="50"/>
      <c r="V317" s="50"/>
      <c r="W317" s="59" t="str">
        <f t="shared" si="163"/>
        <v/>
      </c>
      <c r="X317" s="49"/>
      <c r="Y317" s="50"/>
      <c r="Z317" s="50"/>
      <c r="AA317" s="50"/>
      <c r="AB317" s="50"/>
      <c r="AC317" s="51" t="str">
        <f t="shared" si="185"/>
        <v/>
      </c>
      <c r="AD317" s="59"/>
      <c r="AE317" s="50"/>
      <c r="AF317" s="50"/>
      <c r="AG317" s="50"/>
      <c r="AH317" s="50"/>
      <c r="AI317" s="99"/>
    </row>
    <row r="318" spans="1:35" x14ac:dyDescent="0.15">
      <c r="A318" s="82">
        <f>'Match Summary'!$B$29</f>
        <v>42274</v>
      </c>
      <c r="B318" s="50" t="str">
        <f>'Match Summary'!$C$29</f>
        <v>Sewards End</v>
      </c>
      <c r="C318" s="59">
        <v>3</v>
      </c>
      <c r="D318" s="61"/>
      <c r="E318" s="49"/>
      <c r="F318" s="51"/>
      <c r="G318" s="117"/>
      <c r="H318" s="59"/>
      <c r="I318" s="59"/>
      <c r="J318" s="57"/>
      <c r="K318" s="57"/>
      <c r="L318" s="57"/>
      <c r="M318" s="51"/>
      <c r="N318" s="50" t="str">
        <f t="shared" si="181"/>
        <v/>
      </c>
      <c r="O318" s="50" t="str">
        <f t="shared" si="182"/>
        <v/>
      </c>
      <c r="P318" s="50" t="str">
        <f t="shared" si="183"/>
        <v/>
      </c>
      <c r="Q318" s="51" t="str">
        <f t="shared" si="184"/>
        <v/>
      </c>
      <c r="R318" s="59"/>
      <c r="S318" s="50"/>
      <c r="T318" s="50"/>
      <c r="U318" s="57"/>
      <c r="V318" s="57"/>
      <c r="W318" s="59" t="str">
        <f t="shared" si="163"/>
        <v/>
      </c>
      <c r="X318" s="49"/>
      <c r="Y318" s="50"/>
      <c r="Z318" s="57"/>
      <c r="AA318" s="50"/>
      <c r="AB318" s="50"/>
      <c r="AC318" s="51" t="str">
        <f t="shared" si="185"/>
        <v/>
      </c>
      <c r="AD318" s="59"/>
      <c r="AE318" s="50"/>
      <c r="AF318" s="50"/>
      <c r="AG318" s="50"/>
      <c r="AH318" s="50"/>
      <c r="AI318" s="99"/>
    </row>
    <row r="319" spans="1:35" x14ac:dyDescent="0.15">
      <c r="A319" s="82">
        <f>'Match Summary'!$B$29</f>
        <v>42274</v>
      </c>
      <c r="B319" s="50" t="str">
        <f>'Match Summary'!$C$29</f>
        <v>Sewards End</v>
      </c>
      <c r="C319" s="59">
        <v>4</v>
      </c>
      <c r="D319" s="61"/>
      <c r="E319" s="49"/>
      <c r="F319" s="51"/>
      <c r="G319" s="117"/>
      <c r="H319" s="59"/>
      <c r="I319" s="59"/>
      <c r="J319" s="57"/>
      <c r="K319" s="57"/>
      <c r="L319" s="57"/>
      <c r="M319" s="50"/>
      <c r="N319" s="49" t="str">
        <f t="shared" si="181"/>
        <v/>
      </c>
      <c r="O319" s="50" t="str">
        <f t="shared" si="182"/>
        <v/>
      </c>
      <c r="P319" s="50" t="str">
        <f t="shared" si="183"/>
        <v/>
      </c>
      <c r="Q319" s="51" t="str">
        <f t="shared" si="184"/>
        <v/>
      </c>
      <c r="R319" s="59"/>
      <c r="S319" s="50"/>
      <c r="T319" s="50"/>
      <c r="U319" s="50"/>
      <c r="V319" s="50"/>
      <c r="W319" s="59" t="str">
        <f t="shared" si="163"/>
        <v/>
      </c>
      <c r="X319" s="49"/>
      <c r="Y319" s="50"/>
      <c r="Z319" s="50"/>
      <c r="AA319" s="50"/>
      <c r="AB319" s="50"/>
      <c r="AC319" s="51" t="str">
        <f t="shared" si="185"/>
        <v/>
      </c>
      <c r="AD319" s="59"/>
      <c r="AE319" s="50"/>
      <c r="AF319" s="50"/>
      <c r="AG319" s="50"/>
      <c r="AH319" s="50"/>
      <c r="AI319" s="99"/>
    </row>
    <row r="320" spans="1:35" x14ac:dyDescent="0.15">
      <c r="A320" s="82">
        <f>'Match Summary'!$B$29</f>
        <v>42274</v>
      </c>
      <c r="B320" s="50" t="str">
        <f>'Match Summary'!$C$29</f>
        <v>Sewards End</v>
      </c>
      <c r="C320" s="59">
        <v>5</v>
      </c>
      <c r="D320" s="60"/>
      <c r="E320" s="49"/>
      <c r="F320" s="51"/>
      <c r="G320" s="117"/>
      <c r="H320" s="59"/>
      <c r="I320" s="59"/>
      <c r="J320" s="57"/>
      <c r="K320" s="57"/>
      <c r="L320" s="57"/>
      <c r="M320" s="50"/>
      <c r="N320" s="49" t="str">
        <f t="shared" si="181"/>
        <v/>
      </c>
      <c r="O320" s="50" t="str">
        <f t="shared" si="182"/>
        <v/>
      </c>
      <c r="P320" s="50" t="str">
        <f t="shared" si="183"/>
        <v/>
      </c>
      <c r="Q320" s="51" t="str">
        <f t="shared" si="184"/>
        <v/>
      </c>
      <c r="R320" s="59"/>
      <c r="S320" s="50"/>
      <c r="T320" s="50"/>
      <c r="U320" s="57"/>
      <c r="V320" s="57"/>
      <c r="W320" s="59" t="str">
        <f t="shared" si="163"/>
        <v/>
      </c>
      <c r="X320" s="49"/>
      <c r="Y320" s="50"/>
      <c r="Z320" s="57"/>
      <c r="AA320" s="50"/>
      <c r="AB320" s="50"/>
      <c r="AC320" s="51" t="str">
        <f t="shared" si="185"/>
        <v/>
      </c>
      <c r="AD320" s="59"/>
      <c r="AE320" s="50"/>
      <c r="AF320" s="50"/>
      <c r="AG320" s="50"/>
      <c r="AH320" s="50"/>
      <c r="AI320" s="99"/>
    </row>
    <row r="321" spans="1:35" x14ac:dyDescent="0.15">
      <c r="A321" s="82">
        <f>'Match Summary'!$B$29</f>
        <v>42274</v>
      </c>
      <c r="B321" s="50" t="str">
        <f>'Match Summary'!$C$29</f>
        <v>Sewards End</v>
      </c>
      <c r="C321" s="59">
        <v>6</v>
      </c>
      <c r="D321" s="61"/>
      <c r="E321" s="49"/>
      <c r="F321" s="51"/>
      <c r="G321" s="117"/>
      <c r="H321" s="59"/>
      <c r="I321" s="59"/>
      <c r="J321" s="57"/>
      <c r="K321" s="57"/>
      <c r="L321" s="57"/>
      <c r="M321" s="50"/>
      <c r="N321" s="49" t="str">
        <f t="shared" si="181"/>
        <v/>
      </c>
      <c r="O321" s="50" t="str">
        <f t="shared" si="182"/>
        <v/>
      </c>
      <c r="P321" s="50" t="str">
        <f t="shared" si="183"/>
        <v/>
      </c>
      <c r="Q321" s="51" t="str">
        <f t="shared" si="184"/>
        <v/>
      </c>
      <c r="R321" s="59"/>
      <c r="S321" s="50"/>
      <c r="T321" s="50"/>
      <c r="U321" s="50"/>
      <c r="V321" s="50"/>
      <c r="W321" s="59" t="str">
        <f t="shared" si="163"/>
        <v/>
      </c>
      <c r="X321" s="49"/>
      <c r="Y321" s="50"/>
      <c r="Z321" s="50"/>
      <c r="AA321" s="50"/>
      <c r="AB321" s="50"/>
      <c r="AC321" s="51" t="str">
        <f t="shared" si="185"/>
        <v/>
      </c>
      <c r="AD321" s="59"/>
      <c r="AE321" s="50"/>
      <c r="AF321" s="50"/>
      <c r="AG321" s="50"/>
      <c r="AH321" s="50"/>
      <c r="AI321" s="99"/>
    </row>
    <row r="322" spans="1:35" x14ac:dyDescent="0.15">
      <c r="A322" s="82">
        <f>'Match Summary'!$B$29</f>
        <v>42274</v>
      </c>
      <c r="B322" s="50" t="str">
        <f>'Match Summary'!$C$29</f>
        <v>Sewards End</v>
      </c>
      <c r="C322" s="59">
        <v>7</v>
      </c>
      <c r="D322" s="60"/>
      <c r="E322" s="49"/>
      <c r="F322" s="51"/>
      <c r="G322" s="117"/>
      <c r="H322" s="59"/>
      <c r="I322" s="59"/>
      <c r="J322" s="57"/>
      <c r="K322" s="57"/>
      <c r="L322" s="57"/>
      <c r="M322" s="57"/>
      <c r="N322" s="49" t="str">
        <f t="shared" si="181"/>
        <v/>
      </c>
      <c r="O322" s="50" t="str">
        <f t="shared" si="182"/>
        <v/>
      </c>
      <c r="P322" s="50" t="str">
        <f t="shared" si="183"/>
        <v/>
      </c>
      <c r="Q322" s="51" t="str">
        <f t="shared" si="184"/>
        <v/>
      </c>
      <c r="R322" s="59"/>
      <c r="S322" s="50"/>
      <c r="T322" s="50"/>
      <c r="U322" s="57"/>
      <c r="V322" s="57"/>
      <c r="W322" s="59" t="str">
        <f t="shared" si="163"/>
        <v/>
      </c>
      <c r="X322" s="49"/>
      <c r="Y322" s="50"/>
      <c r="Z322" s="57"/>
      <c r="AA322" s="50"/>
      <c r="AB322" s="50"/>
      <c r="AC322" s="51" t="str">
        <f>IF(AND(ISNUMBER(W322),W322&gt;=5),1,"")</f>
        <v/>
      </c>
      <c r="AD322" s="59"/>
      <c r="AE322" s="50"/>
      <c r="AF322" s="50"/>
      <c r="AG322" s="50"/>
      <c r="AH322" s="50"/>
      <c r="AI322" s="99"/>
    </row>
    <row r="323" spans="1:35" x14ac:dyDescent="0.15">
      <c r="A323" s="82">
        <f>'Match Summary'!$B$29</f>
        <v>42274</v>
      </c>
      <c r="B323" s="50" t="str">
        <f>'Match Summary'!$C$29</f>
        <v>Sewards End</v>
      </c>
      <c r="C323" s="59">
        <v>8</v>
      </c>
      <c r="D323" s="60"/>
      <c r="E323" s="49"/>
      <c r="F323" s="51"/>
      <c r="G323" s="117"/>
      <c r="H323" s="59"/>
      <c r="I323" s="59"/>
      <c r="J323" s="57"/>
      <c r="K323" s="57"/>
      <c r="L323" s="50"/>
      <c r="M323" s="50"/>
      <c r="N323" s="49" t="str">
        <f t="shared" si="181"/>
        <v/>
      </c>
      <c r="O323" s="50" t="str">
        <f t="shared" si="182"/>
        <v/>
      </c>
      <c r="P323" s="50" t="str">
        <f t="shared" si="183"/>
        <v/>
      </c>
      <c r="Q323" s="51" t="str">
        <f t="shared" si="184"/>
        <v/>
      </c>
      <c r="R323" s="59"/>
      <c r="S323" s="50"/>
      <c r="T323" s="50"/>
      <c r="U323" s="57"/>
      <c r="V323" s="57"/>
      <c r="W323" s="59" t="str">
        <f t="shared" si="163"/>
        <v/>
      </c>
      <c r="X323" s="49"/>
      <c r="Y323" s="50"/>
      <c r="Z323" s="57"/>
      <c r="AA323" s="50"/>
      <c r="AB323" s="50"/>
      <c r="AC323" s="51" t="str">
        <f t="shared" si="185"/>
        <v/>
      </c>
      <c r="AD323" s="59"/>
      <c r="AE323" s="50"/>
      <c r="AF323" s="50"/>
      <c r="AG323" s="50"/>
      <c r="AH323" s="50"/>
      <c r="AI323" s="99"/>
    </row>
    <row r="324" spans="1:35" x14ac:dyDescent="0.15">
      <c r="A324" s="82">
        <f>'Match Summary'!$B$29</f>
        <v>42274</v>
      </c>
      <c r="B324" s="50" t="str">
        <f>'Match Summary'!$C$29</f>
        <v>Sewards End</v>
      </c>
      <c r="C324" s="59">
        <v>9</v>
      </c>
      <c r="D324" s="60"/>
      <c r="E324" s="49"/>
      <c r="F324" s="51"/>
      <c r="G324" s="117"/>
      <c r="H324" s="59"/>
      <c r="I324" s="59"/>
      <c r="J324" s="57"/>
      <c r="K324" s="57"/>
      <c r="L324" s="50"/>
      <c r="M324" s="50"/>
      <c r="N324" s="49" t="str">
        <f t="shared" si="181"/>
        <v/>
      </c>
      <c r="O324" s="50" t="str">
        <f t="shared" si="182"/>
        <v/>
      </c>
      <c r="P324" s="50" t="str">
        <f t="shared" si="183"/>
        <v/>
      </c>
      <c r="Q324" s="51" t="str">
        <f t="shared" si="184"/>
        <v/>
      </c>
      <c r="R324" s="59"/>
      <c r="S324" s="57"/>
      <c r="T324" s="57"/>
      <c r="U324" s="57"/>
      <c r="V324" s="57"/>
      <c r="W324" s="59" t="str">
        <f t="shared" si="163"/>
        <v/>
      </c>
      <c r="X324" s="49"/>
      <c r="Y324" s="50"/>
      <c r="Z324" s="50"/>
      <c r="AA324" s="50"/>
      <c r="AB324" s="50"/>
      <c r="AC324" s="51" t="str">
        <f t="shared" si="185"/>
        <v/>
      </c>
      <c r="AD324" s="59"/>
      <c r="AE324" s="50"/>
      <c r="AF324" s="50"/>
      <c r="AG324" s="50"/>
      <c r="AH324" s="50"/>
      <c r="AI324" s="99"/>
    </row>
    <row r="325" spans="1:35" x14ac:dyDescent="0.15">
      <c r="A325" s="82">
        <f>'Match Summary'!$B$29</f>
        <v>42274</v>
      </c>
      <c r="B325" s="50" t="str">
        <f>'Match Summary'!$C$29</f>
        <v>Sewards End</v>
      </c>
      <c r="C325" s="59">
        <v>10</v>
      </c>
      <c r="D325" s="60"/>
      <c r="E325" s="49"/>
      <c r="F325" s="51"/>
      <c r="G325" s="117"/>
      <c r="H325" s="59"/>
      <c r="I325" s="59"/>
      <c r="J325" s="57"/>
      <c r="K325" s="57"/>
      <c r="L325" s="50"/>
      <c r="M325" s="50"/>
      <c r="N325" s="49" t="str">
        <f t="shared" si="181"/>
        <v/>
      </c>
      <c r="O325" s="50" t="str">
        <f t="shared" si="182"/>
        <v/>
      </c>
      <c r="P325" s="50" t="str">
        <f t="shared" si="183"/>
        <v/>
      </c>
      <c r="Q325" s="51" t="str">
        <f t="shared" si="184"/>
        <v/>
      </c>
      <c r="R325" s="59"/>
      <c r="S325" s="50"/>
      <c r="T325" s="50"/>
      <c r="U325" s="50"/>
      <c r="V325" s="50"/>
      <c r="W325" s="59" t="str">
        <f t="shared" si="163"/>
        <v/>
      </c>
      <c r="X325" s="49"/>
      <c r="Y325" s="50"/>
      <c r="Z325" s="50"/>
      <c r="AA325" s="50"/>
      <c r="AB325" s="50"/>
      <c r="AC325" s="51" t="str">
        <f t="shared" si="185"/>
        <v/>
      </c>
      <c r="AD325" s="59"/>
      <c r="AE325" s="50"/>
      <c r="AF325" s="50"/>
      <c r="AG325" s="50"/>
      <c r="AH325" s="50"/>
      <c r="AI325" s="99"/>
    </row>
    <row r="326" spans="1:35" x14ac:dyDescent="0.15">
      <c r="A326" s="82">
        <f>'Match Summary'!$B$29</f>
        <v>42274</v>
      </c>
      <c r="B326" s="50" t="str">
        <f>'Match Summary'!$C$29</f>
        <v>Sewards End</v>
      </c>
      <c r="C326" s="56">
        <v>11</v>
      </c>
      <c r="D326" s="62"/>
      <c r="E326" s="52"/>
      <c r="F326" s="54"/>
      <c r="G326" s="117"/>
      <c r="H326" s="56"/>
      <c r="I326" s="56"/>
      <c r="J326" s="53"/>
      <c r="K326" s="53"/>
      <c r="L326" s="53"/>
      <c r="M326" s="53"/>
      <c r="N326" s="52" t="str">
        <f t="shared" si="181"/>
        <v/>
      </c>
      <c r="O326" s="53" t="str">
        <f t="shared" si="182"/>
        <v/>
      </c>
      <c r="P326" s="53" t="str">
        <f t="shared" si="183"/>
        <v/>
      </c>
      <c r="Q326" s="54" t="str">
        <f t="shared" si="184"/>
        <v/>
      </c>
      <c r="R326" s="56"/>
      <c r="S326" s="53"/>
      <c r="T326" s="53"/>
      <c r="U326" s="53"/>
      <c r="V326" s="53"/>
      <c r="W326" s="56" t="str">
        <f t="shared" si="163"/>
        <v/>
      </c>
      <c r="X326" s="52"/>
      <c r="Y326" s="53"/>
      <c r="Z326" s="53"/>
      <c r="AA326" s="53"/>
      <c r="AB326" s="53"/>
      <c r="AC326" s="54" t="str">
        <f t="shared" si="185"/>
        <v/>
      </c>
      <c r="AD326" s="56"/>
      <c r="AE326" s="53"/>
      <c r="AF326" s="53"/>
      <c r="AG326" s="53"/>
      <c r="AH326" s="53"/>
      <c r="AI326" s="100"/>
    </row>
    <row r="327" spans="1:35" ht="15" thickBot="1" x14ac:dyDescent="0.2">
      <c r="A327" s="83">
        <f>'Match Summary'!$B$29</f>
        <v>42274</v>
      </c>
      <c r="B327" s="85" t="str">
        <f>'Match Summary'!$C$29</f>
        <v>Sewards End</v>
      </c>
      <c r="C327" s="85"/>
      <c r="D327" s="86" t="s">
        <v>174</v>
      </c>
      <c r="E327" s="85"/>
      <c r="F327" s="85"/>
      <c r="G327" s="113"/>
      <c r="H327" s="86"/>
      <c r="I327" s="85"/>
      <c r="J327" s="85"/>
      <c r="K327" s="85"/>
      <c r="L327" s="85"/>
      <c r="M327" s="85"/>
      <c r="N327" s="85"/>
      <c r="O327" s="85"/>
      <c r="P327" s="87"/>
      <c r="Q327" s="88"/>
      <c r="R327" s="86"/>
      <c r="S327" s="91"/>
      <c r="T327" s="86"/>
      <c r="U327" s="86"/>
      <c r="V327" s="86"/>
      <c r="W327" s="86" t="str">
        <f t="shared" si="163"/>
        <v/>
      </c>
      <c r="X327" s="85"/>
      <c r="Y327" s="85"/>
      <c r="Z327" s="85"/>
      <c r="AA327" s="85"/>
      <c r="AB327" s="85"/>
      <c r="AC327" s="85" t="s">
        <v>259</v>
      </c>
      <c r="AD327" s="86"/>
      <c r="AE327" s="85"/>
      <c r="AF327" s="85"/>
      <c r="AG327" s="85"/>
      <c r="AH327" s="85"/>
      <c r="AI327" s="101"/>
    </row>
    <row r="328" spans="1:35" x14ac:dyDescent="0.15">
      <c r="H328">
        <f>SUM(H2:H327)</f>
        <v>4228</v>
      </c>
      <c r="X328">
        <f t="shared" ref="X328:Y328" si="186">SUM(X2:X327)</f>
        <v>59</v>
      </c>
      <c r="Y328">
        <f t="shared" si="186"/>
        <v>9</v>
      </c>
      <c r="Z328">
        <f>SUM(Z2:Z327)</f>
        <v>93</v>
      </c>
      <c r="AA328">
        <f t="shared" ref="AA328:AB328" si="187">SUM(AA2:AA327)</f>
        <v>4</v>
      </c>
      <c r="AB328">
        <f t="shared" si="187"/>
        <v>0</v>
      </c>
      <c r="AD328">
        <f>SUM(AD2:AD327)</f>
        <v>161</v>
      </c>
      <c r="AE328">
        <f>SUM(AE2:AE327)</f>
        <v>74</v>
      </c>
      <c r="AF328">
        <f t="shared" ref="AF328:AG328" si="188">SUM(AF2:AF327)</f>
        <v>14</v>
      </c>
      <c r="AG328">
        <f t="shared" si="188"/>
        <v>4</v>
      </c>
      <c r="AH328">
        <f>SUM(AH2:AH327)</f>
        <v>18</v>
      </c>
    </row>
  </sheetData>
  <sortState xmlns:xlrd2="http://schemas.microsoft.com/office/spreadsheetml/2017/richdata2" ref="C304:G314">
    <sortCondition ref="C304"/>
  </sortState>
  <dataValidations count="6">
    <dataValidation allowBlank="1" showInputMessage="1" showErrorMessage="1" promptTitle="Players" sqref="D25 D37 D61 D49 D85 D73" xr:uid="{00000000-0002-0000-0700-000000000000}"/>
    <dataValidation type="list" allowBlank="1" showInputMessage="1" showErrorMessage="1" promptTitle="Players" sqref="D206:D216" xr:uid="{00000000-0002-0000-0700-000001000000}">
      <formula1>$A$2:$A$25</formula1>
    </dataValidation>
    <dataValidation type="list" allowBlank="1" showInputMessage="1" showErrorMessage="1" promptTitle="Players" sqref="D26:D36 D38:D48" xr:uid="{00000000-0002-0000-0700-000002000000}">
      <formula1>$A$2:$A$50</formula1>
    </dataValidation>
    <dataValidation type="list" allowBlank="1" showInputMessage="1" showErrorMessage="1" promptTitle="Select Played or Batted" sqref="G86:G96 G134:G143 G280:G290 G292:G302 G304:G314" xr:uid="{00000000-0002-0000-0700-000003000000}">
      <formula1>"P,B, ,"</formula1>
    </dataValidation>
    <dataValidation type="list" allowBlank="1" showInputMessage="1" showErrorMessage="1" promptTitle="Players" sqref="D62:D72" xr:uid="{00000000-0002-0000-0700-000004000000}">
      <formula1>$A$2:$A$51</formula1>
    </dataValidation>
    <dataValidation type="list" allowBlank="1" showInputMessage="1" showErrorMessage="1" promptTitle="Players" sqref="D218:D228 D316:D326 D242:D251 D230:D240 D267:D278 D254:D256 D258:D265" xr:uid="{00000000-0002-0000-0700-000005000000}">
      <formula1>$A$2:$A$53</formula1>
    </dataValidation>
  </dataValidations>
  <pageMargins left="0.75" right="0.75" top="1" bottom="1" header="0.5" footer="0.5"/>
  <pageSetup orientation="portrait" horizontalDpi="4294967292" verticalDpi="4294967292"/>
  <ignoredErrors>
    <ignoredError sqref="AI100 AI94 AI120 AI168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layers" xr:uid="{00000000-0002-0000-0700-000006000000}">
          <x14:formula1>
            <xm:f>'Team Sheet'!$A$2:$A$56</xm:f>
          </x14:formula1>
          <xm:sqref>D50:D60</xm:sqref>
        </x14:dataValidation>
        <x14:dataValidation type="list" allowBlank="1" showInputMessage="1" showErrorMessage="1" promptTitle="Players" xr:uid="{00000000-0002-0000-0700-000007000000}">
          <x14:formula1>
            <xm:f>'Team Sheet'!$A$2:$A$55</xm:f>
          </x14:formula1>
          <xm:sqref>D14:D24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2"/>
  <sheetViews>
    <sheetView workbookViewId="0">
      <selection activeCell="G7" sqref="G7"/>
    </sheetView>
  </sheetViews>
  <sheetFormatPr defaultColWidth="10.78515625" defaultRowHeight="14.25" x14ac:dyDescent="0.15"/>
  <cols>
    <col min="2" max="2" width="6.8515625" style="44" bestFit="1" customWidth="1"/>
    <col min="3" max="3" width="6.8515625" bestFit="1" customWidth="1"/>
    <col min="5" max="5" width="7.19140625" customWidth="1"/>
    <col min="7" max="7" width="6.7421875" customWidth="1"/>
    <col min="9" max="9" width="9.1015625" customWidth="1"/>
    <col min="11" max="11" width="6.96484375" customWidth="1"/>
  </cols>
  <sheetData>
    <row r="1" spans="1:19" x14ac:dyDescent="0.15">
      <c r="A1" t="s">
        <v>196</v>
      </c>
      <c r="Q1" t="s">
        <v>210</v>
      </c>
    </row>
    <row r="2" spans="1:19" x14ac:dyDescent="0.15">
      <c r="A2" t="s">
        <v>197</v>
      </c>
      <c r="B2" s="44" t="s">
        <v>193</v>
      </c>
      <c r="C2" s="44"/>
      <c r="D2" t="s">
        <v>197</v>
      </c>
      <c r="F2" t="s">
        <v>197</v>
      </c>
      <c r="H2" t="s">
        <v>197</v>
      </c>
      <c r="J2" t="s">
        <v>197</v>
      </c>
      <c r="L2" t="s">
        <v>197</v>
      </c>
      <c r="M2" t="s">
        <v>197</v>
      </c>
      <c r="P2" s="58" t="s">
        <v>197</v>
      </c>
      <c r="Q2" s="70" t="s">
        <v>207</v>
      </c>
      <c r="R2" s="70" t="s">
        <v>141</v>
      </c>
      <c r="S2" s="71" t="s">
        <v>141</v>
      </c>
    </row>
    <row r="3" spans="1:19" x14ac:dyDescent="0.15">
      <c r="A3" s="1" t="s">
        <v>48</v>
      </c>
      <c r="B3" s="25" t="str">
        <f>"="&amp;"B"</f>
        <v>=B</v>
      </c>
      <c r="C3" s="25"/>
      <c r="D3" s="17" t="s">
        <v>110</v>
      </c>
      <c r="E3" s="17"/>
      <c r="F3" t="s">
        <v>291</v>
      </c>
      <c r="P3" s="56" t="s">
        <v>236</v>
      </c>
      <c r="Q3" s="93">
        <f>'Match Summary'!B3</f>
        <v>42113</v>
      </c>
      <c r="R3" s="73" t="str">
        <f xml:space="preserve"> "&lt;&gt;"&amp; "no"</f>
        <v>&lt;&gt;no</v>
      </c>
      <c r="S3" s="74" t="str">
        <f xml:space="preserve"> "&lt;&gt;"&amp; "dnb"</f>
        <v>&lt;&gt;dnb</v>
      </c>
    </row>
    <row r="4" spans="1:19" x14ac:dyDescent="0.15">
      <c r="A4" s="17" t="s">
        <v>197</v>
      </c>
      <c r="B4" s="44" t="s">
        <v>193</v>
      </c>
      <c r="C4" s="44"/>
      <c r="D4" s="17" t="s">
        <v>197</v>
      </c>
      <c r="E4" s="17"/>
      <c r="F4" s="17" t="s">
        <v>197</v>
      </c>
      <c r="G4" s="17" t="s">
        <v>133</v>
      </c>
      <c r="H4" s="17" t="s">
        <v>197</v>
      </c>
      <c r="I4" s="17"/>
      <c r="J4" s="17" t="s">
        <v>197</v>
      </c>
      <c r="K4" s="17"/>
      <c r="L4" s="17" t="s">
        <v>197</v>
      </c>
      <c r="M4" s="17" t="s">
        <v>197</v>
      </c>
      <c r="P4" s="58" t="s">
        <v>197</v>
      </c>
      <c r="Q4" s="69" t="s">
        <v>207</v>
      </c>
      <c r="R4" s="70" t="s">
        <v>141</v>
      </c>
      <c r="S4" s="71" t="s">
        <v>141</v>
      </c>
    </row>
    <row r="5" spans="1:19" x14ac:dyDescent="0.15">
      <c r="A5" s="1" t="s">
        <v>47</v>
      </c>
      <c r="B5" s="25" t="s">
        <v>199</v>
      </c>
      <c r="C5" s="25"/>
      <c r="D5" s="17" t="s">
        <v>163</v>
      </c>
      <c r="E5" s="17"/>
      <c r="F5" s="1" t="s">
        <v>41</v>
      </c>
      <c r="G5" s="21" t="str">
        <f>"="&amp;"y"</f>
        <v>=y</v>
      </c>
      <c r="H5" s="17" t="s">
        <v>128</v>
      </c>
      <c r="I5" s="17"/>
      <c r="J5" s="1" t="s">
        <v>46</v>
      </c>
      <c r="K5" s="1"/>
      <c r="P5" s="56" t="s">
        <v>236</v>
      </c>
      <c r="Q5" s="72">
        <f>'Match Summary'!B4</f>
        <v>42120</v>
      </c>
      <c r="R5" s="73" t="str">
        <f t="shared" ref="R5" si="0" xml:space="preserve"> "&lt;&gt;"&amp; "no"</f>
        <v>&lt;&gt;no</v>
      </c>
      <c r="S5" s="74" t="str">
        <f t="shared" ref="S5" si="1" xml:space="preserve"> "&lt;&gt;"&amp; "dnb"</f>
        <v>&lt;&gt;dnb</v>
      </c>
    </row>
    <row r="6" spans="1:19" x14ac:dyDescent="0.15">
      <c r="A6" s="17" t="s">
        <v>197</v>
      </c>
      <c r="B6" s="44" t="s">
        <v>193</v>
      </c>
      <c r="C6" s="44"/>
      <c r="D6" s="17" t="s">
        <v>197</v>
      </c>
      <c r="E6" s="17"/>
      <c r="F6" s="17" t="s">
        <v>197</v>
      </c>
      <c r="G6" s="17"/>
      <c r="H6" s="17" t="s">
        <v>197</v>
      </c>
      <c r="I6" s="17"/>
      <c r="J6" s="17" t="s">
        <v>197</v>
      </c>
      <c r="K6" s="17"/>
      <c r="L6" s="17" t="s">
        <v>197</v>
      </c>
      <c r="M6" s="17" t="s">
        <v>197</v>
      </c>
      <c r="P6" s="58" t="s">
        <v>197</v>
      </c>
      <c r="Q6" s="69" t="s">
        <v>207</v>
      </c>
      <c r="R6" s="70" t="s">
        <v>141</v>
      </c>
      <c r="S6" s="71" t="s">
        <v>141</v>
      </c>
    </row>
    <row r="7" spans="1:19" x14ac:dyDescent="0.15">
      <c r="A7" s="1" t="s">
        <v>43</v>
      </c>
      <c r="B7" s="25" t="s">
        <v>199</v>
      </c>
      <c r="C7" s="25"/>
      <c r="D7" s="17" t="s">
        <v>118</v>
      </c>
      <c r="E7" s="17"/>
      <c r="F7" s="17" t="s">
        <v>183</v>
      </c>
      <c r="G7" s="17"/>
      <c r="P7" s="56" t="s">
        <v>236</v>
      </c>
      <c r="Q7" s="72">
        <f>'Match Summary'!B5</f>
        <v>42127</v>
      </c>
      <c r="R7" s="73" t="str">
        <f t="shared" ref="R7" si="2" xml:space="preserve"> "&lt;&gt;"&amp; "no"</f>
        <v>&lt;&gt;no</v>
      </c>
      <c r="S7" s="74" t="str">
        <f t="shared" ref="S7" si="3" xml:space="preserve"> "&lt;&gt;"&amp; "dnb"</f>
        <v>&lt;&gt;dnb</v>
      </c>
    </row>
    <row r="8" spans="1:19" x14ac:dyDescent="0.15">
      <c r="A8" s="17" t="s">
        <v>197</v>
      </c>
      <c r="B8" s="44" t="s">
        <v>193</v>
      </c>
      <c r="C8" s="44"/>
      <c r="D8" s="17" t="s">
        <v>197</v>
      </c>
      <c r="E8" s="17"/>
      <c r="F8" s="17" t="s">
        <v>197</v>
      </c>
      <c r="G8" s="17"/>
      <c r="H8" s="17" t="s">
        <v>197</v>
      </c>
      <c r="I8" s="17"/>
      <c r="J8" s="17" t="s">
        <v>197</v>
      </c>
      <c r="K8" s="17"/>
      <c r="L8" s="17" t="s">
        <v>197</v>
      </c>
      <c r="M8" s="17" t="s">
        <v>197</v>
      </c>
      <c r="P8" s="58" t="s">
        <v>197</v>
      </c>
      <c r="Q8" s="69" t="s">
        <v>207</v>
      </c>
      <c r="R8" s="70" t="s">
        <v>141</v>
      </c>
      <c r="S8" s="71" t="s">
        <v>141</v>
      </c>
    </row>
    <row r="9" spans="1:19" x14ac:dyDescent="0.15">
      <c r="A9" s="1" t="s">
        <v>39</v>
      </c>
      <c r="B9" s="25" t="s">
        <v>199</v>
      </c>
      <c r="C9" s="25"/>
      <c r="D9" s="17" t="s">
        <v>214</v>
      </c>
      <c r="E9" s="17"/>
      <c r="F9" s="17" t="s">
        <v>268</v>
      </c>
      <c r="G9" s="17"/>
      <c r="P9" s="56" t="s">
        <v>236</v>
      </c>
      <c r="Q9" s="72">
        <f>'Match Summary'!B6</f>
        <v>42134</v>
      </c>
      <c r="R9" s="73" t="str">
        <f t="shared" ref="R9" si="4" xml:space="preserve"> "&lt;&gt;"&amp; "no"</f>
        <v>&lt;&gt;no</v>
      </c>
      <c r="S9" s="74" t="str">
        <f t="shared" ref="S9" si="5" xml:space="preserve"> "&lt;&gt;"&amp; "dnb"</f>
        <v>&lt;&gt;dnb</v>
      </c>
    </row>
    <row r="10" spans="1:19" x14ac:dyDescent="0.15">
      <c r="A10" s="17" t="s">
        <v>197</v>
      </c>
      <c r="B10" s="44" t="s">
        <v>193</v>
      </c>
      <c r="C10" s="44"/>
      <c r="D10" s="17" t="s">
        <v>197</v>
      </c>
      <c r="E10" s="17"/>
      <c r="F10" s="17" t="s">
        <v>197</v>
      </c>
      <c r="G10" s="17"/>
      <c r="H10" s="17" t="s">
        <v>197</v>
      </c>
      <c r="I10" s="17"/>
      <c r="J10" s="17" t="s">
        <v>197</v>
      </c>
      <c r="K10" s="17" t="s">
        <v>133</v>
      </c>
      <c r="L10" s="17" t="s">
        <v>197</v>
      </c>
      <c r="M10" s="17" t="s">
        <v>197</v>
      </c>
      <c r="P10" s="58" t="s">
        <v>197</v>
      </c>
      <c r="Q10" s="69" t="s">
        <v>207</v>
      </c>
      <c r="R10" s="70" t="s">
        <v>141</v>
      </c>
      <c r="S10" s="71" t="s">
        <v>141</v>
      </c>
    </row>
    <row r="11" spans="1:19" x14ac:dyDescent="0.15">
      <c r="A11" s="1" t="s">
        <v>40</v>
      </c>
      <c r="B11" s="25" t="s">
        <v>199</v>
      </c>
      <c r="C11" s="25"/>
      <c r="D11" s="1" t="s">
        <v>100</v>
      </c>
      <c r="E11" s="1"/>
      <c r="F11" s="17" t="s">
        <v>186</v>
      </c>
      <c r="G11" s="17"/>
      <c r="H11" s="1" t="s">
        <v>52</v>
      </c>
      <c r="I11" s="1"/>
      <c r="J11" s="1" t="s">
        <v>49</v>
      </c>
      <c r="K11" s="21" t="str">
        <f>"="&amp;"y"</f>
        <v>=y</v>
      </c>
      <c r="P11" s="56" t="s">
        <v>236</v>
      </c>
      <c r="Q11" s="72">
        <f>'Match Summary'!B7</f>
        <v>42141</v>
      </c>
      <c r="R11" s="73" t="str">
        <f t="shared" ref="R11" si="6" xml:space="preserve"> "&lt;&gt;"&amp; "no"</f>
        <v>&lt;&gt;no</v>
      </c>
      <c r="S11" s="74" t="str">
        <f t="shared" ref="S11" si="7" xml:space="preserve"> "&lt;&gt;"&amp; "dnb"</f>
        <v>&lt;&gt;dnb</v>
      </c>
    </row>
    <row r="12" spans="1:19" x14ac:dyDescent="0.15">
      <c r="A12" s="17" t="s">
        <v>197</v>
      </c>
      <c r="B12" s="44" t="s">
        <v>193</v>
      </c>
      <c r="C12" s="44"/>
      <c r="D12" s="17" t="s">
        <v>197</v>
      </c>
      <c r="E12" s="17"/>
      <c r="F12" s="17" t="s">
        <v>197</v>
      </c>
      <c r="G12" s="17"/>
      <c r="H12" s="17" t="s">
        <v>197</v>
      </c>
      <c r="I12" s="17" t="s">
        <v>133</v>
      </c>
      <c r="J12" s="17" t="s">
        <v>197</v>
      </c>
      <c r="K12" s="17"/>
      <c r="L12" s="17" t="s">
        <v>197</v>
      </c>
      <c r="M12" s="17" t="s">
        <v>197</v>
      </c>
      <c r="P12" s="58" t="s">
        <v>197</v>
      </c>
      <c r="Q12" s="69" t="s">
        <v>207</v>
      </c>
      <c r="R12" s="70" t="s">
        <v>141</v>
      </c>
      <c r="S12" s="71" t="s">
        <v>141</v>
      </c>
    </row>
    <row r="13" spans="1:19" x14ac:dyDescent="0.15">
      <c r="A13" s="17" t="s">
        <v>111</v>
      </c>
      <c r="B13" s="25" t="s">
        <v>199</v>
      </c>
      <c r="C13" s="25"/>
      <c r="D13" s="17" t="s">
        <v>177</v>
      </c>
      <c r="E13" s="17"/>
      <c r="F13" s="17" t="s">
        <v>175</v>
      </c>
      <c r="G13" s="17"/>
      <c r="H13" s="17" t="s">
        <v>117</v>
      </c>
      <c r="I13" s="21" t="str">
        <f>"="&amp;"y"</f>
        <v>=y</v>
      </c>
      <c r="J13" s="17" t="s">
        <v>113</v>
      </c>
      <c r="K13" s="17"/>
      <c r="P13" s="56" t="s">
        <v>236</v>
      </c>
      <c r="Q13" s="72">
        <f>'Match Summary'!B8</f>
        <v>42148</v>
      </c>
      <c r="R13" s="73" t="str">
        <f t="shared" ref="R13" si="8" xml:space="preserve"> "&lt;&gt;"&amp; "no"</f>
        <v>&lt;&gt;no</v>
      </c>
      <c r="S13" s="74" t="str">
        <f t="shared" ref="S13" si="9" xml:space="preserve"> "&lt;&gt;"&amp; "dnb"</f>
        <v>&lt;&gt;dnb</v>
      </c>
    </row>
    <row r="14" spans="1:19" x14ac:dyDescent="0.15">
      <c r="A14" s="17" t="s">
        <v>197</v>
      </c>
      <c r="B14" s="44" t="s">
        <v>193</v>
      </c>
      <c r="C14" s="44"/>
      <c r="D14" s="17" t="s">
        <v>197</v>
      </c>
      <c r="E14" s="17"/>
      <c r="F14" s="17" t="s">
        <v>197</v>
      </c>
      <c r="G14" s="17"/>
      <c r="H14" s="17" t="s">
        <v>197</v>
      </c>
      <c r="J14" s="17" t="s">
        <v>197</v>
      </c>
      <c r="K14" s="17"/>
      <c r="L14" s="17" t="s">
        <v>197</v>
      </c>
      <c r="M14" s="17" t="s">
        <v>197</v>
      </c>
      <c r="P14" s="58" t="s">
        <v>197</v>
      </c>
      <c r="Q14" s="69" t="s">
        <v>207</v>
      </c>
      <c r="R14" s="70" t="s">
        <v>141</v>
      </c>
      <c r="S14" s="71" t="s">
        <v>141</v>
      </c>
    </row>
    <row r="15" spans="1:19" x14ac:dyDescent="0.15">
      <c r="A15" s="17" t="s">
        <v>158</v>
      </c>
      <c r="B15" s="25" t="s">
        <v>199</v>
      </c>
      <c r="C15" s="25"/>
      <c r="D15" s="17" t="s">
        <v>179</v>
      </c>
      <c r="E15" s="17"/>
      <c r="P15" s="56" t="s">
        <v>236</v>
      </c>
      <c r="Q15" s="72">
        <f>'Match Summary'!B9</f>
        <v>42155</v>
      </c>
      <c r="R15" s="73" t="str">
        <f t="shared" ref="R15" si="10" xml:space="preserve"> "&lt;&gt;"&amp; "no"</f>
        <v>&lt;&gt;no</v>
      </c>
      <c r="S15" s="74" t="str">
        <f t="shared" ref="S15" si="11" xml:space="preserve"> "&lt;&gt;"&amp; "dnb"</f>
        <v>&lt;&gt;dnb</v>
      </c>
    </row>
    <row r="16" spans="1:19" x14ac:dyDescent="0.15">
      <c r="A16" s="17" t="s">
        <v>197</v>
      </c>
      <c r="B16" s="44" t="s">
        <v>193</v>
      </c>
      <c r="C16" s="44"/>
      <c r="D16" s="17" t="s">
        <v>197</v>
      </c>
      <c r="E16" s="17"/>
      <c r="F16" s="17" t="s">
        <v>197</v>
      </c>
      <c r="G16" s="17"/>
      <c r="H16" s="17" t="s">
        <v>197</v>
      </c>
      <c r="I16" s="17"/>
      <c r="J16" s="17" t="s">
        <v>197</v>
      </c>
      <c r="K16" s="17"/>
      <c r="L16" s="17" t="s">
        <v>197</v>
      </c>
      <c r="M16" s="17" t="s">
        <v>197</v>
      </c>
      <c r="P16" s="58" t="s">
        <v>197</v>
      </c>
      <c r="Q16" s="69" t="s">
        <v>207</v>
      </c>
      <c r="R16" s="70" t="s">
        <v>141</v>
      </c>
      <c r="S16" s="71" t="s">
        <v>141</v>
      </c>
    </row>
    <row r="17" spans="1:19" x14ac:dyDescent="0.15">
      <c r="A17" s="1" t="s">
        <v>114</v>
      </c>
      <c r="B17" s="25" t="s">
        <v>199</v>
      </c>
      <c r="C17" s="25"/>
      <c r="D17" s="1" t="s">
        <v>115</v>
      </c>
      <c r="E17" s="1"/>
      <c r="F17" s="17" t="s">
        <v>185</v>
      </c>
      <c r="G17" s="17"/>
      <c r="H17" s="17" t="s">
        <v>164</v>
      </c>
      <c r="I17" s="17"/>
      <c r="J17" s="17" t="s">
        <v>198</v>
      </c>
      <c r="K17" s="17"/>
      <c r="L17" s="1" t="s">
        <v>44</v>
      </c>
      <c r="M17" s="17" t="s">
        <v>239</v>
      </c>
      <c r="P17" s="56" t="s">
        <v>236</v>
      </c>
      <c r="Q17" s="72">
        <f>'Match Summary'!B10</f>
        <v>42161</v>
      </c>
      <c r="R17" s="73" t="str">
        <f t="shared" ref="R17" si="12" xml:space="preserve"> "&lt;&gt;"&amp; "no"</f>
        <v>&lt;&gt;no</v>
      </c>
      <c r="S17" s="74" t="str">
        <f t="shared" ref="S17" si="13" xml:space="preserve"> "&lt;&gt;"&amp; "dnb"</f>
        <v>&lt;&gt;dnb</v>
      </c>
    </row>
    <row r="18" spans="1:19" x14ac:dyDescent="0.15">
      <c r="A18" s="17" t="s">
        <v>197</v>
      </c>
      <c r="B18" s="44" t="s">
        <v>193</v>
      </c>
      <c r="C18" s="44"/>
      <c r="D18" s="17" t="s">
        <v>197</v>
      </c>
      <c r="E18" s="17"/>
      <c r="F18" s="17" t="s">
        <v>197</v>
      </c>
      <c r="G18" s="17"/>
      <c r="H18" s="17" t="s">
        <v>197</v>
      </c>
      <c r="I18" s="17"/>
      <c r="J18" s="17" t="s">
        <v>197</v>
      </c>
      <c r="K18" s="17"/>
      <c r="L18" s="17" t="s">
        <v>197</v>
      </c>
      <c r="M18" s="17" t="s">
        <v>197</v>
      </c>
      <c r="P18" s="58" t="s">
        <v>197</v>
      </c>
      <c r="Q18" s="69" t="s">
        <v>207</v>
      </c>
      <c r="R18" s="70" t="s">
        <v>141</v>
      </c>
      <c r="S18" s="71" t="s">
        <v>141</v>
      </c>
    </row>
    <row r="19" spans="1:19" x14ac:dyDescent="0.15">
      <c r="A19" s="17" t="s">
        <v>130</v>
      </c>
      <c r="B19" s="25" t="s">
        <v>199</v>
      </c>
      <c r="C19" s="25"/>
      <c r="D19" s="17" t="s">
        <v>166</v>
      </c>
      <c r="E19" s="17"/>
      <c r="F19" s="17" t="s">
        <v>172</v>
      </c>
      <c r="G19" s="17"/>
      <c r="P19" s="56" t="s">
        <v>236</v>
      </c>
      <c r="Q19" s="72">
        <f>'Match Summary'!B11</f>
        <v>42162</v>
      </c>
      <c r="R19" s="73" t="str">
        <f t="shared" ref="R19" si="14" xml:space="preserve"> "&lt;&gt;"&amp; "no"</f>
        <v>&lt;&gt;no</v>
      </c>
      <c r="S19" s="74" t="str">
        <f t="shared" ref="S19" si="15" xml:space="preserve"> "&lt;&gt;"&amp; "dnb"</f>
        <v>&lt;&gt;dnb</v>
      </c>
    </row>
    <row r="20" spans="1:19" x14ac:dyDescent="0.15">
      <c r="A20" s="17" t="s">
        <v>197</v>
      </c>
      <c r="B20" s="44" t="s">
        <v>193</v>
      </c>
      <c r="C20" s="44"/>
      <c r="D20" s="17" t="s">
        <v>197</v>
      </c>
      <c r="E20" s="17"/>
      <c r="F20" s="17" t="s">
        <v>197</v>
      </c>
      <c r="G20" s="17"/>
      <c r="H20" s="17" t="s">
        <v>197</v>
      </c>
      <c r="I20" s="17"/>
      <c r="J20" s="17" t="s">
        <v>197</v>
      </c>
      <c r="K20" s="17"/>
      <c r="L20" s="17" t="s">
        <v>197</v>
      </c>
      <c r="M20" s="17" t="s">
        <v>197</v>
      </c>
      <c r="P20" s="58" t="s">
        <v>197</v>
      </c>
      <c r="Q20" s="69" t="s">
        <v>207</v>
      </c>
      <c r="R20" s="70" t="s">
        <v>141</v>
      </c>
      <c r="S20" s="71" t="s">
        <v>141</v>
      </c>
    </row>
    <row r="21" spans="1:19" x14ac:dyDescent="0.15">
      <c r="A21" s="1" t="s">
        <v>51</v>
      </c>
      <c r="B21" s="25" t="s">
        <v>199</v>
      </c>
      <c r="C21" s="25"/>
      <c r="P21" s="56" t="s">
        <v>236</v>
      </c>
      <c r="Q21" s="72">
        <f>'Match Summary'!B12</f>
        <v>42169</v>
      </c>
      <c r="R21" s="73" t="str">
        <f t="shared" ref="R21" si="16" xml:space="preserve"> "&lt;&gt;"&amp; "no"</f>
        <v>&lt;&gt;no</v>
      </c>
      <c r="S21" s="74" t="str">
        <f t="shared" ref="S21" si="17" xml:space="preserve"> "&lt;&gt;"&amp; "dnb"</f>
        <v>&lt;&gt;dnb</v>
      </c>
    </row>
    <row r="22" spans="1:19" x14ac:dyDescent="0.15">
      <c r="A22" s="17" t="s">
        <v>197</v>
      </c>
      <c r="B22" s="44" t="s">
        <v>193</v>
      </c>
      <c r="C22" s="44"/>
      <c r="D22" s="17" t="s">
        <v>197</v>
      </c>
      <c r="E22" s="17" t="s">
        <v>133</v>
      </c>
      <c r="F22" s="17" t="s">
        <v>197</v>
      </c>
      <c r="G22" s="17"/>
      <c r="H22" s="17" t="s">
        <v>197</v>
      </c>
      <c r="I22" s="17"/>
      <c r="J22" s="17" t="s">
        <v>197</v>
      </c>
      <c r="K22" s="17"/>
      <c r="L22" s="17" t="s">
        <v>197</v>
      </c>
      <c r="M22" s="17" t="s">
        <v>197</v>
      </c>
      <c r="N22" s="17" t="s">
        <v>197</v>
      </c>
      <c r="O22" s="17" t="s">
        <v>197</v>
      </c>
      <c r="P22" s="58" t="s">
        <v>197</v>
      </c>
      <c r="Q22" s="69" t="s">
        <v>207</v>
      </c>
      <c r="R22" s="70" t="s">
        <v>141</v>
      </c>
      <c r="S22" s="71" t="s">
        <v>141</v>
      </c>
    </row>
    <row r="23" spans="1:19" x14ac:dyDescent="0.15">
      <c r="A23" s="1" t="s">
        <v>116</v>
      </c>
      <c r="B23" s="25" t="s">
        <v>199</v>
      </c>
      <c r="C23" s="25"/>
      <c r="D23" s="1" t="s">
        <v>103</v>
      </c>
      <c r="E23" s="21" t="str">
        <f>"="&amp;"y"</f>
        <v>=y</v>
      </c>
      <c r="F23" s="17" t="s">
        <v>108</v>
      </c>
      <c r="G23" s="17"/>
      <c r="H23" s="17" t="s">
        <v>156</v>
      </c>
      <c r="I23" s="17"/>
      <c r="J23" s="17" t="s">
        <v>157</v>
      </c>
      <c r="K23" s="17"/>
      <c r="L23" s="17" t="s">
        <v>160</v>
      </c>
      <c r="M23" s="17" t="s">
        <v>176</v>
      </c>
      <c r="N23" s="1" t="s">
        <v>102</v>
      </c>
      <c r="O23" s="1" t="s">
        <v>42</v>
      </c>
      <c r="P23" s="56" t="s">
        <v>236</v>
      </c>
      <c r="Q23" s="72">
        <f>'Match Summary'!B13</f>
        <v>42176</v>
      </c>
      <c r="R23" s="73" t="str">
        <f t="shared" ref="R23" si="18" xml:space="preserve"> "&lt;&gt;"&amp; "no"</f>
        <v>&lt;&gt;no</v>
      </c>
      <c r="S23" s="74" t="str">
        <f t="shared" ref="S23" si="19" xml:space="preserve"> "&lt;&gt;"&amp; "dnb"</f>
        <v>&lt;&gt;dnb</v>
      </c>
    </row>
    <row r="24" spans="1:19" x14ac:dyDescent="0.15">
      <c r="A24" s="17" t="s">
        <v>197</v>
      </c>
      <c r="B24" s="44" t="s">
        <v>193</v>
      </c>
      <c r="C24" s="44"/>
      <c r="D24" s="17" t="s">
        <v>197</v>
      </c>
      <c r="E24" s="17"/>
      <c r="F24" s="17" t="s">
        <v>197</v>
      </c>
      <c r="G24" s="17"/>
      <c r="H24" s="17" t="s">
        <v>197</v>
      </c>
      <c r="I24" s="17"/>
      <c r="J24" s="17" t="s">
        <v>197</v>
      </c>
      <c r="K24" s="17"/>
      <c r="L24" s="17" t="s">
        <v>197</v>
      </c>
      <c r="M24" s="17" t="s">
        <v>197</v>
      </c>
      <c r="P24" s="58" t="s">
        <v>197</v>
      </c>
      <c r="Q24" s="69" t="s">
        <v>207</v>
      </c>
      <c r="R24" s="70" t="s">
        <v>141</v>
      </c>
      <c r="S24" s="71" t="s">
        <v>141</v>
      </c>
    </row>
    <row r="25" spans="1:19" x14ac:dyDescent="0.15">
      <c r="A25" s="1" t="s">
        <v>50</v>
      </c>
      <c r="B25" s="25" t="s">
        <v>199</v>
      </c>
      <c r="C25" s="25"/>
      <c r="P25" s="56" t="s">
        <v>236</v>
      </c>
      <c r="Q25" s="72">
        <f>'Match Summary'!B14</f>
        <v>42183</v>
      </c>
      <c r="R25" s="73" t="str">
        <f t="shared" ref="R25" si="20" xml:space="preserve"> "&lt;&gt;"&amp; "no"</f>
        <v>&lt;&gt;no</v>
      </c>
      <c r="S25" s="74" t="str">
        <f t="shared" ref="S25" si="21" xml:space="preserve"> "&lt;&gt;"&amp; "dnb"</f>
        <v>&lt;&gt;dnb</v>
      </c>
    </row>
    <row r="26" spans="1:19" x14ac:dyDescent="0.15">
      <c r="A26" s="17" t="s">
        <v>197</v>
      </c>
      <c r="B26" s="44" t="s">
        <v>193</v>
      </c>
      <c r="C26" s="44"/>
      <c r="D26" s="17" t="s">
        <v>197</v>
      </c>
      <c r="E26" s="17"/>
      <c r="F26" s="17" t="s">
        <v>197</v>
      </c>
      <c r="G26" s="17"/>
      <c r="H26" s="17" t="s">
        <v>197</v>
      </c>
      <c r="I26" s="17"/>
      <c r="J26" s="17" t="s">
        <v>197</v>
      </c>
      <c r="K26" s="17"/>
      <c r="L26" s="17" t="s">
        <v>197</v>
      </c>
      <c r="M26" s="17" t="s">
        <v>197</v>
      </c>
      <c r="P26" s="58" t="s">
        <v>197</v>
      </c>
      <c r="Q26" s="69" t="s">
        <v>207</v>
      </c>
      <c r="R26" s="70" t="s">
        <v>141</v>
      </c>
      <c r="S26" s="71" t="s">
        <v>141</v>
      </c>
    </row>
    <row r="27" spans="1:19" x14ac:dyDescent="0.15">
      <c r="A27" s="1" t="s">
        <v>45</v>
      </c>
      <c r="B27" s="25" t="s">
        <v>199</v>
      </c>
      <c r="C27" s="25"/>
      <c r="D27" s="17" t="s">
        <v>184</v>
      </c>
      <c r="E27" s="17"/>
      <c r="P27" s="56" t="s">
        <v>236</v>
      </c>
      <c r="Q27" s="72">
        <f>'Match Summary'!B15</f>
        <v>42190</v>
      </c>
      <c r="R27" s="73" t="str">
        <f t="shared" ref="R27" si="22" xml:space="preserve"> "&lt;&gt;"&amp; "no"</f>
        <v>&lt;&gt;no</v>
      </c>
      <c r="S27" s="74" t="str">
        <f t="shared" ref="S27" si="23" xml:space="preserve"> "&lt;&gt;"&amp; "dnb"</f>
        <v>&lt;&gt;dnb</v>
      </c>
    </row>
    <row r="28" spans="1:19" x14ac:dyDescent="0.15">
      <c r="A28" s="17" t="s">
        <v>197</v>
      </c>
      <c r="B28" s="44" t="s">
        <v>193</v>
      </c>
      <c r="C28" s="44"/>
      <c r="D28" s="17" t="s">
        <v>197</v>
      </c>
      <c r="E28" s="17"/>
      <c r="F28" s="17" t="s">
        <v>197</v>
      </c>
      <c r="G28" s="17"/>
      <c r="H28" s="17" t="s">
        <v>197</v>
      </c>
      <c r="I28" s="17"/>
      <c r="J28" s="17" t="s">
        <v>197</v>
      </c>
      <c r="K28" s="17"/>
      <c r="L28" s="17" t="s">
        <v>197</v>
      </c>
      <c r="M28" s="17" t="s">
        <v>197</v>
      </c>
      <c r="P28" s="58" t="s">
        <v>197</v>
      </c>
      <c r="Q28" s="69" t="s">
        <v>207</v>
      </c>
      <c r="R28" s="70" t="s">
        <v>141</v>
      </c>
      <c r="S28" s="71" t="s">
        <v>141</v>
      </c>
    </row>
    <row r="29" spans="1:19" x14ac:dyDescent="0.15">
      <c r="A29" s="17" t="s">
        <v>162</v>
      </c>
      <c r="B29" s="25" t="s">
        <v>199</v>
      </c>
      <c r="C29" s="25"/>
      <c r="D29" s="17" t="s">
        <v>161</v>
      </c>
      <c r="E29" s="17"/>
      <c r="P29" s="56" t="s">
        <v>236</v>
      </c>
      <c r="Q29" s="72">
        <f>'Match Summary'!B16</f>
        <v>42197</v>
      </c>
      <c r="R29" s="73" t="str">
        <f t="shared" ref="R29" si="24" xml:space="preserve"> "&lt;&gt;"&amp; "no"</f>
        <v>&lt;&gt;no</v>
      </c>
      <c r="S29" s="74" t="str">
        <f t="shared" ref="S29" si="25" xml:space="preserve"> "&lt;&gt;"&amp; "dnb"</f>
        <v>&lt;&gt;dnb</v>
      </c>
    </row>
    <row r="30" spans="1:19" x14ac:dyDescent="0.15">
      <c r="P30" s="58" t="s">
        <v>197</v>
      </c>
      <c r="Q30" s="69" t="s">
        <v>207</v>
      </c>
      <c r="R30" s="70" t="s">
        <v>141</v>
      </c>
      <c r="S30" s="71" t="s">
        <v>141</v>
      </c>
    </row>
    <row r="31" spans="1:19" x14ac:dyDescent="0.15">
      <c r="A31" s="17"/>
      <c r="B31" s="25"/>
      <c r="C31" s="17"/>
      <c r="P31" s="56" t="s">
        <v>236</v>
      </c>
      <c r="Q31" s="72">
        <f>'Match Summary'!B18</f>
        <v>42204</v>
      </c>
      <c r="R31" s="73" t="str">
        <f t="shared" ref="R31" si="26" xml:space="preserve"> "&lt;&gt;"&amp; "no"</f>
        <v>&lt;&gt;no</v>
      </c>
      <c r="S31" s="74" t="str">
        <f t="shared" ref="S31" si="27" xml:space="preserve"> "&lt;&gt;"&amp; "dnb"</f>
        <v>&lt;&gt;dnb</v>
      </c>
    </row>
    <row r="32" spans="1:19" x14ac:dyDescent="0.15">
      <c r="A32" s="17"/>
      <c r="B32" s="25"/>
      <c r="C32" s="17"/>
      <c r="P32" s="58" t="s">
        <v>197</v>
      </c>
      <c r="Q32" s="69" t="s">
        <v>207</v>
      </c>
      <c r="R32" s="70" t="s">
        <v>141</v>
      </c>
      <c r="S32" s="71" t="s">
        <v>141</v>
      </c>
    </row>
    <row r="33" spans="1:19" x14ac:dyDescent="0.15">
      <c r="A33" s="17"/>
      <c r="B33" s="25"/>
      <c r="C33" s="17"/>
      <c r="P33" s="56" t="s">
        <v>236</v>
      </c>
      <c r="Q33" s="72">
        <f>'Match Summary'!B19</f>
        <v>42211</v>
      </c>
      <c r="R33" s="73" t="str">
        <f t="shared" ref="R33" si="28" xml:space="preserve"> "&lt;&gt;"&amp; "no"</f>
        <v>&lt;&gt;no</v>
      </c>
      <c r="S33" s="74" t="str">
        <f t="shared" ref="S33" si="29" xml:space="preserve"> "&lt;&gt;"&amp; "dnb"</f>
        <v>&lt;&gt;dnb</v>
      </c>
    </row>
    <row r="34" spans="1:19" x14ac:dyDescent="0.15">
      <c r="A34" s="17"/>
      <c r="B34" s="25"/>
      <c r="C34" s="17"/>
      <c r="P34" s="58" t="s">
        <v>197</v>
      </c>
      <c r="Q34" s="69" t="s">
        <v>207</v>
      </c>
      <c r="R34" s="70" t="s">
        <v>141</v>
      </c>
      <c r="S34" s="71" t="s">
        <v>141</v>
      </c>
    </row>
    <row r="35" spans="1:19" x14ac:dyDescent="0.15">
      <c r="A35" s="17"/>
      <c r="B35" s="25"/>
      <c r="C35" s="17"/>
      <c r="P35" s="56" t="s">
        <v>236</v>
      </c>
      <c r="Q35" s="72">
        <f>'Match Summary'!B20</f>
        <v>42218</v>
      </c>
      <c r="R35" s="73" t="str">
        <f t="shared" ref="R35" si="30" xml:space="preserve"> "&lt;&gt;"&amp; "no"</f>
        <v>&lt;&gt;no</v>
      </c>
      <c r="S35" s="74" t="str">
        <f t="shared" ref="S35" si="31" xml:space="preserve"> "&lt;&gt;"&amp; "dnb"</f>
        <v>&lt;&gt;dnb</v>
      </c>
    </row>
    <row r="36" spans="1:19" x14ac:dyDescent="0.15">
      <c r="P36" s="58" t="s">
        <v>197</v>
      </c>
      <c r="Q36" s="69" t="s">
        <v>207</v>
      </c>
      <c r="R36" s="70" t="s">
        <v>141</v>
      </c>
      <c r="S36" s="71" t="s">
        <v>141</v>
      </c>
    </row>
    <row r="37" spans="1:19" x14ac:dyDescent="0.15">
      <c r="P37" s="56" t="s">
        <v>236</v>
      </c>
      <c r="Q37" s="72">
        <f>'Match Summary'!B21</f>
        <v>42225</v>
      </c>
      <c r="R37" s="73" t="str">
        <f t="shared" ref="R37" si="32" xml:space="preserve"> "&lt;&gt;"&amp; "no"</f>
        <v>&lt;&gt;no</v>
      </c>
      <c r="S37" s="74" t="str">
        <f t="shared" ref="S37" si="33" xml:space="preserve"> "&lt;&gt;"&amp; "dnb"</f>
        <v>&lt;&gt;dnb</v>
      </c>
    </row>
    <row r="38" spans="1:19" x14ac:dyDescent="0.15">
      <c r="P38" s="58" t="s">
        <v>197</v>
      </c>
      <c r="Q38" s="69" t="s">
        <v>207</v>
      </c>
      <c r="R38" s="70" t="s">
        <v>141</v>
      </c>
      <c r="S38" s="71" t="s">
        <v>141</v>
      </c>
    </row>
    <row r="39" spans="1:19" x14ac:dyDescent="0.15">
      <c r="P39" s="56" t="s">
        <v>236</v>
      </c>
      <c r="Q39" s="72">
        <f>'Match Summary'!B22</f>
        <v>42231</v>
      </c>
      <c r="R39" s="73" t="str">
        <f t="shared" ref="R39" si="34" xml:space="preserve"> "&lt;&gt;"&amp; "no"</f>
        <v>&lt;&gt;no</v>
      </c>
      <c r="S39" s="74" t="str">
        <f t="shared" ref="S39" si="35" xml:space="preserve"> "&lt;&gt;"&amp; "dnb"</f>
        <v>&lt;&gt;dnb</v>
      </c>
    </row>
    <row r="40" spans="1:19" x14ac:dyDescent="0.15">
      <c r="P40" s="58" t="s">
        <v>197</v>
      </c>
      <c r="Q40" s="69" t="s">
        <v>207</v>
      </c>
      <c r="R40" s="70" t="s">
        <v>141</v>
      </c>
      <c r="S40" s="71" t="s">
        <v>141</v>
      </c>
    </row>
    <row r="41" spans="1:19" x14ac:dyDescent="0.15">
      <c r="P41" s="56" t="s">
        <v>236</v>
      </c>
      <c r="Q41" s="72">
        <f>'Match Summary'!B23</f>
        <v>42238</v>
      </c>
      <c r="R41" s="73" t="str">
        <f t="shared" ref="R41" si="36" xml:space="preserve"> "&lt;&gt;"&amp; "no"</f>
        <v>&lt;&gt;no</v>
      </c>
      <c r="S41" s="74" t="str">
        <f t="shared" ref="S41" si="37" xml:space="preserve"> "&lt;&gt;"&amp; "dnb"</f>
        <v>&lt;&gt;dnb</v>
      </c>
    </row>
    <row r="42" spans="1:19" x14ac:dyDescent="0.15">
      <c r="P42" s="58" t="s">
        <v>197</v>
      </c>
      <c r="Q42" s="69" t="s">
        <v>207</v>
      </c>
      <c r="R42" s="70" t="s">
        <v>141</v>
      </c>
      <c r="S42" s="71" t="s">
        <v>141</v>
      </c>
    </row>
    <row r="43" spans="1:19" x14ac:dyDescent="0.15">
      <c r="P43" s="56" t="s">
        <v>236</v>
      </c>
      <c r="Q43" s="72">
        <f>'Match Summary'!B24</f>
        <v>42246</v>
      </c>
      <c r="R43" s="73" t="str">
        <f t="shared" ref="R43" si="38" xml:space="preserve"> "&lt;&gt;"&amp; "no"</f>
        <v>&lt;&gt;no</v>
      </c>
      <c r="S43" s="74" t="str">
        <f t="shared" ref="S43" si="39" xml:space="preserve"> "&lt;&gt;"&amp; "dnb"</f>
        <v>&lt;&gt;dnb</v>
      </c>
    </row>
    <row r="44" spans="1:19" x14ac:dyDescent="0.15">
      <c r="P44" s="58" t="s">
        <v>197</v>
      </c>
      <c r="Q44" s="69" t="s">
        <v>207</v>
      </c>
      <c r="R44" s="70" t="s">
        <v>141</v>
      </c>
      <c r="S44" s="71" t="s">
        <v>141</v>
      </c>
    </row>
    <row r="45" spans="1:19" x14ac:dyDescent="0.15">
      <c r="P45" s="56" t="s">
        <v>236</v>
      </c>
      <c r="Q45" s="72">
        <f>'Match Summary'!B25</f>
        <v>42247</v>
      </c>
      <c r="R45" s="73" t="str">
        <f t="shared" ref="R45" si="40" xml:space="preserve"> "&lt;&gt;"&amp; "no"</f>
        <v>&lt;&gt;no</v>
      </c>
      <c r="S45" s="74" t="str">
        <f t="shared" ref="S45" si="41" xml:space="preserve"> "&lt;&gt;"&amp; "dnb"</f>
        <v>&lt;&gt;dnb</v>
      </c>
    </row>
    <row r="46" spans="1:19" x14ac:dyDescent="0.15">
      <c r="P46" s="58" t="s">
        <v>197</v>
      </c>
      <c r="Q46" s="69" t="s">
        <v>207</v>
      </c>
      <c r="R46" s="70" t="s">
        <v>141</v>
      </c>
      <c r="S46" s="71" t="s">
        <v>141</v>
      </c>
    </row>
    <row r="47" spans="1:19" x14ac:dyDescent="0.15">
      <c r="P47" s="56" t="s">
        <v>236</v>
      </c>
      <c r="Q47" s="72">
        <f>'Match Summary'!B26</f>
        <v>42253</v>
      </c>
      <c r="R47" s="73" t="str">
        <f t="shared" ref="R47" si="42" xml:space="preserve"> "&lt;&gt;"&amp; "no"</f>
        <v>&lt;&gt;no</v>
      </c>
      <c r="S47" s="74" t="str">
        <f t="shared" ref="S47" si="43" xml:space="preserve"> "&lt;&gt;"&amp; "dnb"</f>
        <v>&lt;&gt;dnb</v>
      </c>
    </row>
    <row r="48" spans="1:19" x14ac:dyDescent="0.15">
      <c r="P48" s="58" t="s">
        <v>197</v>
      </c>
      <c r="Q48" s="69" t="s">
        <v>207</v>
      </c>
      <c r="R48" s="70" t="s">
        <v>141</v>
      </c>
      <c r="S48" s="71" t="s">
        <v>141</v>
      </c>
    </row>
    <row r="49" spans="16:19" x14ac:dyDescent="0.15">
      <c r="P49" s="56" t="s">
        <v>236</v>
      </c>
      <c r="Q49" s="72">
        <f>'Match Summary'!B27</f>
        <v>42260</v>
      </c>
      <c r="R49" s="73" t="str">
        <f t="shared" ref="R49" si="44" xml:space="preserve"> "&lt;&gt;"&amp; "no"</f>
        <v>&lt;&gt;no</v>
      </c>
      <c r="S49" s="74" t="str">
        <f t="shared" ref="S49" si="45" xml:space="preserve"> "&lt;&gt;"&amp; "dnb"</f>
        <v>&lt;&gt;dnb</v>
      </c>
    </row>
    <row r="50" spans="16:19" x14ac:dyDescent="0.15">
      <c r="P50" s="58" t="s">
        <v>197</v>
      </c>
      <c r="Q50" s="69" t="s">
        <v>207</v>
      </c>
      <c r="R50" s="70" t="s">
        <v>141</v>
      </c>
      <c r="S50" s="71" t="s">
        <v>141</v>
      </c>
    </row>
    <row r="51" spans="16:19" x14ac:dyDescent="0.15">
      <c r="P51" s="56" t="s">
        <v>236</v>
      </c>
      <c r="Q51" s="72">
        <f>'Match Summary'!B28</f>
        <v>42267</v>
      </c>
      <c r="R51" s="73" t="str">
        <f t="shared" ref="R51" si="46" xml:space="preserve"> "&lt;&gt;"&amp; "no"</f>
        <v>&lt;&gt;no</v>
      </c>
      <c r="S51" s="74" t="str">
        <f t="shared" ref="S51" si="47" xml:space="preserve"> "&lt;&gt;"&amp; "dnb"</f>
        <v>&lt;&gt;dnb</v>
      </c>
    </row>
    <row r="52" spans="16:19" x14ac:dyDescent="0.15">
      <c r="Q52" s="6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75</vt:i4>
      </vt:variant>
    </vt:vector>
  </HeadingPairs>
  <TitlesOfParts>
    <vt:vector size="84" baseType="lpstr">
      <vt:lpstr>Match Summary</vt:lpstr>
      <vt:lpstr>Batting</vt:lpstr>
      <vt:lpstr>Bowling</vt:lpstr>
      <vt:lpstr>Fielding</vt:lpstr>
      <vt:lpstr>Duck Cup</vt:lpstr>
      <vt:lpstr>Fantasy Cricket</vt:lpstr>
      <vt:lpstr>Team Sheet</vt:lpstr>
      <vt:lpstr>Team Perf</vt:lpstr>
      <vt:lpstr>Criteria</vt:lpstr>
      <vt:lpstr>abarn_bat</vt:lpstr>
      <vt:lpstr>Ahearne</vt:lpstr>
      <vt:lpstr>Ahearne_bat</vt:lpstr>
      <vt:lpstr>Akers_V</vt:lpstr>
      <vt:lpstr>Anders</vt:lpstr>
      <vt:lpstr>Bainbridge</vt:lpstr>
      <vt:lpstr>Barnard</vt:lpstr>
      <vt:lpstr>Barr_S</vt:lpstr>
      <vt:lpstr>barrs_wk</vt:lpstr>
      <vt:lpstr>bat_100</vt:lpstr>
      <vt:lpstr>bat_4s</vt:lpstr>
      <vt:lpstr>bat_50</vt:lpstr>
      <vt:lpstr>bat_6s</vt:lpstr>
      <vt:lpstr>bat_balls</vt:lpstr>
      <vt:lpstr>bat_duck</vt:lpstr>
      <vt:lpstr>bat_mins</vt:lpstr>
      <vt:lpstr>bat_no</vt:lpstr>
      <vt:lpstr>bat_run</vt:lpstr>
      <vt:lpstr>Booth_R</vt:lpstr>
      <vt:lpstr>bowl_5wkts</vt:lpstr>
      <vt:lpstr>bowl_mdn</vt:lpstr>
      <vt:lpstr>bowl_nball</vt:lpstr>
      <vt:lpstr>bowl_over</vt:lpstr>
      <vt:lpstr>bowl_run</vt:lpstr>
      <vt:lpstr>bowl_wide</vt:lpstr>
      <vt:lpstr>bowl_wktb</vt:lpstr>
      <vt:lpstr>bowl_wktct</vt:lpstr>
      <vt:lpstr>bowl_wkthw</vt:lpstr>
      <vt:lpstr>bowl_wktlbw</vt:lpstr>
      <vt:lpstr>bowl_wktst</vt:lpstr>
      <vt:lpstr>bye</vt:lpstr>
      <vt:lpstr>cahea_bat</vt:lpstr>
      <vt:lpstr>Carsberg</vt:lpstr>
      <vt:lpstr>Carsberg_T</vt:lpstr>
      <vt:lpstr>Collins_M</vt:lpstr>
      <vt:lpstr>Dawson_N</vt:lpstr>
      <vt:lpstr>Drever_A</vt:lpstr>
      <vt:lpstr>Elburn_A</vt:lpstr>
      <vt:lpstr>fld_ct</vt:lpstr>
      <vt:lpstr>fld_ro</vt:lpstr>
      <vt:lpstr>fld_wkbye</vt:lpstr>
      <vt:lpstr>fld_wkct</vt:lpstr>
      <vt:lpstr>fld_wkst</vt:lpstr>
      <vt:lpstr>Gallant_B</vt:lpstr>
      <vt:lpstr>Gallant_G</vt:lpstr>
      <vt:lpstr>Gallant_J</vt:lpstr>
      <vt:lpstr>Gilbert_J</vt:lpstr>
      <vt:lpstr>Gilbert_S</vt:lpstr>
      <vt:lpstr>gilbert_wk</vt:lpstr>
      <vt:lpstr>Hawkins_C</vt:lpstr>
      <vt:lpstr>Higgins_D</vt:lpstr>
      <vt:lpstr>how_out</vt:lpstr>
      <vt:lpstr>hutchg_wk</vt:lpstr>
      <vt:lpstr>Hutchings_G</vt:lpstr>
      <vt:lpstr>match_date</vt:lpstr>
      <vt:lpstr>match_team_data</vt:lpstr>
      <vt:lpstr>Matthews_C</vt:lpstr>
      <vt:lpstr>Matthews_K</vt:lpstr>
      <vt:lpstr>McClos_F</vt:lpstr>
      <vt:lpstr>Mimmack</vt:lpstr>
      <vt:lpstr>oppo_name</vt:lpstr>
      <vt:lpstr>overs</vt:lpstr>
      <vt:lpstr>Match Summary!Print_Area</vt:lpstr>
      <vt:lpstr>Russell_T</vt:lpstr>
      <vt:lpstr>Scholes_P</vt:lpstr>
      <vt:lpstr>scholp_wk</vt:lpstr>
      <vt:lpstr>Scoles_P</vt:lpstr>
      <vt:lpstr>Scott_D</vt:lpstr>
      <vt:lpstr>Smith_B</vt:lpstr>
      <vt:lpstr>Stevens_P</vt:lpstr>
      <vt:lpstr>Sutcliffe_P</vt:lpstr>
      <vt:lpstr>Taylor_P</vt:lpstr>
      <vt:lpstr>team_data_all</vt:lpstr>
      <vt:lpstr>team_name</vt:lpstr>
      <vt:lpstr>Wood_C</vt:lpstr>
    </vt:vector>
  </TitlesOfParts>
  <Manager/>
  <Company>Eastons Cricket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 Averages &amp; Stats Season 2012</dc:title>
  <dc:subject>Match results and player averages for 2012</dc:subject>
  <dc:creator>Stuart Gilbert</dc:creator>
  <cp:keywords/>
  <dc:description/>
  <cp:lastModifiedBy>Stuart Gilbert</cp:lastModifiedBy>
  <cp:lastPrinted>2013-05-21T20:13:49Z</cp:lastPrinted>
  <dcterms:created xsi:type="dcterms:W3CDTF">2011-04-25T12:21:29Z</dcterms:created>
  <dcterms:modified xsi:type="dcterms:W3CDTF">2015-10-09T19:20:33Z</dcterms:modified>
  <cp:category/>
</cp:coreProperties>
</file>