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n.copperwheat\Desktop\FRESH EYES CONSULTING\"/>
    </mc:Choice>
  </mc:AlternateContent>
  <bookViews>
    <workbookView xWindow="0" yWindow="0" windowWidth="15525" windowHeight="5595" tabRatio="888"/>
  </bookViews>
  <sheets>
    <sheet name="README" sheetId="1" r:id="rId1"/>
    <sheet name="Step 1" sheetId="2" r:id="rId2"/>
    <sheet name="Step 2" sheetId="5" r:id="rId3"/>
    <sheet name="Step 3" sheetId="7" r:id="rId4"/>
    <sheet name="Value Map" sheetId="11" r:id="rId5"/>
    <sheet name="Step 4" sheetId="8" r:id="rId6"/>
    <sheet name="Step 5" sheetId="9" r:id="rId7"/>
    <sheet name="Step 6" sheetId="10" r:id="rId8"/>
    <sheet name="D2V Summary" sheetId="12" r:id="rId9"/>
  </sheets>
  <definedNames>
    <definedName name="_xlnm._FilterDatabase" localSheetId="6" hidden="1">'Step 5'!#REF!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9" l="1"/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B2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" i="10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2" i="10"/>
  <c r="A1" i="10"/>
  <c r="C7" i="9"/>
  <c r="D7" i="9"/>
  <c r="E7" i="9"/>
  <c r="F7" i="9"/>
  <c r="G7" i="9"/>
  <c r="H7" i="9"/>
  <c r="I7" i="9"/>
  <c r="J7" i="9"/>
  <c r="K7" i="9"/>
  <c r="B7" i="9"/>
  <c r="C4" i="9"/>
  <c r="D4" i="9"/>
  <c r="E4" i="9"/>
  <c r="F4" i="9"/>
  <c r="G4" i="9"/>
  <c r="H4" i="9"/>
  <c r="I4" i="9"/>
  <c r="J4" i="9"/>
  <c r="K4" i="9"/>
  <c r="B4" i="9"/>
  <c r="D6" i="9"/>
  <c r="J6" i="9"/>
  <c r="C3" i="9"/>
  <c r="D3" i="9"/>
  <c r="E3" i="9"/>
  <c r="G3" i="9"/>
  <c r="H3" i="9"/>
  <c r="J3" i="9"/>
  <c r="K3" i="9"/>
  <c r="B3" i="9"/>
  <c r="L5" i="9"/>
  <c r="E6" i="9" s="1"/>
  <c r="L2" i="9"/>
  <c r="F3" i="9" s="1"/>
  <c r="C1" i="9"/>
  <c r="D1" i="9"/>
  <c r="E1" i="9"/>
  <c r="F1" i="9"/>
  <c r="G1" i="9"/>
  <c r="H1" i="9"/>
  <c r="I1" i="9"/>
  <c r="J1" i="9"/>
  <c r="K1" i="9"/>
  <c r="B1" i="9"/>
  <c r="N2" i="8"/>
  <c r="N3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A2" i="8"/>
  <c r="A10" i="9" s="1"/>
  <c r="B2" i="8"/>
  <c r="C2" i="8"/>
  <c r="A3" i="8"/>
  <c r="A11" i="9" s="1"/>
  <c r="B3" i="8"/>
  <c r="C3" i="8"/>
  <c r="A4" i="8"/>
  <c r="A12" i="9" s="1"/>
  <c r="B4" i="8"/>
  <c r="C4" i="8"/>
  <c r="A5" i="8"/>
  <c r="A13" i="9" s="1"/>
  <c r="B5" i="8"/>
  <c r="C5" i="8"/>
  <c r="A6" i="8"/>
  <c r="A14" i="9" s="1"/>
  <c r="B6" i="8"/>
  <c r="C6" i="8"/>
  <c r="A7" i="8"/>
  <c r="A15" i="9" s="1"/>
  <c r="B7" i="8"/>
  <c r="C7" i="8"/>
  <c r="A8" i="8"/>
  <c r="A16" i="9" s="1"/>
  <c r="B8" i="8"/>
  <c r="C8" i="8"/>
  <c r="A9" i="8"/>
  <c r="A17" i="9" s="1"/>
  <c r="B9" i="8"/>
  <c r="C9" i="8"/>
  <c r="A10" i="8"/>
  <c r="A18" i="9" s="1"/>
  <c r="B10" i="8"/>
  <c r="C10" i="8"/>
  <c r="A11" i="8"/>
  <c r="A19" i="9" s="1"/>
  <c r="B11" i="8"/>
  <c r="C11" i="8"/>
  <c r="A12" i="8"/>
  <c r="A20" i="9" s="1"/>
  <c r="B12" i="8"/>
  <c r="C12" i="8"/>
  <c r="A13" i="8"/>
  <c r="A21" i="9" s="1"/>
  <c r="B13" i="8"/>
  <c r="C13" i="8"/>
  <c r="A14" i="8"/>
  <c r="A22" i="9" s="1"/>
  <c r="B14" i="8"/>
  <c r="C14" i="8"/>
  <c r="A15" i="8"/>
  <c r="A23" i="9" s="1"/>
  <c r="B15" i="8"/>
  <c r="C15" i="8"/>
  <c r="A16" i="8"/>
  <c r="A24" i="9" s="1"/>
  <c r="B16" i="8"/>
  <c r="C16" i="8"/>
  <c r="B17" i="7"/>
  <c r="C17" i="7" s="1"/>
  <c r="B18" i="7"/>
  <c r="C12" i="10" l="1"/>
  <c r="C4" i="10"/>
  <c r="B12" i="9"/>
  <c r="B19" i="9"/>
  <c r="B15" i="9"/>
  <c r="B11" i="9"/>
  <c r="B6" i="9"/>
  <c r="I3" i="9"/>
  <c r="B13" i="9" s="1"/>
  <c r="K6" i="9"/>
  <c r="B22" i="9"/>
  <c r="B18" i="9"/>
  <c r="B14" i="9"/>
  <c r="B21" i="9"/>
  <c r="B17" i="9"/>
  <c r="C6" i="9"/>
  <c r="C10" i="10"/>
  <c r="C5" i="10"/>
  <c r="C3" i="10"/>
  <c r="C2" i="10"/>
  <c r="C9" i="10"/>
  <c r="C11" i="10"/>
  <c r="C16" i="10"/>
  <c r="C8" i="10"/>
  <c r="C15" i="10"/>
  <c r="C7" i="10"/>
  <c r="C14" i="10"/>
  <c r="C6" i="10"/>
  <c r="C13" i="10"/>
  <c r="I6" i="9"/>
  <c r="H6" i="9"/>
  <c r="G6" i="9"/>
  <c r="F6" i="9"/>
  <c r="C18" i="7"/>
  <c r="V17" i="5"/>
  <c r="U17" i="5"/>
  <c r="T17" i="5"/>
  <c r="O17" i="5"/>
  <c r="Q17" i="5"/>
  <c r="P17" i="5"/>
  <c r="L17" i="5"/>
  <c r="J17" i="5"/>
  <c r="F17" i="5"/>
  <c r="G17" i="5"/>
  <c r="E17" i="5"/>
  <c r="K17" i="5"/>
  <c r="H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W2" i="5"/>
  <c r="W3" i="5"/>
  <c r="W4" i="5"/>
  <c r="W5" i="5"/>
  <c r="W6" i="5"/>
  <c r="W7" i="5"/>
  <c r="W8" i="5"/>
  <c r="W9" i="5"/>
  <c r="W10" i="5"/>
  <c r="W11" i="5"/>
  <c r="W12" i="5"/>
  <c r="W13" i="5"/>
  <c r="W14" i="5"/>
  <c r="W15" i="5"/>
  <c r="W16" i="5"/>
  <c r="R2" i="5"/>
  <c r="R3" i="5"/>
  <c r="R4" i="5"/>
  <c r="R5" i="5"/>
  <c r="R6" i="5"/>
  <c r="R7" i="5"/>
  <c r="R8" i="5"/>
  <c r="R9" i="5"/>
  <c r="R10" i="5"/>
  <c r="R11" i="5"/>
  <c r="R12" i="5"/>
  <c r="R13" i="5"/>
  <c r="R14" i="5"/>
  <c r="R15" i="5"/>
  <c r="R16" i="5"/>
  <c r="M2" i="5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A3" i="5"/>
  <c r="B3" i="5"/>
  <c r="C3" i="5"/>
  <c r="A4" i="5"/>
  <c r="B4" i="5"/>
  <c r="C4" i="5"/>
  <c r="A5" i="5"/>
  <c r="B5" i="5"/>
  <c r="C5" i="5"/>
  <c r="A6" i="5"/>
  <c r="B6" i="5"/>
  <c r="C6" i="5"/>
  <c r="A7" i="5"/>
  <c r="B7" i="5"/>
  <c r="C7" i="5"/>
  <c r="A8" i="5"/>
  <c r="B8" i="5"/>
  <c r="C8" i="5"/>
  <c r="A9" i="5"/>
  <c r="B9" i="5"/>
  <c r="C9" i="5"/>
  <c r="A10" i="5"/>
  <c r="B10" i="5"/>
  <c r="C10" i="5"/>
  <c r="A11" i="5"/>
  <c r="B11" i="5"/>
  <c r="C11" i="5"/>
  <c r="A12" i="5"/>
  <c r="B12" i="5"/>
  <c r="C12" i="5"/>
  <c r="A13" i="5"/>
  <c r="B13" i="5"/>
  <c r="C13" i="5"/>
  <c r="A14" i="5"/>
  <c r="B14" i="5"/>
  <c r="C14" i="5"/>
  <c r="A15" i="5"/>
  <c r="B15" i="5"/>
  <c r="C15" i="5"/>
  <c r="A16" i="5"/>
  <c r="B16" i="5"/>
  <c r="C16" i="5"/>
  <c r="B2" i="5"/>
  <c r="C2" i="5"/>
  <c r="A2" i="5"/>
  <c r="E17" i="2"/>
  <c r="F17" i="2"/>
  <c r="D17" i="2"/>
  <c r="C17" i="2"/>
  <c r="B23" i="9" l="1"/>
  <c r="B16" i="9"/>
  <c r="B20" i="9"/>
  <c r="C12" i="9"/>
  <c r="C16" i="9"/>
  <c r="C20" i="9"/>
  <c r="C24" i="9"/>
  <c r="C13" i="9"/>
  <c r="C21" i="9"/>
  <c r="C14" i="9"/>
  <c r="C18" i="9"/>
  <c r="C22" i="9"/>
  <c r="C15" i="9"/>
  <c r="C19" i="9"/>
  <c r="C11" i="9"/>
  <c r="C23" i="9"/>
  <c r="C17" i="9"/>
  <c r="C10" i="9"/>
  <c r="B24" i="9"/>
  <c r="D24" i="9" s="1"/>
  <c r="F16" i="10" s="1"/>
  <c r="H17" i="5"/>
  <c r="W17" i="5"/>
  <c r="M17" i="5"/>
  <c r="R17" i="5"/>
  <c r="X4" i="5"/>
  <c r="X11" i="5"/>
  <c r="X16" i="5"/>
  <c r="X8" i="5"/>
  <c r="S12" i="5"/>
  <c r="S11" i="5"/>
  <c r="X15" i="5"/>
  <c r="X7" i="5"/>
  <c r="S4" i="5"/>
  <c r="X14" i="5"/>
  <c r="X6" i="5"/>
  <c r="X3" i="5"/>
  <c r="S14" i="5"/>
  <c r="S6" i="5"/>
  <c r="X13" i="5"/>
  <c r="X5" i="5"/>
  <c r="X2" i="5"/>
  <c r="S10" i="5"/>
  <c r="S2" i="5"/>
  <c r="X10" i="5"/>
  <c r="X9" i="5"/>
  <c r="S9" i="5"/>
  <c r="S16" i="5"/>
  <c r="S8" i="5"/>
  <c r="S3" i="5"/>
  <c r="X12" i="5"/>
  <c r="S13" i="5"/>
  <c r="S5" i="5"/>
  <c r="S7" i="5"/>
  <c r="N3" i="5"/>
  <c r="S15" i="5"/>
  <c r="N2" i="5"/>
  <c r="N13" i="5"/>
  <c r="N9" i="5"/>
  <c r="N15" i="5"/>
  <c r="N11" i="5"/>
  <c r="N10" i="5"/>
  <c r="N16" i="5"/>
  <c r="N8" i="5"/>
  <c r="N7" i="5"/>
  <c r="N14" i="5"/>
  <c r="N5" i="5"/>
  <c r="N12" i="5"/>
  <c r="N4" i="5"/>
  <c r="I9" i="5"/>
  <c r="E9" i="10" s="1"/>
  <c r="N6" i="5"/>
  <c r="I16" i="5"/>
  <c r="E16" i="10" s="1"/>
  <c r="I7" i="5"/>
  <c r="E7" i="10" s="1"/>
  <c r="I5" i="5"/>
  <c r="E5" i="10" s="1"/>
  <c r="I8" i="5"/>
  <c r="E8" i="10" s="1"/>
  <c r="I11" i="5"/>
  <c r="E11" i="10" s="1"/>
  <c r="I14" i="5"/>
  <c r="E14" i="10" s="1"/>
  <c r="I6" i="5"/>
  <c r="E6" i="10" s="1"/>
  <c r="I12" i="5"/>
  <c r="E12" i="10" s="1"/>
  <c r="I4" i="5"/>
  <c r="E4" i="10" s="1"/>
  <c r="I3" i="5"/>
  <c r="E3" i="10" s="1"/>
  <c r="I10" i="5"/>
  <c r="E10" i="10" s="1"/>
  <c r="I2" i="5"/>
  <c r="E2" i="10" s="1"/>
  <c r="I15" i="5"/>
  <c r="E15" i="10" s="1"/>
  <c r="I13" i="5"/>
  <c r="E13" i="10" s="1"/>
  <c r="H12" i="2"/>
  <c r="H7" i="2"/>
  <c r="H14" i="2"/>
  <c r="H2" i="2"/>
  <c r="H3" i="2"/>
  <c r="H15" i="2"/>
  <c r="H11" i="2"/>
  <c r="H10" i="2"/>
  <c r="H13" i="2"/>
  <c r="H16" i="2"/>
  <c r="H8" i="2"/>
  <c r="H6" i="2"/>
  <c r="H5" i="2"/>
  <c r="H4" i="2"/>
  <c r="H9" i="2"/>
  <c r="R3" i="10" l="1"/>
  <c r="S5" i="10"/>
  <c r="R16" i="10"/>
  <c r="S15" i="10"/>
  <c r="L16" i="10"/>
  <c r="E18" i="9"/>
  <c r="G10" i="10" s="1"/>
  <c r="S10" i="10" s="1"/>
  <c r="D17" i="9"/>
  <c r="F9" i="10" s="1"/>
  <c r="R9" i="10" s="1"/>
  <c r="D20" i="9"/>
  <c r="F12" i="10" s="1"/>
  <c r="R12" i="10" s="1"/>
  <c r="E23" i="9"/>
  <c r="G15" i="10" s="1"/>
  <c r="E13" i="9"/>
  <c r="G5" i="10" s="1"/>
  <c r="P5" i="10" s="1"/>
  <c r="D16" i="9"/>
  <c r="F8" i="10" s="1"/>
  <c r="R8" i="10" s="1"/>
  <c r="D11" i="9"/>
  <c r="F3" i="10" s="1"/>
  <c r="E11" i="9"/>
  <c r="G3" i="10" s="1"/>
  <c r="S3" i="10" s="1"/>
  <c r="E24" i="9"/>
  <c r="G16" i="10" s="1"/>
  <c r="S16" i="10" s="1"/>
  <c r="D14" i="9"/>
  <c r="F6" i="10" s="1"/>
  <c r="R6" i="10" s="1"/>
  <c r="E17" i="9"/>
  <c r="G9" i="10" s="1"/>
  <c r="S9" i="10" s="1"/>
  <c r="E21" i="9"/>
  <c r="G13" i="10" s="1"/>
  <c r="S13" i="10" s="1"/>
  <c r="D21" i="9"/>
  <c r="F13" i="10" s="1"/>
  <c r="R13" i="10" s="1"/>
  <c r="E19" i="9"/>
  <c r="G11" i="10" s="1"/>
  <c r="S11" i="10" s="1"/>
  <c r="E20" i="9"/>
  <c r="G12" i="10" s="1"/>
  <c r="S12" i="10" s="1"/>
  <c r="D23" i="9"/>
  <c r="F15" i="10" s="1"/>
  <c r="R15" i="10" s="1"/>
  <c r="D22" i="9"/>
  <c r="F14" i="10" s="1"/>
  <c r="P14" i="10" s="1"/>
  <c r="E15" i="9"/>
  <c r="G7" i="10" s="1"/>
  <c r="S7" i="10" s="1"/>
  <c r="E16" i="9"/>
  <c r="G8" i="10" s="1"/>
  <c r="S8" i="10" s="1"/>
  <c r="D18" i="9"/>
  <c r="F10" i="10" s="1"/>
  <c r="R10" i="10" s="1"/>
  <c r="D15" i="9"/>
  <c r="F7" i="10" s="1"/>
  <c r="R7" i="10" s="1"/>
  <c r="E22" i="9"/>
  <c r="G14" i="10" s="1"/>
  <c r="S14" i="10" s="1"/>
  <c r="E12" i="9"/>
  <c r="G4" i="10" s="1"/>
  <c r="S4" i="10" s="1"/>
  <c r="D19" i="9"/>
  <c r="F11" i="10" s="1"/>
  <c r="R11" i="10" s="1"/>
  <c r="D10" i="9"/>
  <c r="F2" i="10" s="1"/>
  <c r="R2" i="10" s="1"/>
  <c r="E10" i="9"/>
  <c r="G2" i="10" s="1"/>
  <c r="S2" i="10" s="1"/>
  <c r="E14" i="9"/>
  <c r="G6" i="10" s="1"/>
  <c r="S6" i="10" s="1"/>
  <c r="D12" i="9"/>
  <c r="F4" i="10" s="1"/>
  <c r="R4" i="10" s="1"/>
  <c r="D13" i="9"/>
  <c r="F5" i="10" s="1"/>
  <c r="R5" i="10" s="1"/>
  <c r="D2" i="10"/>
  <c r="D2" i="5"/>
  <c r="D16" i="10"/>
  <c r="D16" i="5"/>
  <c r="D7" i="10"/>
  <c r="D7" i="5"/>
  <c r="D3" i="10"/>
  <c r="D3" i="5"/>
  <c r="D8" i="10"/>
  <c r="D8" i="5"/>
  <c r="D13" i="10"/>
  <c r="P13" i="10" s="1"/>
  <c r="D13" i="5"/>
  <c r="D10" i="10"/>
  <c r="D10" i="5"/>
  <c r="D5" i="10"/>
  <c r="D5" i="5"/>
  <c r="D9" i="10"/>
  <c r="D9" i="5"/>
  <c r="D11" i="10"/>
  <c r="D11" i="5"/>
  <c r="D6" i="10"/>
  <c r="D6" i="5"/>
  <c r="D14" i="10"/>
  <c r="D14" i="5"/>
  <c r="D12" i="10"/>
  <c r="D12" i="5"/>
  <c r="D4" i="10"/>
  <c r="Q4" i="10" s="1"/>
  <c r="D4" i="5"/>
  <c r="D15" i="10"/>
  <c r="D15" i="5"/>
  <c r="I17" i="5"/>
  <c r="C8" i="7"/>
  <c r="X17" i="5"/>
  <c r="D8" i="7"/>
  <c r="N17" i="5"/>
  <c r="C9" i="7"/>
  <c r="D9" i="7"/>
  <c r="D11" i="7"/>
  <c r="C11" i="7"/>
  <c r="D10" i="7"/>
  <c r="S17" i="5"/>
  <c r="C10" i="7"/>
  <c r="N12" i="10" l="1"/>
  <c r="N5" i="10"/>
  <c r="N14" i="10"/>
  <c r="N6" i="10"/>
  <c r="P3" i="10"/>
  <c r="B4" i="7" a="1"/>
  <c r="B4" i="7" s="1"/>
  <c r="P16" i="10"/>
  <c r="N3" i="10"/>
  <c r="P12" i="10"/>
  <c r="I15" i="10"/>
  <c r="Q15" i="10"/>
  <c r="I7" i="10"/>
  <c r="Q7" i="10"/>
  <c r="P15" i="10"/>
  <c r="R14" i="10"/>
  <c r="P9" i="10"/>
  <c r="I11" i="10"/>
  <c r="Q11" i="10"/>
  <c r="N13" i="10"/>
  <c r="P4" i="10"/>
  <c r="I10" i="10"/>
  <c r="Q10" i="10"/>
  <c r="N15" i="10"/>
  <c r="N9" i="10"/>
  <c r="I12" i="10"/>
  <c r="Q12" i="10"/>
  <c r="P11" i="10"/>
  <c r="N4" i="10"/>
  <c r="I6" i="10"/>
  <c r="Q6" i="10"/>
  <c r="I13" i="10"/>
  <c r="Q13" i="10"/>
  <c r="J16" i="10"/>
  <c r="Q16" i="10"/>
  <c r="I4" i="10"/>
  <c r="N16" i="10"/>
  <c r="I9" i="10"/>
  <c r="Q9" i="10"/>
  <c r="I8" i="10"/>
  <c r="Q8" i="10"/>
  <c r="I2" i="10"/>
  <c r="Q2" i="10"/>
  <c r="I14" i="10"/>
  <c r="Q14" i="10"/>
  <c r="I5" i="10"/>
  <c r="Q5" i="10"/>
  <c r="I3" i="10"/>
  <c r="Q3" i="10"/>
  <c r="N11" i="10"/>
  <c r="P10" i="10"/>
  <c r="P7" i="10"/>
  <c r="P8" i="10"/>
  <c r="P2" i="10"/>
  <c r="N10" i="10"/>
  <c r="N7" i="10"/>
  <c r="N8" i="10"/>
  <c r="P6" i="10"/>
  <c r="N2" i="10"/>
  <c r="K14" i="10"/>
  <c r="M14" i="10"/>
  <c r="J5" i="10"/>
  <c r="L5" i="10"/>
  <c r="K4" i="10"/>
  <c r="M4" i="10"/>
  <c r="K12" i="10"/>
  <c r="M12" i="10"/>
  <c r="J3" i="10"/>
  <c r="L3" i="10"/>
  <c r="J13" i="10"/>
  <c r="L13" i="10"/>
  <c r="J10" i="10"/>
  <c r="L10" i="10"/>
  <c r="K13" i="10"/>
  <c r="M13" i="10"/>
  <c r="K15" i="10"/>
  <c r="M15" i="10"/>
  <c r="I16" i="10"/>
  <c r="K6" i="10"/>
  <c r="M6" i="10"/>
  <c r="M8" i="10"/>
  <c r="K8" i="10"/>
  <c r="M9" i="10"/>
  <c r="K9" i="10"/>
  <c r="J12" i="10"/>
  <c r="L12" i="10"/>
  <c r="L8" i="10"/>
  <c r="J8" i="10"/>
  <c r="K5" i="10"/>
  <c r="M5" i="10"/>
  <c r="J4" i="10"/>
  <c r="L4" i="10"/>
  <c r="K2" i="10"/>
  <c r="M2" i="10"/>
  <c r="M7" i="10"/>
  <c r="K7" i="10"/>
  <c r="J6" i="10"/>
  <c r="L6" i="10"/>
  <c r="L9" i="10"/>
  <c r="J9" i="10"/>
  <c r="L2" i="10"/>
  <c r="J2" i="10"/>
  <c r="J14" i="10"/>
  <c r="L14" i="10"/>
  <c r="M16" i="10"/>
  <c r="K16" i="10"/>
  <c r="K10" i="10"/>
  <c r="M10" i="10"/>
  <c r="K11" i="10"/>
  <c r="M11" i="10"/>
  <c r="J7" i="10"/>
  <c r="L7" i="10"/>
  <c r="J11" i="10"/>
  <c r="L11" i="10"/>
  <c r="J15" i="10"/>
  <c r="L15" i="10"/>
  <c r="K3" i="10"/>
  <c r="M3" i="10"/>
  <c r="F10" i="7"/>
  <c r="E10" i="7"/>
  <c r="F8" i="7"/>
  <c r="E8" i="7"/>
  <c r="E9" i="7"/>
  <c r="F9" i="7"/>
  <c r="E11" i="7"/>
  <c r="F11" i="7"/>
  <c r="C4" i="7" l="1"/>
</calcChain>
</file>

<file path=xl/sharedStrings.xml><?xml version="1.0" encoding="utf-8"?>
<sst xmlns="http://schemas.openxmlformats.org/spreadsheetml/2006/main" count="153" uniqueCount="145">
  <si>
    <t>Step 1</t>
  </si>
  <si>
    <t>Step 2</t>
  </si>
  <si>
    <t>Step 3</t>
  </si>
  <si>
    <t>Step 5</t>
  </si>
  <si>
    <t>Step 6</t>
  </si>
  <si>
    <t>Plot Performance Level (0-10) with NRC of each element with Customer/Market Value (all 0-10) rated.</t>
  </si>
  <si>
    <t>A) Assess price of competitors vs price of own solution
B) Compare average performance Vs Price on Value Map Diagram</t>
  </si>
  <si>
    <t>ID</t>
  </si>
  <si>
    <t>Title</t>
  </si>
  <si>
    <t>Total</t>
  </si>
  <si>
    <t>Importance Ranking - Person 1</t>
  </si>
  <si>
    <t>Importance Ranking - Person 2</t>
  </si>
  <si>
    <t>Importance Ranking - Person 3</t>
  </si>
  <si>
    <t>Importance - Averaged</t>
  </si>
  <si>
    <t>Importance - Scaled</t>
  </si>
  <si>
    <t>Type</t>
  </si>
  <si>
    <t>Comp1 - Person1</t>
  </si>
  <si>
    <t>Comp1 - Person2</t>
  </si>
  <si>
    <t>Comp1 - Person3</t>
  </si>
  <si>
    <t>Comp2 - Person1</t>
  </si>
  <si>
    <t>Comp2 - Person2</t>
  </si>
  <si>
    <t>Comp2 - Person3</t>
  </si>
  <si>
    <t>Comp3 - Person1</t>
  </si>
  <si>
    <t>Comp3 - Person2</t>
  </si>
  <si>
    <t>Comp3 - Person3</t>
  </si>
  <si>
    <t>Comp1 - Ave</t>
  </si>
  <si>
    <t>Comp2 - Ave</t>
  </si>
  <si>
    <t>Comp1 - Scaled</t>
  </si>
  <si>
    <t>Comp3 - Ave</t>
  </si>
  <si>
    <t>Comp3 - Scaled</t>
  </si>
  <si>
    <t>Comp2 - Scaled</t>
  </si>
  <si>
    <t>OwnSol - Person1</t>
  </si>
  <si>
    <t>OwnSol - Person2</t>
  </si>
  <si>
    <t>OwnSol - Person3</t>
  </si>
  <si>
    <t>OwnSol - Ave</t>
  </si>
  <si>
    <t>OwnSol - Scaled</t>
  </si>
  <si>
    <t>Comp1</t>
  </si>
  <si>
    <t>Comp2</t>
  </si>
  <si>
    <t>Comp3</t>
  </si>
  <si>
    <t>Parameters</t>
  </si>
  <si>
    <t>Plot Data</t>
  </si>
  <si>
    <t>Price</t>
  </si>
  <si>
    <t>Average Performance</t>
  </si>
  <si>
    <t>Average</t>
  </si>
  <si>
    <t>Sum Performance</t>
  </si>
  <si>
    <t>Fair Value Line (performance per price unit)</t>
  </si>
  <si>
    <t>Performance @ Zero price</t>
  </si>
  <si>
    <t>Lower Perf Diff from Ave</t>
  </si>
  <si>
    <t>Upper Perf diff from Ave</t>
  </si>
  <si>
    <t>Average Line</t>
  </si>
  <si>
    <t>Fair Value Plot (0.75 of min)</t>
  </si>
  <si>
    <t>Fair Value Plot (1.25 of max)</t>
  </si>
  <si>
    <t>Fair Value</t>
  </si>
  <si>
    <t>Performance</t>
  </si>
  <si>
    <t>Own Solution</t>
  </si>
  <si>
    <t>Element 1</t>
  </si>
  <si>
    <t>Element 2</t>
  </si>
  <si>
    <t>Element 3</t>
  </si>
  <si>
    <t>Element 4</t>
  </si>
  <si>
    <t>Element 5</t>
  </si>
  <si>
    <t>Element 6</t>
  </si>
  <si>
    <t>Element 7</t>
  </si>
  <si>
    <t>Element 8</t>
  </si>
  <si>
    <t>Element 9</t>
  </si>
  <si>
    <t>Element 10</t>
  </si>
  <si>
    <t>Sum Check</t>
  </si>
  <si>
    <t>Step 4</t>
  </si>
  <si>
    <t>A) Assess the RC and NRC cost of each element.
B) Normalise to a 0-10 scoring, anchored to the Maximum point</t>
  </si>
  <si>
    <t>NRC</t>
  </si>
  <si>
    <t>NRC%</t>
  </si>
  <si>
    <t>RC%</t>
  </si>
  <si>
    <t>TOTAL</t>
  </si>
  <si>
    <t>RC (per single system/package)</t>
  </si>
  <si>
    <t>NRC_scaled</t>
  </si>
  <si>
    <t>RC_scaled</t>
  </si>
  <si>
    <t>Own Solution Performance</t>
  </si>
  <si>
    <t>Cost to Achieve (RC)</t>
  </si>
  <si>
    <t>Cost to Achieve (NRC)</t>
  </si>
  <si>
    <t>Plot</t>
  </si>
  <si>
    <t>Client Value</t>
  </si>
  <si>
    <t>UPFRONT WORK</t>
  </si>
  <si>
    <t>THE GENERAL PROCESS</t>
  </si>
  <si>
    <t>COLOUR CODING</t>
  </si>
  <si>
    <t>WARNING</t>
  </si>
  <si>
    <t>Most, if not all of the sheets inter-relate to each other.</t>
  </si>
  <si>
    <t>Therefore be careful when editing formulas</t>
  </si>
  <si>
    <t>And be aware that data in one sheet, feeds the outputs of the next.</t>
  </si>
  <si>
    <t>User editable data, this needs updating as required</t>
  </si>
  <si>
    <t>Column headings fetching data from another sheet</t>
  </si>
  <si>
    <t>Calculation Columns</t>
  </si>
  <si>
    <t>Calcs</t>
  </si>
  <si>
    <t>Heading</t>
  </si>
  <si>
    <t>Update</t>
  </si>
  <si>
    <t>Decide how many competitors, the default is 3.</t>
  </si>
  <si>
    <t>Decide if appropriate to consider Must Have vs Should Have Buy Factors</t>
  </si>
  <si>
    <t>Decide how many people should be involved "the D2V team"</t>
  </si>
  <si>
    <t>Cost Aspect</t>
  </si>
  <si>
    <t>BF ID</t>
  </si>
  <si>
    <t>RC_BF Scaled</t>
  </si>
  <si>
    <t>NRC_BF Scaled</t>
  </si>
  <si>
    <t>NRC Element Sumproduct</t>
  </si>
  <si>
    <t>RC Element Sumproduct</t>
  </si>
  <si>
    <t>Must Add to 100% in Sum Check rows</t>
  </si>
  <si>
    <t>Instructional text for User to fill out</t>
  </si>
  <si>
    <t>Instruction</t>
  </si>
  <si>
    <t>Performance Less than Client Value</t>
  </si>
  <si>
    <t>GOOD</t>
  </si>
  <si>
    <t>IMPROVEMENTS?</t>
  </si>
  <si>
    <t>Disproportionate NRC for Client Value</t>
  </si>
  <si>
    <t>Disproportionate RC for Client Value</t>
  </si>
  <si>
    <t>High NRC Low Performace</t>
  </si>
  <si>
    <t>High RC Low Performace</t>
  </si>
  <si>
    <t>Nugatory Performance at high cost (1.5x)</t>
  </si>
  <si>
    <t>Performance meeting or exceeding value at fair cost</t>
  </si>
  <si>
    <t>High Customer Value at Low Cost (2x)</t>
  </si>
  <si>
    <t>High Performance at Low RC Cost (3x)</t>
  </si>
  <si>
    <t>High Performance at Low NRC Cost (3x)</t>
  </si>
  <si>
    <t>CONCLUSIONS AND NEXT STEPS</t>
  </si>
  <si>
    <t>This analysis is not intented to give all the answers but does help identify where one might focus attention (i.e. low client importance but high incurred costs).</t>
  </si>
  <si>
    <t>Therefore, any conclusions from the normalised scoring in this analysis should always be check ages the absolute figures before acting.</t>
  </si>
  <si>
    <t>Decide how many Elements of the product/service/system, the default is 10.</t>
  </si>
  <si>
    <t>Update sheets, cell ranges and plot ranges accordingly. Where possible this has been done automatically however some manual cell ranges do exist.</t>
  </si>
  <si>
    <t>Value Map</t>
  </si>
  <si>
    <t>D2V Summary</t>
  </si>
  <si>
    <t>A chart sheet to help analyse the market option using the competitor analysis in previous sheets.</t>
  </si>
  <si>
    <t>A) determine the customer/markets Acquistion Factors
B) Get a group of people to score them in terms of value-importance
C) OPTIONAL - decide if the Acquistion Factors are Must Haves or Should Haves.</t>
  </si>
  <si>
    <t>A) Assess competitior solutions' performance against the Acquistion Factors.
B) Assess own performance against the Acquistion Factors
C) Normalise to a 0-10 scoring, anchored to the Maximum point of your Own Solution</t>
  </si>
  <si>
    <t xml:space="preserve">A) Breakdown own solution into significant elements/blocks
B) Assess the contribution percentage of each block to the Acquistion Factors.
</t>
  </si>
  <si>
    <t>Decide how many Acquistion Factors, the default is 15.</t>
  </si>
  <si>
    <t xml:space="preserve">This sheet is based on a single market assuming all customers have similar Acquistion Factors. 
Where multiple markets want to be assessed or with multiple customers with different Acquistion Factors, then this can be catered for. </t>
  </si>
  <si>
    <t>KAF1</t>
  </si>
  <si>
    <t>KAF2</t>
  </si>
  <si>
    <t>KAF3</t>
  </si>
  <si>
    <t>KAF4</t>
  </si>
  <si>
    <t>KAF5</t>
  </si>
  <si>
    <t>KAF6</t>
  </si>
  <si>
    <t>KAF7</t>
  </si>
  <si>
    <t>KAF8</t>
  </si>
  <si>
    <t>KAF9</t>
  </si>
  <si>
    <t>KAF10</t>
  </si>
  <si>
    <t>KAF11</t>
  </si>
  <si>
    <t>KAF12</t>
  </si>
  <si>
    <t>KAF13</t>
  </si>
  <si>
    <t>KAF14</t>
  </si>
  <si>
    <t>KAF15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</si>
</sst>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£&quot;* #,##0.00_-;\-&quot;£&quot;* #,##0.00_-;_-&quot;£&quot;* &quot;-&quot;??_-;_-@_-"/>
    <numFmt numFmtId="164" formatCode="0.0"/>
    <numFmt numFmtId="165" formatCode="0.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A7D00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5" borderId="1" applyNumberFormat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164" fontId="0" fillId="0" borderId="0" xfId="0" applyNumberFormat="1"/>
    <xf numFmtId="0" fontId="0" fillId="0" borderId="0" xfId="0" applyAlignment="1">
      <alignment horizontal="left" vertical="top"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1" fillId="4" borderId="2" xfId="0" applyFont="1" applyFill="1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4" borderId="2" xfId="0" applyFill="1" applyBorder="1" applyAlignment="1">
      <alignment wrapText="1"/>
    </xf>
    <xf numFmtId="9" fontId="0" fillId="0" borderId="0" xfId="2" applyFont="1"/>
    <xf numFmtId="2" fontId="0" fillId="0" borderId="0" xfId="0" applyNumberFormat="1"/>
    <xf numFmtId="164" fontId="0" fillId="0" borderId="2" xfId="0" applyNumberFormat="1" applyBorder="1"/>
    <xf numFmtId="2" fontId="0" fillId="0" borderId="2" xfId="0" applyNumberFormat="1" applyBorder="1"/>
    <xf numFmtId="0" fontId="0" fillId="8" borderId="0" xfId="0" applyFill="1" applyAlignment="1">
      <alignment horizontal="left" vertical="top"/>
    </xf>
    <xf numFmtId="0" fontId="3" fillId="5" borderId="1" xfId="3" applyAlignment="1">
      <alignment horizontal="left" vertical="top"/>
    </xf>
    <xf numFmtId="0" fontId="6" fillId="9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8" borderId="0" xfId="0" applyFill="1"/>
    <xf numFmtId="0" fontId="0" fillId="9" borderId="0" xfId="0" applyFill="1" applyAlignment="1">
      <alignment wrapText="1"/>
    </xf>
    <xf numFmtId="0" fontId="0" fillId="9" borderId="0" xfId="0" applyFill="1"/>
    <xf numFmtId="10" fontId="0" fillId="8" borderId="2" xfId="0" applyNumberFormat="1" applyFill="1" applyBorder="1"/>
    <xf numFmtId="0" fontId="0" fillId="8" borderId="2" xfId="0" applyFill="1" applyBorder="1"/>
    <xf numFmtId="9" fontId="0" fillId="8" borderId="0" xfId="2" applyFont="1" applyFill="1"/>
    <xf numFmtId="0" fontId="6" fillId="9" borderId="2" xfId="0" applyFont="1" applyFill="1" applyBorder="1" applyAlignment="1">
      <alignment wrapText="1"/>
    </xf>
    <xf numFmtId="0" fontId="3" fillId="5" borderId="1" xfId="3"/>
    <xf numFmtId="0" fontId="1" fillId="6" borderId="2" xfId="0" applyFont="1" applyFill="1" applyBorder="1"/>
    <xf numFmtId="44" fontId="0" fillId="0" borderId="2" xfId="0" applyNumberFormat="1" applyBorder="1"/>
    <xf numFmtId="10" fontId="0" fillId="0" borderId="2" xfId="2" applyNumberFormat="1" applyFont="1" applyBorder="1"/>
    <xf numFmtId="165" fontId="0" fillId="0" borderId="2" xfId="1" applyNumberFormat="1" applyFont="1" applyBorder="1"/>
    <xf numFmtId="44" fontId="0" fillId="8" borderId="2" xfId="1" applyFont="1" applyFill="1" applyBorder="1"/>
    <xf numFmtId="0" fontId="3" fillId="5" borderId="1" xfId="3" applyAlignment="1">
      <alignment wrapText="1"/>
    </xf>
    <xf numFmtId="0" fontId="4" fillId="9" borderId="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5" fillId="0" borderId="0" xfId="0" applyFont="1"/>
    <xf numFmtId="0" fontId="9" fillId="5" borderId="1" xfId="3" applyFont="1" applyAlignment="1">
      <alignment horizontal="left" vertical="top" wrapText="1"/>
    </xf>
    <xf numFmtId="0" fontId="10" fillId="7" borderId="0" xfId="0" applyFont="1" applyFill="1" applyAlignment="1">
      <alignment wrapText="1"/>
    </xf>
    <xf numFmtId="0" fontId="0" fillId="7" borderId="0" xfId="0" applyFill="1" applyAlignment="1">
      <alignment vertical="center" textRotation="90" wrapText="1"/>
    </xf>
    <xf numFmtId="0" fontId="10" fillId="7" borderId="0" xfId="0" applyFont="1" applyFill="1" applyAlignment="1">
      <alignment vertical="center" textRotation="90" wrapText="1"/>
    </xf>
    <xf numFmtId="0" fontId="0" fillId="10" borderId="0" xfId="0" applyFill="1" applyAlignment="1">
      <alignment vertical="center" textRotation="90" wrapText="1"/>
    </xf>
    <xf numFmtId="0" fontId="10" fillId="10" borderId="0" xfId="0" applyFont="1" applyFill="1" applyAlignment="1">
      <alignment wrapText="1"/>
    </xf>
    <xf numFmtId="0" fontId="9" fillId="5" borderId="1" xfId="3" applyFont="1" applyAlignment="1">
      <alignment wrapText="1"/>
    </xf>
    <xf numFmtId="0" fontId="0" fillId="0" borderId="0" xfId="0" applyAlignment="1">
      <alignment horizontal="left" vertical="top" wrapText="1"/>
    </xf>
  </cellXfs>
  <cellStyles count="4">
    <cellStyle name="Calculation" xfId="3" builtinId="22"/>
    <cellStyle name="Currency" xfId="1" builtinId="4"/>
    <cellStyle name="Normal" xfId="0" builtinId="0"/>
    <cellStyle name="Percent" xfId="2" builtinId="5"/>
  </cellStyles>
  <dxfs count="37">
    <dxf>
      <numFmt numFmtId="13" formatCode="0%"/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  <fill>
        <patternFill patternType="solid">
          <fgColor indexed="64"/>
          <bgColor rgb="FFFFFF00"/>
        </patternFill>
      </fill>
    </dxf>
    <dxf>
      <numFmt numFmtId="164" formatCode="0.0"/>
      <fill>
        <patternFill patternType="solid">
          <fgColor indexed="64"/>
          <bgColor rgb="FFFFFF00"/>
        </patternFill>
      </fill>
    </dxf>
    <dxf>
      <numFmt numFmtId="164" formatCode="0.0"/>
      <fill>
        <patternFill patternType="solid">
          <fgColor indexed="64"/>
          <bgColor rgb="FFFFFF00"/>
        </patternFill>
      </fill>
    </dxf>
    <dxf>
      <numFmt numFmtId="164" formatCode="0.0"/>
    </dxf>
    <dxf>
      <alignment horizontal="general" vertical="bottom" textRotation="0" wrapText="1" indent="0" justifyLastLine="0" shrinkToFit="0" readingOrder="0"/>
    </dxf>
    <dxf>
      <numFmt numFmtId="164" formatCode="0.0"/>
    </dxf>
    <dxf>
      <numFmt numFmtId="2" formatCode="0.00"/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chartsheet" Target="chartsheets/sheet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Value Map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'Step 3'!$A$8</c:f>
              <c:strCache>
                <c:ptCount val="1"/>
                <c:pt idx="0">
                  <c:v>Comp3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'Step 3'!$F$8</c:f>
                <c:numCache>
                  <c:formatCode>General</c:formatCode>
                  <c:ptCount val="1"/>
                  <c:pt idx="0">
                    <c:v>3.333333333333333</c:v>
                  </c:pt>
                </c:numCache>
              </c:numRef>
            </c:plus>
            <c:minus>
              <c:numRef>
                <c:f>'Step 3'!$E$8</c:f>
                <c:numCache>
                  <c:formatCode>General</c:formatCode>
                  <c:ptCount val="1"/>
                  <c:pt idx="0">
                    <c:v>5.8333333333333339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'Step 3'!$B$8</c:f>
              <c:numCache>
                <c:formatCode>General</c:formatCode>
                <c:ptCount val="1"/>
                <c:pt idx="0">
                  <c:v>86</c:v>
                </c:pt>
              </c:numCache>
            </c:numRef>
          </c:xVal>
          <c:yVal>
            <c:numRef>
              <c:f>'Step 3'!$C$8</c:f>
              <c:numCache>
                <c:formatCode>General</c:formatCode>
                <c:ptCount val="1"/>
                <c:pt idx="0">
                  <c:v>6.2500000000000009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07-4533-865F-4B9E7377696F}"/>
            </c:ext>
          </c:extLst>
        </c:ser>
        <c:ser>
          <c:idx val="1"/>
          <c:order val="1"/>
          <c:tx>
            <c:strRef>
              <c:f>'Step 3'!$A$9</c:f>
              <c:strCache>
                <c:ptCount val="1"/>
                <c:pt idx="0">
                  <c:v>Comp1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'Step 3'!$F$9</c:f>
                <c:numCache>
                  <c:formatCode>General</c:formatCode>
                  <c:ptCount val="1"/>
                  <c:pt idx="0">
                    <c:v>4.6666666666666679</c:v>
                  </c:pt>
                </c:numCache>
              </c:numRef>
            </c:plus>
            <c:minus>
              <c:numRef>
                <c:f>'Step 3'!$E$9</c:f>
                <c:numCache>
                  <c:formatCode>General</c:formatCode>
                  <c:ptCount val="1"/>
                  <c:pt idx="0">
                    <c:v>4.9166666666666661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'Step 3'!$B$9</c:f>
              <c:numCache>
                <c:formatCode>General</c:formatCode>
                <c:ptCount val="1"/>
                <c:pt idx="0">
                  <c:v>100</c:v>
                </c:pt>
              </c:numCache>
            </c:numRef>
          </c:xVal>
          <c:yVal>
            <c:numRef>
              <c:f>'Step 3'!$C$9</c:f>
              <c:numCache>
                <c:formatCode>General</c:formatCode>
                <c:ptCount val="1"/>
                <c:pt idx="0">
                  <c:v>6.5833333333333321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07-4533-865F-4B9E7377696F}"/>
            </c:ext>
          </c:extLst>
        </c:ser>
        <c:ser>
          <c:idx val="2"/>
          <c:order val="2"/>
          <c:tx>
            <c:strRef>
              <c:f>'Step 3'!$A$10</c:f>
              <c:strCache>
                <c:ptCount val="1"/>
                <c:pt idx="0">
                  <c:v>Comp2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'Step 3'!$F$10</c:f>
                <c:numCache>
                  <c:formatCode>General</c:formatCode>
                  <c:ptCount val="1"/>
                  <c:pt idx="0">
                    <c:v>2.8611111111111125</c:v>
                  </c:pt>
                </c:numCache>
              </c:numRef>
            </c:plus>
            <c:minus>
              <c:numRef>
                <c:f>'Step 3'!$E$10</c:f>
                <c:numCache>
                  <c:formatCode>General</c:formatCode>
                  <c:ptCount val="1"/>
                  <c:pt idx="0">
                    <c:v>4.6388888888888875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'Step 3'!$B$10</c:f>
              <c:numCache>
                <c:formatCode>General</c:formatCode>
                <c:ptCount val="1"/>
                <c:pt idx="0">
                  <c:v>120</c:v>
                </c:pt>
              </c:numCache>
            </c:numRef>
          </c:xVal>
          <c:yVal>
            <c:numRef>
              <c:f>'Step 3'!$C$10</c:f>
              <c:numCache>
                <c:formatCode>General</c:formatCode>
                <c:ptCount val="1"/>
                <c:pt idx="0">
                  <c:v>7.1388888888888875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07-4533-865F-4B9E7377696F}"/>
            </c:ext>
          </c:extLst>
        </c:ser>
        <c:ser>
          <c:idx val="3"/>
          <c:order val="3"/>
          <c:tx>
            <c:strRef>
              <c:f>'Step 3'!$A$11</c:f>
              <c:strCache>
                <c:ptCount val="1"/>
                <c:pt idx="0">
                  <c:v>Own Solution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'Step 3'!$F$11</c:f>
                <c:numCache>
                  <c:formatCode>General</c:formatCode>
                  <c:ptCount val="1"/>
                  <c:pt idx="0">
                    <c:v>2.7777777777777777</c:v>
                  </c:pt>
                </c:numCache>
              </c:numRef>
            </c:plus>
            <c:minus>
              <c:numRef>
                <c:f>'Step 3'!$E$11</c:f>
                <c:numCache>
                  <c:formatCode>General</c:formatCode>
                  <c:ptCount val="1"/>
                  <c:pt idx="0">
                    <c:v>4.7222222222222223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'Step 3'!$B$11</c:f>
              <c:numCache>
                <c:formatCode>General</c:formatCode>
                <c:ptCount val="1"/>
                <c:pt idx="0">
                  <c:v>130</c:v>
                </c:pt>
              </c:numCache>
            </c:numRef>
          </c:xVal>
          <c:yVal>
            <c:numRef>
              <c:f>'Step 3'!$C$11</c:f>
              <c:numCache>
                <c:formatCode>General</c:formatCode>
                <c:ptCount val="1"/>
                <c:pt idx="0">
                  <c:v>7.2222222222222223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07-4533-865F-4B9E7377696F}"/>
            </c:ext>
          </c:extLst>
        </c:ser>
        <c:ser>
          <c:idx val="4"/>
          <c:order val="4"/>
          <c:tx>
            <c:v>FairValue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'Step 3'!$B$17:$B$18</c:f>
              <c:numCache>
                <c:formatCode>General</c:formatCode>
                <c:ptCount val="2"/>
                <c:pt idx="0">
                  <c:v>64.5</c:v>
                </c:pt>
                <c:pt idx="1">
                  <c:v>162.5</c:v>
                </c:pt>
              </c:numCache>
            </c:numRef>
          </c:xVal>
          <c:yVal>
            <c:numRef>
              <c:f>'Step 3'!$C$17:$C$18</c:f>
              <c:numCache>
                <c:formatCode>General</c:formatCode>
                <c:ptCount val="2"/>
                <c:pt idx="0">
                  <c:v>3.8699999999999997</c:v>
                </c:pt>
                <c:pt idx="1">
                  <c:v>9.75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07-4533-865F-4B9E73776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909408"/>
        <c:axId val="147909736"/>
      </c:scatterChart>
      <c:valAx>
        <c:axId val="147909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Price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09736"/>
        <c:crosses val="autoZero"/>
        <c:crossBetween val="midCat"/>
      </c:valAx>
      <c:valAx>
        <c:axId val="14790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Performance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09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Design</a:t>
            </a:r>
            <a:r>
              <a:rPr lang="en-GB" baseline="0"/>
              <a:t> to Value Summary Chart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'Step 6'!$D$1</c:f>
              <c:strCache>
                <c:ptCount val="1"/>
                <c:pt idx="0">
                  <c:v>Client Value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'Step 6'!$C$2:$C$16</c:f>
              <c:strCache>
                <c:ptCount val="15"/>
                <c:pt idx="0">
                  <c:v>KAF1 - 0</c:v>
                </c:pt>
                <c:pt idx="1">
                  <c:v>KAF2 - 0</c:v>
                </c:pt>
                <c:pt idx="2">
                  <c:v>KAF3 - 0</c:v>
                </c:pt>
                <c:pt idx="3">
                  <c:v>KAF4 - 0</c:v>
                </c:pt>
                <c:pt idx="4">
                  <c:v>KAF5 - 0</c:v>
                </c:pt>
                <c:pt idx="5">
                  <c:v>KAF6 - 0</c:v>
                </c:pt>
                <c:pt idx="6">
                  <c:v>KAF7 - 0</c:v>
                </c:pt>
                <c:pt idx="7">
                  <c:v>KAF8 - 0</c:v>
                </c:pt>
                <c:pt idx="8">
                  <c:v>KAF9 - 0</c:v>
                </c:pt>
                <c:pt idx="9">
                  <c:v>KAF10 - 0</c:v>
                </c:pt>
                <c:pt idx="10">
                  <c:v>KAF11 - 0</c:v>
                </c:pt>
                <c:pt idx="11">
                  <c:v>KAF12 - 0</c:v>
                </c:pt>
                <c:pt idx="12">
                  <c:v>KAF13 - 0</c:v>
                </c:pt>
                <c:pt idx="13">
                  <c:v>KAF14 - 0</c:v>
                </c:pt>
                <c:pt idx="14">
                  <c:v>KAF15 - 0</c:v>
                </c:pt>
              </c:strCache>
            </c:strRef>
          </c:cat>
          <c:val>
            <c:numRef>
              <c:f>'Step 6'!$D$2:$D$16</c:f>
              <c:numCache>
                <c:formatCode>General</c:formatCode>
                <c:ptCount val="15"/>
                <c:pt idx="0">
                  <c:v>1.875</c:v>
                </c:pt>
                <c:pt idx="1">
                  <c:v>9.6875000000000018</c:v>
                </c:pt>
                <c:pt idx="2">
                  <c:v>10</c:v>
                </c:pt>
                <c:pt idx="3">
                  <c:v>5</c:v>
                </c:pt>
                <c:pt idx="4">
                  <c:v>6.2500000000000009</c:v>
                </c:pt>
                <c:pt idx="5">
                  <c:v>3.1250000000000004</c:v>
                </c:pt>
                <c:pt idx="6">
                  <c:v>6.875</c:v>
                </c:pt>
                <c:pt idx="7">
                  <c:v>8.125</c:v>
                </c:pt>
                <c:pt idx="8">
                  <c:v>9.375</c:v>
                </c:pt>
                <c:pt idx="9">
                  <c:v>6.2500000000000009</c:v>
                </c:pt>
                <c:pt idx="10">
                  <c:v>5.9375</c:v>
                </c:pt>
                <c:pt idx="11">
                  <c:v>7.8125000000000009</c:v>
                </c:pt>
                <c:pt idx="12">
                  <c:v>8.125</c:v>
                </c:pt>
                <c:pt idx="13">
                  <c:v>4.0625</c:v>
                </c:pt>
                <c:pt idx="14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26-4739-A77E-85F89FBACC44}"/>
            </c:ext>
          </c:extLst>
        </c:ser>
        <c:ser>
          <c:idx val="3"/>
          <c:order val="1"/>
          <c:tx>
            <c:strRef>
              <c:f>'Step 6'!$E$1</c:f>
              <c:strCache>
                <c:ptCount val="1"/>
                <c:pt idx="0">
                  <c:v>Own Solution Performance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'Step 6'!$C$2:$C$16</c:f>
              <c:strCache>
                <c:ptCount val="15"/>
                <c:pt idx="0">
                  <c:v>KAF1 - 0</c:v>
                </c:pt>
                <c:pt idx="1">
                  <c:v>KAF2 - 0</c:v>
                </c:pt>
                <c:pt idx="2">
                  <c:v>KAF3 - 0</c:v>
                </c:pt>
                <c:pt idx="3">
                  <c:v>KAF4 - 0</c:v>
                </c:pt>
                <c:pt idx="4">
                  <c:v>KAF5 - 0</c:v>
                </c:pt>
                <c:pt idx="5">
                  <c:v>KAF6 - 0</c:v>
                </c:pt>
                <c:pt idx="6">
                  <c:v>KAF7 - 0</c:v>
                </c:pt>
                <c:pt idx="7">
                  <c:v>KAF8 - 0</c:v>
                </c:pt>
                <c:pt idx="8">
                  <c:v>KAF9 - 0</c:v>
                </c:pt>
                <c:pt idx="9">
                  <c:v>KAF10 - 0</c:v>
                </c:pt>
                <c:pt idx="10">
                  <c:v>KAF11 - 0</c:v>
                </c:pt>
                <c:pt idx="11">
                  <c:v>KAF12 - 0</c:v>
                </c:pt>
                <c:pt idx="12">
                  <c:v>KAF13 - 0</c:v>
                </c:pt>
                <c:pt idx="13">
                  <c:v>KAF14 - 0</c:v>
                </c:pt>
                <c:pt idx="14">
                  <c:v>KAF15 - 0</c:v>
                </c:pt>
              </c:strCache>
            </c:strRef>
          </c:cat>
          <c:val>
            <c:numRef>
              <c:f>'Step 6'!$E$2:$E$16</c:f>
              <c:numCache>
                <c:formatCode>0.0</c:formatCode>
                <c:ptCount val="15"/>
                <c:pt idx="0">
                  <c:v>4.166666666666667</c:v>
                </c:pt>
                <c:pt idx="1">
                  <c:v>6.6666666666666661</c:v>
                </c:pt>
                <c:pt idx="2">
                  <c:v>2.5</c:v>
                </c:pt>
                <c:pt idx="3">
                  <c:v>7.9166666666666661</c:v>
                </c:pt>
                <c:pt idx="4">
                  <c:v>7.0833333333333339</c:v>
                </c:pt>
                <c:pt idx="5">
                  <c:v>7.5</c:v>
                </c:pt>
                <c:pt idx="6">
                  <c:v>5.4166666666666661</c:v>
                </c:pt>
                <c:pt idx="7">
                  <c:v>7.9166666666666661</c:v>
                </c:pt>
                <c:pt idx="8">
                  <c:v>7.5</c:v>
                </c:pt>
                <c:pt idx="9">
                  <c:v>9.1666666666666661</c:v>
                </c:pt>
                <c:pt idx="10">
                  <c:v>7.5</c:v>
                </c:pt>
                <c:pt idx="11">
                  <c:v>9.5833333333333339</c:v>
                </c:pt>
                <c:pt idx="12">
                  <c:v>10</c:v>
                </c:pt>
                <c:pt idx="13">
                  <c:v>10</c:v>
                </c:pt>
                <c:pt idx="14">
                  <c:v>5.4166666666666661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26-4739-A77E-85F89FBACC44}"/>
            </c:ext>
          </c:extLst>
        </c:ser>
        <c:ser>
          <c:idx val="4"/>
          <c:order val="2"/>
          <c:tx>
            <c:strRef>
              <c:f>'Step 6'!$F$1</c:f>
              <c:strCache>
                <c:ptCount val="1"/>
                <c:pt idx="0">
                  <c:v>Cost to Achieve (NRC)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'Step 6'!$C$2:$C$16</c:f>
              <c:strCache>
                <c:ptCount val="15"/>
                <c:pt idx="0">
                  <c:v>KAF1 - 0</c:v>
                </c:pt>
                <c:pt idx="1">
                  <c:v>KAF2 - 0</c:v>
                </c:pt>
                <c:pt idx="2">
                  <c:v>KAF3 - 0</c:v>
                </c:pt>
                <c:pt idx="3">
                  <c:v>KAF4 - 0</c:v>
                </c:pt>
                <c:pt idx="4">
                  <c:v>KAF5 - 0</c:v>
                </c:pt>
                <c:pt idx="5">
                  <c:v>KAF6 - 0</c:v>
                </c:pt>
                <c:pt idx="6">
                  <c:v>KAF7 - 0</c:v>
                </c:pt>
                <c:pt idx="7">
                  <c:v>KAF8 - 0</c:v>
                </c:pt>
                <c:pt idx="8">
                  <c:v>KAF9 - 0</c:v>
                </c:pt>
                <c:pt idx="9">
                  <c:v>KAF10 - 0</c:v>
                </c:pt>
                <c:pt idx="10">
                  <c:v>KAF11 - 0</c:v>
                </c:pt>
                <c:pt idx="11">
                  <c:v>KAF12 - 0</c:v>
                </c:pt>
                <c:pt idx="12">
                  <c:v>KAF13 - 0</c:v>
                </c:pt>
                <c:pt idx="13">
                  <c:v>KAF14 - 0</c:v>
                </c:pt>
                <c:pt idx="14">
                  <c:v>KAF15 - 0</c:v>
                </c:pt>
              </c:strCache>
            </c:strRef>
          </c:cat>
          <c:val>
            <c:numRef>
              <c:f>'Step 6'!$F$2:$F$16</c:f>
              <c:numCache>
                <c:formatCode>0.00</c:formatCode>
                <c:ptCount val="15"/>
                <c:pt idx="0">
                  <c:v>10</c:v>
                </c:pt>
                <c:pt idx="1">
                  <c:v>3.1001575684777372</c:v>
                </c:pt>
                <c:pt idx="2">
                  <c:v>3.9203777954870036</c:v>
                </c:pt>
                <c:pt idx="3">
                  <c:v>5.6506890980877911</c:v>
                </c:pt>
                <c:pt idx="4">
                  <c:v>2.6961819762722161</c:v>
                </c:pt>
                <c:pt idx="5">
                  <c:v>2.2299494335179713</c:v>
                </c:pt>
                <c:pt idx="6">
                  <c:v>1.5043744067384692</c:v>
                </c:pt>
                <c:pt idx="7">
                  <c:v>6.2709472819363219</c:v>
                </c:pt>
                <c:pt idx="8">
                  <c:v>6.0498486932108717</c:v>
                </c:pt>
                <c:pt idx="9">
                  <c:v>1.2864616937852817</c:v>
                </c:pt>
                <c:pt idx="10">
                  <c:v>9.0936793236067448</c:v>
                </c:pt>
                <c:pt idx="11">
                  <c:v>7.2286911464482539</c:v>
                </c:pt>
                <c:pt idx="12">
                  <c:v>4.6619521059650255</c:v>
                </c:pt>
                <c:pt idx="13">
                  <c:v>6.9462904775035819</c:v>
                </c:pt>
                <c:pt idx="14">
                  <c:v>3.1877632028671097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26-4739-A77E-85F89FBACC44}"/>
            </c:ext>
          </c:extLst>
        </c:ser>
        <c:ser>
          <c:idx val="5"/>
          <c:order val="3"/>
          <c:tx>
            <c:strRef>
              <c:f>'Step 6'!$G$1</c:f>
              <c:strCache>
                <c:ptCount val="1"/>
                <c:pt idx="0">
                  <c:v>Cost to Achieve (RC)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'Step 6'!$C$2:$C$16</c:f>
              <c:strCache>
                <c:ptCount val="15"/>
                <c:pt idx="0">
                  <c:v>KAF1 - 0</c:v>
                </c:pt>
                <c:pt idx="1">
                  <c:v>KAF2 - 0</c:v>
                </c:pt>
                <c:pt idx="2">
                  <c:v>KAF3 - 0</c:v>
                </c:pt>
                <c:pt idx="3">
                  <c:v>KAF4 - 0</c:v>
                </c:pt>
                <c:pt idx="4">
                  <c:v>KAF5 - 0</c:v>
                </c:pt>
                <c:pt idx="5">
                  <c:v>KAF6 - 0</c:v>
                </c:pt>
                <c:pt idx="6">
                  <c:v>KAF7 - 0</c:v>
                </c:pt>
                <c:pt idx="7">
                  <c:v>KAF8 - 0</c:v>
                </c:pt>
                <c:pt idx="8">
                  <c:v>KAF9 - 0</c:v>
                </c:pt>
                <c:pt idx="9">
                  <c:v>KAF10 - 0</c:v>
                </c:pt>
                <c:pt idx="10">
                  <c:v>KAF11 - 0</c:v>
                </c:pt>
                <c:pt idx="11">
                  <c:v>KAF12 - 0</c:v>
                </c:pt>
                <c:pt idx="12">
                  <c:v>KAF13 - 0</c:v>
                </c:pt>
                <c:pt idx="13">
                  <c:v>KAF14 - 0</c:v>
                </c:pt>
                <c:pt idx="14">
                  <c:v>KAF15 - 0</c:v>
                </c:pt>
              </c:strCache>
            </c:strRef>
          </c:cat>
          <c:val>
            <c:numRef>
              <c:f>'Step 6'!$G$2:$G$16</c:f>
              <c:numCache>
                <c:formatCode>0.00</c:formatCode>
                <c:ptCount val="15"/>
                <c:pt idx="0">
                  <c:v>9.1793776693105542</c:v>
                </c:pt>
                <c:pt idx="1">
                  <c:v>3.312995729103112</c:v>
                </c:pt>
                <c:pt idx="2">
                  <c:v>4.4966442953020138</c:v>
                </c:pt>
                <c:pt idx="3">
                  <c:v>5.9426479560707755</c:v>
                </c:pt>
                <c:pt idx="4">
                  <c:v>2.7303233679072605</c:v>
                </c:pt>
                <c:pt idx="5">
                  <c:v>2.5930445393532642</c:v>
                </c:pt>
                <c:pt idx="6">
                  <c:v>1.8974984746796828</c:v>
                </c:pt>
                <c:pt idx="7">
                  <c:v>6.1470408785845017</c:v>
                </c:pt>
                <c:pt idx="8">
                  <c:v>7.1903599755948751</c:v>
                </c:pt>
                <c:pt idx="9">
                  <c:v>3.8346552776082978</c:v>
                </c:pt>
                <c:pt idx="10">
                  <c:v>10</c:v>
                </c:pt>
                <c:pt idx="11">
                  <c:v>5.6818181818181825</c:v>
                </c:pt>
                <c:pt idx="12">
                  <c:v>5.1250762660158644</c:v>
                </c:pt>
                <c:pt idx="13">
                  <c:v>5.1250762660158626</c:v>
                </c:pt>
                <c:pt idx="14">
                  <c:v>5.0152532031726667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26-4739-A77E-85F89FBAC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3646168"/>
        <c:axId val="543641248"/>
      </c:barChart>
      <c:catAx>
        <c:axId val="543646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641248"/>
        <c:crosses val="autoZero"/>
        <c:auto val="1"/>
        <c:lblAlgn val="ctr"/>
        <c:lblOffset val="100"/>
        <c:noMultiLvlLbl val="0"/>
      </c:catAx>
      <c:valAx>
        <c:axId val="54364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Relative</a:t>
                </a:r>
                <a:r>
                  <a:rPr lang="en-GB" baseline="0"/>
                  <a:t> Scale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6461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537" cy="60704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537" cy="60704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BuyFactors" displayName="BuyFactors" ref="A1:H17" totalsRowCount="1">
  <autoFilter ref="A1:H16"/>
  <tableColumns count="8">
    <tableColumn id="1" name="ID" totalsRowLabel="Total"/>
    <tableColumn id="2" name="Title" dataDxfId="36"/>
    <tableColumn id="3" name="Type" totalsRowFunction="count" dataDxfId="35"/>
    <tableColumn id="4" name="Importance Ranking - Person 1" totalsRowFunction="sum" dataDxfId="34"/>
    <tableColumn id="5" name="Importance Ranking - Person 2" totalsRowFunction="sum" dataDxfId="33"/>
    <tableColumn id="6" name="Importance Ranking - Person 3" totalsRowFunction="sum" dataDxfId="32"/>
    <tableColumn id="9" name="Importance - Averaged" dataDxfId="31">
      <calculatedColumnFormula>AVERAGE(BuyFactors[[#This Row],[Importance Ranking - Person 1]:[Importance Ranking - Person 3]])</calculatedColumnFormula>
    </tableColumn>
    <tableColumn id="10" name="Importance - Scaled" dataDxfId="30">
      <calculatedColumnFormula>BuyFactors[[#This Row],[Importance - Averaged]]/MAX(BuyFactors[Importance - Averaged])*10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Ranking" displayName="Ranking" ref="A1:X17" totalsRowCount="1" headerRowDxfId="29">
  <autoFilter ref="A1:X16"/>
  <tableColumns count="24">
    <tableColumn id="1" name="ID" totalsRowLabel="Average">
      <calculatedColumnFormula>BuyFactors[#All]</calculatedColumnFormula>
    </tableColumn>
    <tableColumn id="2" name="Title">
      <calculatedColumnFormula>BuyFactors[#All]</calculatedColumnFormula>
    </tableColumn>
    <tableColumn id="3" name="Type">
      <calculatedColumnFormula>BuyFactors[#All]</calculatedColumnFormula>
    </tableColumn>
    <tableColumn id="4" name="Importance - Scaled" dataDxfId="28">
      <calculatedColumnFormula>BuyFactors[[#Data],[Importance - Scaled]]</calculatedColumnFormula>
    </tableColumn>
    <tableColumn id="20" name="OwnSol - Person1" totalsRowFunction="sum" dataDxfId="27"/>
    <tableColumn id="21" name="OwnSol - Person2" totalsRowFunction="sum" dataDxfId="26"/>
    <tableColumn id="22" name="OwnSol - Person3" totalsRowFunction="sum" dataDxfId="25"/>
    <tableColumn id="23" name="OwnSol - Ave" totalsRowFunction="average" dataDxfId="24" totalsRowDxfId="23">
      <calculatedColumnFormula>AVERAGE(Ranking[[#This Row],[OwnSol - Person1]:[OwnSol - Person3]])</calculatedColumnFormula>
    </tableColumn>
    <tableColumn id="24" name="OwnSol - Scaled" totalsRowFunction="average" dataDxfId="22" totalsRowDxfId="21">
      <calculatedColumnFormula>Ranking[[#This Row],[OwnSol - Ave]]/MAX(Ranking[OwnSol - Ave])*10</calculatedColumnFormula>
    </tableColumn>
    <tableColumn id="5" name="Comp1 - Person1" totalsRowFunction="sum" dataDxfId="20"/>
    <tableColumn id="6" name="Comp1 - Person2" totalsRowFunction="sum" dataDxfId="19"/>
    <tableColumn id="7" name="Comp1 - Person3" totalsRowFunction="sum" dataDxfId="18"/>
    <tableColumn id="14" name="Comp1 - Ave" totalsRowFunction="average" dataDxfId="17">
      <calculatedColumnFormula>AVERAGE(Ranking[[#This Row],[Comp1 - Person1]:[Comp1 - Person3]])</calculatedColumnFormula>
    </tableColumn>
    <tableColumn id="16" name="Comp1 - Scaled" totalsRowFunction="average" dataDxfId="16">
      <calculatedColumnFormula>Ranking[[#This Row],[Comp1 - Ave]]/MAX(Ranking[OwnSol - Ave])*10</calculatedColumnFormula>
    </tableColumn>
    <tableColumn id="8" name="Comp2 - Person1" totalsRowFunction="sum"/>
    <tableColumn id="9" name="Comp2 - Person2" totalsRowFunction="sum"/>
    <tableColumn id="10" name="Comp2 - Person3" totalsRowFunction="sum"/>
    <tableColumn id="15" name="Comp2 - Ave" totalsRowFunction="average" dataDxfId="15">
      <calculatedColumnFormula>AVERAGE(Ranking[[#This Row],[Comp2 - Person1]:[Comp2 - Person3]])</calculatedColumnFormula>
    </tableColumn>
    <tableColumn id="17" name="Comp2 - Scaled" totalsRowFunction="average" dataDxfId="14">
      <calculatedColumnFormula>Ranking[[#This Row],[Comp2 - Ave]]/MAX(Ranking[OwnSol - Ave])*10</calculatedColumnFormula>
    </tableColumn>
    <tableColumn id="11" name="Comp3 - Person1" totalsRowFunction="sum"/>
    <tableColumn id="12" name="Comp3 - Person2" totalsRowFunction="sum"/>
    <tableColumn id="18" name="Comp3 - Person3" totalsRowFunction="sum"/>
    <tableColumn id="19" name="Comp3 - Ave" totalsRowFunction="average" dataDxfId="13">
      <calculatedColumnFormula>AVERAGE(Ranking[[#This Row],[Comp3 - Person1]:[Comp3 - Person3]])</calculatedColumnFormula>
    </tableColumn>
    <tableColumn id="13" name="Comp3 - Scaled" totalsRowFunction="average" dataDxfId="12">
      <calculatedColumnFormula>Ranking[[#This Row],[Comp3 - Ave]]/MAX(Ranking[OwnSol - Ave])*10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ValueDist" displayName="ValueDist" ref="A1:N16" headerRowDxfId="11">
  <autoFilter ref="A1:N16"/>
  <tableColumns count="14">
    <tableColumn id="1" name="ID" totalsRowLabel="Total">
      <calculatedColumnFormula>BuyFactors[#All]</calculatedColumnFormula>
    </tableColumn>
    <tableColumn id="2" name="Title">
      <calculatedColumnFormula>BuyFactors[#All]</calculatedColumnFormula>
    </tableColumn>
    <tableColumn id="3" name="Type">
      <calculatedColumnFormula>BuyFactors[#All]</calculatedColumnFormula>
    </tableColumn>
    <tableColumn id="4" name="Element 1" totalsRowFunction="sum" dataDxfId="10" dataCellStyle="Percent"/>
    <tableColumn id="5" name="Element 2" totalsRowFunction="sum" dataDxfId="9" dataCellStyle="Percent"/>
    <tableColumn id="6" name="Element 3" totalsRowFunction="sum" dataDxfId="8" dataCellStyle="Percent"/>
    <tableColumn id="7" name="Element 4" totalsRowFunction="sum" dataDxfId="7" dataCellStyle="Percent"/>
    <tableColumn id="8" name="Element 5" totalsRowFunction="sum" dataDxfId="6" dataCellStyle="Percent"/>
    <tableColumn id="9" name="Element 6" totalsRowFunction="sum" dataDxfId="5" dataCellStyle="Percent"/>
    <tableColumn id="10" name="Element 7" totalsRowFunction="sum" dataDxfId="4" dataCellStyle="Percent"/>
    <tableColumn id="11" name="Element 8" totalsRowFunction="sum" dataDxfId="3" dataCellStyle="Percent"/>
    <tableColumn id="12" name="Element 9" totalsRowFunction="sum" dataDxfId="2" dataCellStyle="Percent"/>
    <tableColumn id="13" name="Element 10" totalsRowFunction="sum" dataDxfId="1" dataCellStyle="Percent"/>
    <tableColumn id="14" name="Sum Check" dataDxfId="0" dataCellStyle="Percent">
      <calculatedColumnFormula>SUM(ValueDist[[#This Row],[Element 1]:[Element 10]])</calculatedColumnFormula>
    </tableColumn>
  </tableColumns>
  <tableStyleInfo name="TableStyleMedium2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4"/>
  <sheetViews>
    <sheetView tabSelected="1" topLeftCell="A13" workbookViewId="0">
      <selection activeCell="H13" sqref="H13"/>
    </sheetView>
  </sheetViews>
  <sheetFormatPr defaultRowHeight="15" x14ac:dyDescent="0.25"/>
  <cols>
    <col min="2" max="2" width="11.42578125" style="2" customWidth="1"/>
    <col min="3" max="3" width="79.5703125" style="4" customWidth="1"/>
  </cols>
  <sheetData>
    <row r="2" spans="2:3" x14ac:dyDescent="0.25">
      <c r="B2" s="19" t="s">
        <v>80</v>
      </c>
    </row>
    <row r="3" spans="2:3" x14ac:dyDescent="0.25">
      <c r="B3" s="19"/>
      <c r="C3" s="4" t="s">
        <v>95</v>
      </c>
    </row>
    <row r="4" spans="2:3" x14ac:dyDescent="0.25">
      <c r="C4" s="4" t="s">
        <v>93</v>
      </c>
    </row>
    <row r="5" spans="2:3" x14ac:dyDescent="0.25">
      <c r="C5" s="4" t="s">
        <v>128</v>
      </c>
    </row>
    <row r="6" spans="2:3" x14ac:dyDescent="0.25">
      <c r="C6" s="4" t="s">
        <v>120</v>
      </c>
    </row>
    <row r="7" spans="2:3" x14ac:dyDescent="0.25">
      <c r="C7" s="4" t="s">
        <v>94</v>
      </c>
    </row>
    <row r="8" spans="2:3" ht="30" x14ac:dyDescent="0.25">
      <c r="C8" s="4" t="s">
        <v>121</v>
      </c>
    </row>
    <row r="10" spans="2:3" x14ac:dyDescent="0.25">
      <c r="B10" s="19" t="s">
        <v>117</v>
      </c>
    </row>
    <row r="11" spans="2:3" ht="30" x14ac:dyDescent="0.25">
      <c r="C11" s="4" t="s">
        <v>118</v>
      </c>
    </row>
    <row r="12" spans="2:3" ht="30" x14ac:dyDescent="0.25">
      <c r="C12" s="4" t="s">
        <v>119</v>
      </c>
    </row>
    <row r="13" spans="2:3" ht="45.95" customHeight="1" x14ac:dyDescent="0.25">
      <c r="B13" s="44" t="s">
        <v>129</v>
      </c>
      <c r="C13" s="44"/>
    </row>
    <row r="15" spans="2:3" x14ac:dyDescent="0.25">
      <c r="B15" s="19" t="s">
        <v>82</v>
      </c>
    </row>
    <row r="16" spans="2:3" x14ac:dyDescent="0.25">
      <c r="B16" s="16" t="s">
        <v>92</v>
      </c>
      <c r="C16" s="4" t="s">
        <v>87</v>
      </c>
    </row>
    <row r="17" spans="2:3" x14ac:dyDescent="0.25">
      <c r="B17" s="18" t="s">
        <v>91</v>
      </c>
      <c r="C17" s="4" t="s">
        <v>88</v>
      </c>
    </row>
    <row r="18" spans="2:3" x14ac:dyDescent="0.25">
      <c r="B18" s="17" t="s">
        <v>90</v>
      </c>
      <c r="C18" s="4" t="s">
        <v>89</v>
      </c>
    </row>
    <row r="19" spans="2:3" x14ac:dyDescent="0.25">
      <c r="B19" s="36" t="s">
        <v>104</v>
      </c>
      <c r="C19" s="4" t="s">
        <v>103</v>
      </c>
    </row>
    <row r="21" spans="2:3" x14ac:dyDescent="0.25">
      <c r="B21" s="19" t="s">
        <v>83</v>
      </c>
    </row>
    <row r="22" spans="2:3" x14ac:dyDescent="0.25">
      <c r="C22" s="4" t="s">
        <v>84</v>
      </c>
    </row>
    <row r="23" spans="2:3" x14ac:dyDescent="0.25">
      <c r="C23" s="4" t="s">
        <v>85</v>
      </c>
    </row>
    <row r="24" spans="2:3" x14ac:dyDescent="0.25">
      <c r="C24" s="4" t="s">
        <v>86</v>
      </c>
    </row>
    <row r="26" spans="2:3" x14ac:dyDescent="0.25">
      <c r="B26" s="19" t="s">
        <v>81</v>
      </c>
    </row>
    <row r="27" spans="2:3" ht="45" x14ac:dyDescent="0.25">
      <c r="B27" s="2" t="s">
        <v>0</v>
      </c>
      <c r="C27" s="4" t="s">
        <v>125</v>
      </c>
    </row>
    <row r="28" spans="2:3" ht="45" x14ac:dyDescent="0.25">
      <c r="B28" s="2" t="s">
        <v>1</v>
      </c>
      <c r="C28" s="4" t="s">
        <v>126</v>
      </c>
    </row>
    <row r="29" spans="2:3" ht="30" x14ac:dyDescent="0.25">
      <c r="B29" s="2" t="s">
        <v>2</v>
      </c>
      <c r="C29" s="4" t="s">
        <v>6</v>
      </c>
    </row>
    <row r="30" spans="2:3" ht="30" x14ac:dyDescent="0.25">
      <c r="B30" s="2" t="s">
        <v>122</v>
      </c>
      <c r="C30" s="4" t="s">
        <v>124</v>
      </c>
    </row>
    <row r="31" spans="2:3" ht="45" x14ac:dyDescent="0.25">
      <c r="B31" s="2" t="s">
        <v>66</v>
      </c>
      <c r="C31" s="4" t="s">
        <v>127</v>
      </c>
    </row>
    <row r="32" spans="2:3" ht="30" x14ac:dyDescent="0.25">
      <c r="B32" s="2" t="s">
        <v>3</v>
      </c>
      <c r="C32" s="4" t="s">
        <v>67</v>
      </c>
    </row>
    <row r="33" spans="2:3" ht="30" x14ac:dyDescent="0.25">
      <c r="B33" s="2" t="s">
        <v>4</v>
      </c>
      <c r="C33" s="4" t="s">
        <v>5</v>
      </c>
    </row>
    <row r="34" spans="2:3" x14ac:dyDescent="0.25">
      <c r="B34" s="2" t="s">
        <v>123</v>
      </c>
    </row>
  </sheetData>
  <mergeCells count="1">
    <mergeCell ref="B13:C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2" sqref="A2:A16"/>
    </sheetView>
  </sheetViews>
  <sheetFormatPr defaultRowHeight="15" x14ac:dyDescent="0.25"/>
  <cols>
    <col min="2" max="2" width="24" customWidth="1"/>
    <col min="3" max="3" width="10.7109375" customWidth="1"/>
  </cols>
  <sheetData>
    <row r="1" spans="1:8" x14ac:dyDescent="0.25">
      <c r="A1" t="s">
        <v>7</v>
      </c>
      <c r="B1" t="s">
        <v>8</v>
      </c>
      <c r="C1" t="s">
        <v>15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</row>
    <row r="2" spans="1:8" x14ac:dyDescent="0.25">
      <c r="A2" t="s">
        <v>130</v>
      </c>
      <c r="B2" s="20"/>
      <c r="C2" s="20"/>
      <c r="D2" s="20">
        <v>1</v>
      </c>
      <c r="E2" s="20">
        <v>2</v>
      </c>
      <c r="F2" s="20">
        <v>3</v>
      </c>
      <c r="G2" s="13">
        <f>AVERAGE(BuyFactors[[#This Row],[Importance Ranking - Person 1]:[Importance Ranking - Person 3]])</f>
        <v>2</v>
      </c>
      <c r="H2" s="3">
        <f>BuyFactors[[#This Row],[Importance - Averaged]]/MAX(BuyFactors[Importance - Averaged])*10</f>
        <v>1.875</v>
      </c>
    </row>
    <row r="3" spans="1:8" x14ac:dyDescent="0.25">
      <c r="A3" t="s">
        <v>131</v>
      </c>
      <c r="B3" s="20"/>
      <c r="C3" s="20"/>
      <c r="D3" s="20">
        <v>10</v>
      </c>
      <c r="E3" s="20">
        <v>12</v>
      </c>
      <c r="F3" s="20">
        <v>9</v>
      </c>
      <c r="G3" s="13">
        <f>AVERAGE(BuyFactors[[#This Row],[Importance Ranking - Person 1]:[Importance Ranking - Person 3]])</f>
        <v>10.333333333333334</v>
      </c>
      <c r="H3" s="3">
        <f>BuyFactors[[#This Row],[Importance - Averaged]]/MAX(BuyFactors[Importance - Averaged])*10</f>
        <v>9.6875000000000018</v>
      </c>
    </row>
    <row r="4" spans="1:8" x14ac:dyDescent="0.25">
      <c r="A4" t="s">
        <v>132</v>
      </c>
      <c r="B4" s="20"/>
      <c r="C4" s="20"/>
      <c r="D4" s="20">
        <v>20</v>
      </c>
      <c r="E4" s="20">
        <v>2</v>
      </c>
      <c r="F4" s="20">
        <v>10</v>
      </c>
      <c r="G4" s="13">
        <f>AVERAGE(BuyFactors[[#This Row],[Importance Ranking - Person 1]:[Importance Ranking - Person 3]])</f>
        <v>10.666666666666666</v>
      </c>
      <c r="H4" s="3">
        <f>BuyFactors[[#This Row],[Importance - Averaged]]/MAX(BuyFactors[Importance - Averaged])*10</f>
        <v>10</v>
      </c>
    </row>
    <row r="5" spans="1:8" x14ac:dyDescent="0.25">
      <c r="A5" t="s">
        <v>133</v>
      </c>
      <c r="B5" s="20"/>
      <c r="C5" s="20"/>
      <c r="D5" s="20">
        <v>12</v>
      </c>
      <c r="E5" s="20">
        <v>3</v>
      </c>
      <c r="F5" s="20">
        <v>1</v>
      </c>
      <c r="G5" s="13">
        <f>AVERAGE(BuyFactors[[#This Row],[Importance Ranking - Person 1]:[Importance Ranking - Person 3]])</f>
        <v>5.333333333333333</v>
      </c>
      <c r="H5" s="3">
        <f>BuyFactors[[#This Row],[Importance - Averaged]]/MAX(BuyFactors[Importance - Averaged])*10</f>
        <v>5</v>
      </c>
    </row>
    <row r="6" spans="1:8" x14ac:dyDescent="0.25">
      <c r="A6" t="s">
        <v>134</v>
      </c>
      <c r="B6" s="20"/>
      <c r="C6" s="20"/>
      <c r="D6" s="20">
        <v>1</v>
      </c>
      <c r="E6" s="20">
        <v>9</v>
      </c>
      <c r="F6" s="20">
        <v>10</v>
      </c>
      <c r="G6" s="13">
        <f>AVERAGE(BuyFactors[[#This Row],[Importance Ranking - Person 1]:[Importance Ranking - Person 3]])</f>
        <v>6.666666666666667</v>
      </c>
      <c r="H6" s="3">
        <f>BuyFactors[[#This Row],[Importance - Averaged]]/MAX(BuyFactors[Importance - Averaged])*10</f>
        <v>6.2500000000000009</v>
      </c>
    </row>
    <row r="7" spans="1:8" x14ac:dyDescent="0.25">
      <c r="A7" t="s">
        <v>135</v>
      </c>
      <c r="B7" s="20"/>
      <c r="C7" s="20"/>
      <c r="D7" s="20">
        <v>3</v>
      </c>
      <c r="E7" s="20">
        <v>2</v>
      </c>
      <c r="F7" s="20">
        <v>5</v>
      </c>
      <c r="G7" s="13">
        <f>AVERAGE(BuyFactors[[#This Row],[Importance Ranking - Person 1]:[Importance Ranking - Person 3]])</f>
        <v>3.3333333333333335</v>
      </c>
      <c r="H7" s="3">
        <f>BuyFactors[[#This Row],[Importance - Averaged]]/MAX(BuyFactors[Importance - Averaged])*10</f>
        <v>3.1250000000000004</v>
      </c>
    </row>
    <row r="8" spans="1:8" x14ac:dyDescent="0.25">
      <c r="A8" t="s">
        <v>136</v>
      </c>
      <c r="B8" s="20"/>
      <c r="C8" s="20"/>
      <c r="D8" s="20">
        <v>2</v>
      </c>
      <c r="E8" s="20">
        <v>20</v>
      </c>
      <c r="F8" s="20">
        <v>0</v>
      </c>
      <c r="G8" s="13">
        <f>AVERAGE(BuyFactors[[#This Row],[Importance Ranking - Person 1]:[Importance Ranking - Person 3]])</f>
        <v>7.333333333333333</v>
      </c>
      <c r="H8" s="3">
        <f>BuyFactors[[#This Row],[Importance - Averaged]]/MAX(BuyFactors[Importance - Averaged])*10</f>
        <v>6.875</v>
      </c>
    </row>
    <row r="9" spans="1:8" x14ac:dyDescent="0.25">
      <c r="A9" t="s">
        <v>137</v>
      </c>
      <c r="B9" s="20"/>
      <c r="C9" s="20"/>
      <c r="D9" s="20">
        <v>5</v>
      </c>
      <c r="E9" s="20">
        <v>1</v>
      </c>
      <c r="F9" s="20">
        <v>20</v>
      </c>
      <c r="G9" s="13">
        <f>AVERAGE(BuyFactors[[#This Row],[Importance Ranking - Person 1]:[Importance Ranking - Person 3]])</f>
        <v>8.6666666666666661</v>
      </c>
      <c r="H9" s="3">
        <f>BuyFactors[[#This Row],[Importance - Averaged]]/MAX(BuyFactors[Importance - Averaged])*10</f>
        <v>8.125</v>
      </c>
    </row>
    <row r="10" spans="1:8" x14ac:dyDescent="0.25">
      <c r="A10" t="s">
        <v>138</v>
      </c>
      <c r="B10" s="20"/>
      <c r="C10" s="20"/>
      <c r="D10" s="20">
        <v>18</v>
      </c>
      <c r="E10" s="20">
        <v>2</v>
      </c>
      <c r="F10" s="20">
        <v>10</v>
      </c>
      <c r="G10" s="13">
        <f>AVERAGE(BuyFactors[[#This Row],[Importance Ranking - Person 1]:[Importance Ranking - Person 3]])</f>
        <v>10</v>
      </c>
      <c r="H10" s="3">
        <f>BuyFactors[[#This Row],[Importance - Averaged]]/MAX(BuyFactors[Importance - Averaged])*10</f>
        <v>9.375</v>
      </c>
    </row>
    <row r="11" spans="1:8" x14ac:dyDescent="0.25">
      <c r="A11" t="s">
        <v>139</v>
      </c>
      <c r="B11" s="20"/>
      <c r="C11" s="20"/>
      <c r="D11" s="20">
        <v>10</v>
      </c>
      <c r="E11" s="20">
        <v>5</v>
      </c>
      <c r="F11" s="20">
        <v>5</v>
      </c>
      <c r="G11" s="13">
        <f>AVERAGE(BuyFactors[[#This Row],[Importance Ranking - Person 1]:[Importance Ranking - Person 3]])</f>
        <v>6.666666666666667</v>
      </c>
      <c r="H11" s="3">
        <f>BuyFactors[[#This Row],[Importance - Averaged]]/MAX(BuyFactors[Importance - Averaged])*10</f>
        <v>6.2500000000000009</v>
      </c>
    </row>
    <row r="12" spans="1:8" x14ac:dyDescent="0.25">
      <c r="A12" t="s">
        <v>140</v>
      </c>
      <c r="B12" s="20"/>
      <c r="C12" s="20"/>
      <c r="D12" s="20">
        <v>5</v>
      </c>
      <c r="E12" s="20">
        <v>7</v>
      </c>
      <c r="F12" s="20">
        <v>7</v>
      </c>
      <c r="G12" s="13">
        <f>AVERAGE(BuyFactors[[#This Row],[Importance Ranking - Person 1]:[Importance Ranking - Person 3]])</f>
        <v>6.333333333333333</v>
      </c>
      <c r="H12" s="3">
        <f>BuyFactors[[#This Row],[Importance - Averaged]]/MAX(BuyFactors[Importance - Averaged])*10</f>
        <v>5.9375</v>
      </c>
    </row>
    <row r="13" spans="1:8" x14ac:dyDescent="0.25">
      <c r="A13" t="s">
        <v>141</v>
      </c>
      <c r="B13" s="20"/>
      <c r="C13" s="20"/>
      <c r="D13" s="20">
        <v>10</v>
      </c>
      <c r="E13" s="20">
        <v>10</v>
      </c>
      <c r="F13" s="20">
        <v>5</v>
      </c>
      <c r="G13" s="13">
        <f>AVERAGE(BuyFactors[[#This Row],[Importance Ranking - Person 1]:[Importance Ranking - Person 3]])</f>
        <v>8.3333333333333339</v>
      </c>
      <c r="H13" s="3">
        <f>BuyFactors[[#This Row],[Importance - Averaged]]/MAX(BuyFactors[Importance - Averaged])*10</f>
        <v>7.8125000000000009</v>
      </c>
    </row>
    <row r="14" spans="1:8" x14ac:dyDescent="0.25">
      <c r="A14" t="s">
        <v>142</v>
      </c>
      <c r="B14" s="20"/>
      <c r="C14" s="20"/>
      <c r="D14" s="20">
        <v>3</v>
      </c>
      <c r="E14" s="20">
        <v>20</v>
      </c>
      <c r="F14" s="20">
        <v>3</v>
      </c>
      <c r="G14" s="13">
        <f>AVERAGE(BuyFactors[[#This Row],[Importance Ranking - Person 1]:[Importance Ranking - Person 3]])</f>
        <v>8.6666666666666661</v>
      </c>
      <c r="H14" s="3">
        <f>BuyFactors[[#This Row],[Importance - Averaged]]/MAX(BuyFactors[Importance - Averaged])*10</f>
        <v>8.125</v>
      </c>
    </row>
    <row r="15" spans="1:8" x14ac:dyDescent="0.25">
      <c r="A15" t="s">
        <v>143</v>
      </c>
      <c r="B15" s="20"/>
      <c r="C15" s="20"/>
      <c r="D15" s="20">
        <v>0</v>
      </c>
      <c r="E15" s="20">
        <v>3</v>
      </c>
      <c r="F15" s="20">
        <v>10</v>
      </c>
      <c r="G15" s="13">
        <f>AVERAGE(BuyFactors[[#This Row],[Importance Ranking - Person 1]:[Importance Ranking - Person 3]])</f>
        <v>4.333333333333333</v>
      </c>
      <c r="H15" s="3">
        <f>BuyFactors[[#This Row],[Importance - Averaged]]/MAX(BuyFactors[Importance - Averaged])*10</f>
        <v>4.0625</v>
      </c>
    </row>
    <row r="16" spans="1:8" x14ac:dyDescent="0.25">
      <c r="A16" t="s">
        <v>144</v>
      </c>
      <c r="B16" s="20"/>
      <c r="C16" s="20"/>
      <c r="D16" s="20">
        <v>0</v>
      </c>
      <c r="E16" s="20">
        <v>2</v>
      </c>
      <c r="F16" s="20">
        <v>2</v>
      </c>
      <c r="G16" s="13">
        <f>AVERAGE(BuyFactors[[#This Row],[Importance Ranking - Person 1]:[Importance Ranking - Person 3]])</f>
        <v>1.3333333333333333</v>
      </c>
      <c r="H16" s="3">
        <f>BuyFactors[[#This Row],[Importance - Averaged]]/MAX(BuyFactors[Importance - Averaged])*10</f>
        <v>1.25</v>
      </c>
    </row>
    <row r="17" spans="1:6" x14ac:dyDescent="0.25">
      <c r="A17" t="s">
        <v>9</v>
      </c>
      <c r="C17">
        <f>SUBTOTAL(103,BuyFactors[Type])</f>
        <v>0</v>
      </c>
      <c r="D17">
        <f>SUBTOTAL(109,BuyFactors[Importance Ranking - Person 1])</f>
        <v>100</v>
      </c>
      <c r="E17">
        <f>SUBTOTAL(109,BuyFactors[Importance Ranking - Person 2])</f>
        <v>100</v>
      </c>
      <c r="F17">
        <f>SUBTOTAL(109,BuyFactors[Importance Ranking - Person 3])</f>
        <v>100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workbookViewId="0">
      <selection activeCell="A12" sqref="A12"/>
    </sheetView>
  </sheetViews>
  <sheetFormatPr defaultRowHeight="15" x14ac:dyDescent="0.25"/>
  <cols>
    <col min="4" max="4" width="14.42578125" customWidth="1"/>
    <col min="5" max="5" width="13.7109375" customWidth="1"/>
    <col min="6" max="6" width="12.140625" customWidth="1"/>
    <col min="7" max="7" width="10.28515625" customWidth="1"/>
    <col min="8" max="8" width="11.140625" customWidth="1"/>
    <col min="9" max="9" width="10.140625" customWidth="1"/>
  </cols>
  <sheetData>
    <row r="1" spans="1:24" s="1" customFormat="1" ht="28.5" customHeight="1" x14ac:dyDescent="0.25">
      <c r="A1" s="21" t="s">
        <v>7</v>
      </c>
      <c r="B1" s="21" t="s">
        <v>8</v>
      </c>
      <c r="C1" s="21" t="s">
        <v>15</v>
      </c>
      <c r="D1" s="21" t="s">
        <v>14</v>
      </c>
      <c r="E1" s="1" t="s">
        <v>31</v>
      </c>
      <c r="F1" s="1" t="s">
        <v>32</v>
      </c>
      <c r="G1" s="1" t="s">
        <v>33</v>
      </c>
      <c r="H1" s="1" t="s">
        <v>34</v>
      </c>
      <c r="I1" s="1" t="s">
        <v>35</v>
      </c>
      <c r="J1" s="5" t="s">
        <v>16</v>
      </c>
      <c r="K1" s="5" t="s">
        <v>17</v>
      </c>
      <c r="L1" s="5" t="s">
        <v>18</v>
      </c>
      <c r="M1" s="5" t="s">
        <v>25</v>
      </c>
      <c r="N1" s="5" t="s">
        <v>27</v>
      </c>
      <c r="O1" s="6" t="s">
        <v>19</v>
      </c>
      <c r="P1" s="6" t="s">
        <v>20</v>
      </c>
      <c r="Q1" s="6" t="s">
        <v>21</v>
      </c>
      <c r="R1" s="6" t="s">
        <v>26</v>
      </c>
      <c r="S1" s="6" t="s">
        <v>30</v>
      </c>
      <c r="T1" s="7" t="s">
        <v>22</v>
      </c>
      <c r="U1" s="7" t="s">
        <v>23</v>
      </c>
      <c r="V1" s="7" t="s">
        <v>24</v>
      </c>
      <c r="W1" s="7" t="s">
        <v>28</v>
      </c>
      <c r="X1" s="7" t="s">
        <v>29</v>
      </c>
    </row>
    <row r="2" spans="1:24" x14ac:dyDescent="0.25">
      <c r="A2" t="str">
        <f>BuyFactors[#All]</f>
        <v>KAF1</v>
      </c>
      <c r="B2">
        <f>BuyFactors[#All]</f>
        <v>0</v>
      </c>
      <c r="C2">
        <f>BuyFactors[#All]</f>
        <v>0</v>
      </c>
      <c r="D2" s="3">
        <f>BuyFactors[[#Data],[Importance - Scaled]]</f>
        <v>1.875</v>
      </c>
      <c r="E2" s="20">
        <v>2</v>
      </c>
      <c r="F2" s="20">
        <v>1</v>
      </c>
      <c r="G2" s="20">
        <v>7</v>
      </c>
      <c r="H2" s="3">
        <f>AVERAGE(Ranking[[#This Row],[OwnSol - Person1]:[OwnSol - Person3]])</f>
        <v>3.3333333333333335</v>
      </c>
      <c r="I2" s="3">
        <f>Ranking[[#This Row],[OwnSol - Ave]]/MAX(Ranking[OwnSol - Ave])*10</f>
        <v>4.166666666666667</v>
      </c>
      <c r="J2" s="20">
        <v>2</v>
      </c>
      <c r="K2" s="20">
        <v>10</v>
      </c>
      <c r="L2" s="20">
        <v>3</v>
      </c>
      <c r="M2">
        <f>AVERAGE(Ranking[[#This Row],[Comp1 - Person1]:[Comp1 - Person3]])</f>
        <v>5</v>
      </c>
      <c r="N2">
        <f>Ranking[[#This Row],[Comp1 - Ave]]/MAX(Ranking[OwnSol - Ave])*10</f>
        <v>6.25</v>
      </c>
      <c r="O2">
        <v>4</v>
      </c>
      <c r="P2">
        <v>9</v>
      </c>
      <c r="Q2">
        <v>9</v>
      </c>
      <c r="R2">
        <f>AVERAGE(Ranking[[#This Row],[Comp2 - Person1]:[Comp2 - Person3]])</f>
        <v>7.333333333333333</v>
      </c>
      <c r="S2">
        <f>Ranking[[#This Row],[Comp2 - Ave]]/MAX(Ranking[OwnSol - Ave])*10</f>
        <v>9.1666666666666661</v>
      </c>
      <c r="T2">
        <v>0</v>
      </c>
      <c r="U2">
        <v>1</v>
      </c>
      <c r="V2">
        <v>0</v>
      </c>
      <c r="W2">
        <f>AVERAGE(Ranking[[#This Row],[Comp3 - Person1]:[Comp3 - Person3]])</f>
        <v>0.33333333333333331</v>
      </c>
      <c r="X2">
        <f>Ranking[[#This Row],[Comp3 - Ave]]/MAX(Ranking[OwnSol - Ave])*10</f>
        <v>0.41666666666666663</v>
      </c>
    </row>
    <row r="3" spans="1:24" x14ac:dyDescent="0.25">
      <c r="A3" t="str">
        <f>BuyFactors[#All]</f>
        <v>KAF2</v>
      </c>
      <c r="B3">
        <f>BuyFactors[#All]</f>
        <v>0</v>
      </c>
      <c r="C3">
        <f>BuyFactors[#All]</f>
        <v>0</v>
      </c>
      <c r="D3" s="3">
        <f>BuyFactors[[#Data],[Importance - Scaled]]</f>
        <v>9.6875000000000018</v>
      </c>
      <c r="E3" s="20">
        <v>6</v>
      </c>
      <c r="F3" s="20">
        <v>8</v>
      </c>
      <c r="G3" s="20">
        <v>2</v>
      </c>
      <c r="H3" s="3">
        <f>AVERAGE(Ranking[[#This Row],[OwnSol - Person1]:[OwnSol - Person3]])</f>
        <v>5.333333333333333</v>
      </c>
      <c r="I3" s="3">
        <f>Ranking[[#This Row],[OwnSol - Ave]]/MAX(Ranking[OwnSol - Ave])*10</f>
        <v>6.6666666666666661</v>
      </c>
      <c r="J3" s="20">
        <v>10</v>
      </c>
      <c r="K3" s="20">
        <v>8</v>
      </c>
      <c r="L3" s="20">
        <v>9</v>
      </c>
      <c r="M3">
        <f>AVERAGE(Ranking[[#This Row],[Comp1 - Person1]:[Comp1 - Person3]])</f>
        <v>9</v>
      </c>
      <c r="N3">
        <f>Ranking[[#This Row],[Comp1 - Ave]]/MAX(Ranking[OwnSol - Ave])*10</f>
        <v>11.25</v>
      </c>
      <c r="O3">
        <v>4</v>
      </c>
      <c r="P3">
        <v>6</v>
      </c>
      <c r="Q3">
        <v>9</v>
      </c>
      <c r="R3">
        <f>AVERAGE(Ranking[[#This Row],[Comp2 - Person1]:[Comp2 - Person3]])</f>
        <v>6.333333333333333</v>
      </c>
      <c r="S3">
        <f>Ranking[[#This Row],[Comp2 - Ave]]/MAX(Ranking[OwnSol - Ave])*10</f>
        <v>7.9166666666666661</v>
      </c>
      <c r="T3">
        <v>10</v>
      </c>
      <c r="U3">
        <v>4</v>
      </c>
      <c r="V3">
        <v>1</v>
      </c>
      <c r="W3">
        <f>AVERAGE(Ranking[[#This Row],[Comp3 - Person1]:[Comp3 - Person3]])</f>
        <v>5</v>
      </c>
      <c r="X3">
        <f>Ranking[[#This Row],[Comp3 - Ave]]/MAX(Ranking[OwnSol - Ave])*10</f>
        <v>6.25</v>
      </c>
    </row>
    <row r="4" spans="1:24" x14ac:dyDescent="0.25">
      <c r="A4" t="str">
        <f>BuyFactors[#All]</f>
        <v>KAF3</v>
      </c>
      <c r="B4">
        <f>BuyFactors[#All]</f>
        <v>0</v>
      </c>
      <c r="C4">
        <f>BuyFactors[#All]</f>
        <v>0</v>
      </c>
      <c r="D4" s="3">
        <f>BuyFactors[[#Data],[Importance - Scaled]]</f>
        <v>10</v>
      </c>
      <c r="E4" s="20">
        <v>2</v>
      </c>
      <c r="F4" s="20">
        <v>3</v>
      </c>
      <c r="G4" s="20">
        <v>1</v>
      </c>
      <c r="H4" s="3">
        <f>AVERAGE(Ranking[[#This Row],[OwnSol - Person1]:[OwnSol - Person3]])</f>
        <v>2</v>
      </c>
      <c r="I4" s="3">
        <f>Ranking[[#This Row],[OwnSol - Ave]]/MAX(Ranking[OwnSol - Ave])*10</f>
        <v>2.5</v>
      </c>
      <c r="J4" s="20">
        <v>9</v>
      </c>
      <c r="K4" s="20">
        <v>5</v>
      </c>
      <c r="L4" s="20">
        <v>9</v>
      </c>
      <c r="M4">
        <f>AVERAGE(Ranking[[#This Row],[Comp1 - Person1]:[Comp1 - Person3]])</f>
        <v>7.666666666666667</v>
      </c>
      <c r="N4">
        <f>Ranking[[#This Row],[Comp1 - Ave]]/MAX(Ranking[OwnSol - Ave])*10</f>
        <v>9.5833333333333339</v>
      </c>
      <c r="O4">
        <v>5</v>
      </c>
      <c r="P4">
        <v>9</v>
      </c>
      <c r="Q4">
        <v>9</v>
      </c>
      <c r="R4">
        <f>AVERAGE(Ranking[[#This Row],[Comp2 - Person1]:[Comp2 - Person3]])</f>
        <v>7.666666666666667</v>
      </c>
      <c r="S4">
        <f>Ranking[[#This Row],[Comp2 - Ave]]/MAX(Ranking[OwnSol - Ave])*10</f>
        <v>9.5833333333333339</v>
      </c>
      <c r="T4">
        <v>4</v>
      </c>
      <c r="U4">
        <v>1</v>
      </c>
      <c r="V4">
        <v>5</v>
      </c>
      <c r="W4">
        <f>AVERAGE(Ranking[[#This Row],[Comp3 - Person1]:[Comp3 - Person3]])</f>
        <v>3.3333333333333335</v>
      </c>
      <c r="X4">
        <f>Ranking[[#This Row],[Comp3 - Ave]]/MAX(Ranking[OwnSol - Ave])*10</f>
        <v>4.166666666666667</v>
      </c>
    </row>
    <row r="5" spans="1:24" x14ac:dyDescent="0.25">
      <c r="A5" t="str">
        <f>BuyFactors[#All]</f>
        <v>KAF4</v>
      </c>
      <c r="B5">
        <f>BuyFactors[#All]</f>
        <v>0</v>
      </c>
      <c r="C5">
        <f>BuyFactors[#All]</f>
        <v>0</v>
      </c>
      <c r="D5" s="3">
        <f>BuyFactors[[#Data],[Importance - Scaled]]</f>
        <v>5</v>
      </c>
      <c r="E5" s="20">
        <v>7</v>
      </c>
      <c r="F5" s="20">
        <v>9</v>
      </c>
      <c r="G5" s="20">
        <v>3</v>
      </c>
      <c r="H5" s="3">
        <f>AVERAGE(Ranking[[#This Row],[OwnSol - Person1]:[OwnSol - Person3]])</f>
        <v>6.333333333333333</v>
      </c>
      <c r="I5" s="3">
        <f>Ranking[[#This Row],[OwnSol - Ave]]/MAX(Ranking[OwnSol - Ave])*10</f>
        <v>7.9166666666666661</v>
      </c>
      <c r="J5" s="20">
        <v>8</v>
      </c>
      <c r="K5" s="20">
        <v>4</v>
      </c>
      <c r="L5" s="20">
        <v>0</v>
      </c>
      <c r="M5">
        <f>AVERAGE(Ranking[[#This Row],[Comp1 - Person1]:[Comp1 - Person3]])</f>
        <v>4</v>
      </c>
      <c r="N5">
        <f>Ranking[[#This Row],[Comp1 - Ave]]/MAX(Ranking[OwnSol - Ave])*10</f>
        <v>5</v>
      </c>
      <c r="O5">
        <v>3</v>
      </c>
      <c r="P5">
        <v>9</v>
      </c>
      <c r="Q5">
        <v>3</v>
      </c>
      <c r="R5">
        <f>AVERAGE(Ranking[[#This Row],[Comp2 - Person1]:[Comp2 - Person3]])</f>
        <v>5</v>
      </c>
      <c r="S5">
        <f>Ranking[[#This Row],[Comp2 - Ave]]/MAX(Ranking[OwnSol - Ave])*10</f>
        <v>6.25</v>
      </c>
      <c r="T5">
        <v>7</v>
      </c>
      <c r="U5">
        <v>8</v>
      </c>
      <c r="V5">
        <v>3</v>
      </c>
      <c r="W5">
        <f>AVERAGE(Ranking[[#This Row],[Comp3 - Person1]:[Comp3 - Person3]])</f>
        <v>6</v>
      </c>
      <c r="X5">
        <f>Ranking[[#This Row],[Comp3 - Ave]]/MAX(Ranking[OwnSol - Ave])*10</f>
        <v>7.5</v>
      </c>
    </row>
    <row r="6" spans="1:24" x14ac:dyDescent="0.25">
      <c r="A6" t="str">
        <f>BuyFactors[#All]</f>
        <v>KAF5</v>
      </c>
      <c r="B6">
        <f>BuyFactors[#All]</f>
        <v>0</v>
      </c>
      <c r="C6">
        <f>BuyFactors[#All]</f>
        <v>0</v>
      </c>
      <c r="D6" s="3">
        <f>BuyFactors[[#Data],[Importance - Scaled]]</f>
        <v>6.2500000000000009</v>
      </c>
      <c r="E6" s="20">
        <v>9</v>
      </c>
      <c r="F6" s="20">
        <v>7</v>
      </c>
      <c r="G6" s="20">
        <v>1</v>
      </c>
      <c r="H6" s="3">
        <f>AVERAGE(Ranking[[#This Row],[OwnSol - Person1]:[OwnSol - Person3]])</f>
        <v>5.666666666666667</v>
      </c>
      <c r="I6" s="3">
        <f>Ranking[[#This Row],[OwnSol - Ave]]/MAX(Ranking[OwnSol - Ave])*10</f>
        <v>7.0833333333333339</v>
      </c>
      <c r="J6" s="20">
        <v>4</v>
      </c>
      <c r="K6" s="20">
        <v>5</v>
      </c>
      <c r="L6" s="20">
        <v>4</v>
      </c>
      <c r="M6">
        <f>AVERAGE(Ranking[[#This Row],[Comp1 - Person1]:[Comp1 - Person3]])</f>
        <v>4.333333333333333</v>
      </c>
      <c r="N6">
        <f>Ranking[[#This Row],[Comp1 - Ave]]/MAX(Ranking[OwnSol - Ave])*10</f>
        <v>5.4166666666666661</v>
      </c>
      <c r="O6">
        <v>7</v>
      </c>
      <c r="P6">
        <v>10</v>
      </c>
      <c r="Q6">
        <v>7</v>
      </c>
      <c r="R6">
        <f>AVERAGE(Ranking[[#This Row],[Comp2 - Person1]:[Comp2 - Person3]])</f>
        <v>8</v>
      </c>
      <c r="S6">
        <f>Ranking[[#This Row],[Comp2 - Ave]]/MAX(Ranking[OwnSol - Ave])*10</f>
        <v>10</v>
      </c>
      <c r="T6">
        <v>8</v>
      </c>
      <c r="U6">
        <v>3</v>
      </c>
      <c r="V6">
        <v>4</v>
      </c>
      <c r="W6">
        <f>AVERAGE(Ranking[[#This Row],[Comp3 - Person1]:[Comp3 - Person3]])</f>
        <v>5</v>
      </c>
      <c r="X6">
        <f>Ranking[[#This Row],[Comp3 - Ave]]/MAX(Ranking[OwnSol - Ave])*10</f>
        <v>6.25</v>
      </c>
    </row>
    <row r="7" spans="1:24" x14ac:dyDescent="0.25">
      <c r="A7" t="str">
        <f>BuyFactors[#All]</f>
        <v>KAF6</v>
      </c>
      <c r="B7">
        <f>BuyFactors[#All]</f>
        <v>0</v>
      </c>
      <c r="C7">
        <f>BuyFactors[#All]</f>
        <v>0</v>
      </c>
      <c r="D7" s="3">
        <f>BuyFactors[[#Data],[Importance - Scaled]]</f>
        <v>3.1250000000000004</v>
      </c>
      <c r="E7" s="20">
        <v>8</v>
      </c>
      <c r="F7" s="20">
        <v>5</v>
      </c>
      <c r="G7" s="20">
        <v>5</v>
      </c>
      <c r="H7" s="3">
        <f>AVERAGE(Ranking[[#This Row],[OwnSol - Person1]:[OwnSol - Person3]])</f>
        <v>6</v>
      </c>
      <c r="I7" s="3">
        <f>Ranking[[#This Row],[OwnSol - Ave]]/MAX(Ranking[OwnSol - Ave])*10</f>
        <v>7.5</v>
      </c>
      <c r="J7" s="20">
        <v>2</v>
      </c>
      <c r="K7" s="20">
        <v>8</v>
      </c>
      <c r="L7" s="20">
        <v>3</v>
      </c>
      <c r="M7">
        <f>AVERAGE(Ranking[[#This Row],[Comp1 - Person1]:[Comp1 - Person3]])</f>
        <v>4.333333333333333</v>
      </c>
      <c r="N7">
        <f>Ranking[[#This Row],[Comp1 - Ave]]/MAX(Ranking[OwnSol - Ave])*10</f>
        <v>5.4166666666666661</v>
      </c>
      <c r="O7">
        <v>7</v>
      </c>
      <c r="P7">
        <v>7</v>
      </c>
      <c r="Q7">
        <v>6</v>
      </c>
      <c r="R7">
        <f>AVERAGE(Ranking[[#This Row],[Comp2 - Person1]:[Comp2 - Person3]])</f>
        <v>6.666666666666667</v>
      </c>
      <c r="S7">
        <f>Ranking[[#This Row],[Comp2 - Ave]]/MAX(Ranking[OwnSol - Ave])*10</f>
        <v>8.3333333333333339</v>
      </c>
      <c r="T7">
        <v>1</v>
      </c>
      <c r="U7">
        <v>6</v>
      </c>
      <c r="V7">
        <v>9</v>
      </c>
      <c r="W7">
        <f>AVERAGE(Ranking[[#This Row],[Comp3 - Person1]:[Comp3 - Person3]])</f>
        <v>5.333333333333333</v>
      </c>
      <c r="X7">
        <f>Ranking[[#This Row],[Comp3 - Ave]]/MAX(Ranking[OwnSol - Ave])*10</f>
        <v>6.6666666666666661</v>
      </c>
    </row>
    <row r="8" spans="1:24" x14ac:dyDescent="0.25">
      <c r="A8" t="str">
        <f>BuyFactors[#All]</f>
        <v>KAF7</v>
      </c>
      <c r="B8">
        <f>BuyFactors[#All]</f>
        <v>0</v>
      </c>
      <c r="C8">
        <f>BuyFactors[#All]</f>
        <v>0</v>
      </c>
      <c r="D8" s="3">
        <f>BuyFactors[[#Data],[Importance - Scaled]]</f>
        <v>6.875</v>
      </c>
      <c r="E8" s="20">
        <v>7</v>
      </c>
      <c r="F8" s="20">
        <v>1</v>
      </c>
      <c r="G8" s="20">
        <v>5</v>
      </c>
      <c r="H8" s="3">
        <f>AVERAGE(Ranking[[#This Row],[OwnSol - Person1]:[OwnSol - Person3]])</f>
        <v>4.333333333333333</v>
      </c>
      <c r="I8" s="3">
        <f>Ranking[[#This Row],[OwnSol - Ave]]/MAX(Ranking[OwnSol - Ave])*10</f>
        <v>5.4166666666666661</v>
      </c>
      <c r="J8" s="20">
        <v>8</v>
      </c>
      <c r="K8" s="20">
        <v>0</v>
      </c>
      <c r="L8" s="20">
        <v>2</v>
      </c>
      <c r="M8">
        <f>AVERAGE(Ranking[[#This Row],[Comp1 - Person1]:[Comp1 - Person3]])</f>
        <v>3.3333333333333335</v>
      </c>
      <c r="N8">
        <f>Ranking[[#This Row],[Comp1 - Ave]]/MAX(Ranking[OwnSol - Ave])*10</f>
        <v>4.166666666666667</v>
      </c>
      <c r="O8">
        <v>6</v>
      </c>
      <c r="P8">
        <v>3</v>
      </c>
      <c r="Q8">
        <v>7</v>
      </c>
      <c r="R8">
        <f>AVERAGE(Ranking[[#This Row],[Comp2 - Person1]:[Comp2 - Person3]])</f>
        <v>5.333333333333333</v>
      </c>
      <c r="S8">
        <f>Ranking[[#This Row],[Comp2 - Ave]]/MAX(Ranking[OwnSol - Ave])*10</f>
        <v>6.6666666666666661</v>
      </c>
      <c r="T8">
        <v>6</v>
      </c>
      <c r="U8">
        <v>8</v>
      </c>
      <c r="V8">
        <v>9</v>
      </c>
      <c r="W8">
        <f>AVERAGE(Ranking[[#This Row],[Comp3 - Person1]:[Comp3 - Person3]])</f>
        <v>7.666666666666667</v>
      </c>
      <c r="X8">
        <f>Ranking[[#This Row],[Comp3 - Ave]]/MAX(Ranking[OwnSol - Ave])*10</f>
        <v>9.5833333333333339</v>
      </c>
    </row>
    <row r="9" spans="1:24" x14ac:dyDescent="0.25">
      <c r="A9" t="str">
        <f>BuyFactors[#All]</f>
        <v>KAF8</v>
      </c>
      <c r="B9">
        <f>BuyFactors[#All]</f>
        <v>0</v>
      </c>
      <c r="C9">
        <f>BuyFactors[#All]</f>
        <v>0</v>
      </c>
      <c r="D9" s="3">
        <f>BuyFactors[[#Data],[Importance - Scaled]]</f>
        <v>8.125</v>
      </c>
      <c r="E9" s="20">
        <v>1</v>
      </c>
      <c r="F9" s="20">
        <v>9</v>
      </c>
      <c r="G9" s="20">
        <v>9</v>
      </c>
      <c r="H9" s="3">
        <f>AVERAGE(Ranking[[#This Row],[OwnSol - Person1]:[OwnSol - Person3]])</f>
        <v>6.333333333333333</v>
      </c>
      <c r="I9" s="3">
        <f>Ranking[[#This Row],[OwnSol - Ave]]/MAX(Ranking[OwnSol - Ave])*10</f>
        <v>7.9166666666666661</v>
      </c>
      <c r="J9" s="20">
        <v>9</v>
      </c>
      <c r="K9" s="20">
        <v>4</v>
      </c>
      <c r="L9" s="20">
        <v>3</v>
      </c>
      <c r="M9">
        <f>AVERAGE(Ranking[[#This Row],[Comp1 - Person1]:[Comp1 - Person3]])</f>
        <v>5.333333333333333</v>
      </c>
      <c r="N9">
        <f>Ranking[[#This Row],[Comp1 - Ave]]/MAX(Ranking[OwnSol - Ave])*10</f>
        <v>6.6666666666666661</v>
      </c>
      <c r="O9">
        <v>7</v>
      </c>
      <c r="P9">
        <v>2</v>
      </c>
      <c r="Q9">
        <v>8</v>
      </c>
      <c r="R9">
        <f>AVERAGE(Ranking[[#This Row],[Comp2 - Person1]:[Comp2 - Person3]])</f>
        <v>5.666666666666667</v>
      </c>
      <c r="S9">
        <f>Ranking[[#This Row],[Comp2 - Ave]]/MAX(Ranking[OwnSol - Ave])*10</f>
        <v>7.0833333333333339</v>
      </c>
      <c r="T9">
        <v>5</v>
      </c>
      <c r="U9">
        <v>7</v>
      </c>
      <c r="V9">
        <v>10</v>
      </c>
      <c r="W9">
        <f>AVERAGE(Ranking[[#This Row],[Comp3 - Person1]:[Comp3 - Person3]])</f>
        <v>7.333333333333333</v>
      </c>
      <c r="X9">
        <f>Ranking[[#This Row],[Comp3 - Ave]]/MAX(Ranking[OwnSol - Ave])*10</f>
        <v>9.1666666666666661</v>
      </c>
    </row>
    <row r="10" spans="1:24" x14ac:dyDescent="0.25">
      <c r="A10" t="str">
        <f>BuyFactors[#All]</f>
        <v>KAF9</v>
      </c>
      <c r="B10">
        <f>BuyFactors[#All]</f>
        <v>0</v>
      </c>
      <c r="C10">
        <f>BuyFactors[#All]</f>
        <v>0</v>
      </c>
      <c r="D10" s="3">
        <f>BuyFactors[[#Data],[Importance - Scaled]]</f>
        <v>9.375</v>
      </c>
      <c r="E10" s="20">
        <v>7</v>
      </c>
      <c r="F10" s="20">
        <v>10</v>
      </c>
      <c r="G10" s="20">
        <v>1</v>
      </c>
      <c r="H10" s="3">
        <f>AVERAGE(Ranking[[#This Row],[OwnSol - Person1]:[OwnSol - Person3]])</f>
        <v>6</v>
      </c>
      <c r="I10" s="3">
        <f>Ranking[[#This Row],[OwnSol - Ave]]/MAX(Ranking[OwnSol - Ave])*10</f>
        <v>7.5</v>
      </c>
      <c r="J10" s="20">
        <v>5</v>
      </c>
      <c r="K10" s="20">
        <v>10</v>
      </c>
      <c r="L10" s="20">
        <v>6</v>
      </c>
      <c r="M10">
        <f>AVERAGE(Ranking[[#This Row],[Comp1 - Person1]:[Comp1 - Person3]])</f>
        <v>7</v>
      </c>
      <c r="N10">
        <f>Ranking[[#This Row],[Comp1 - Ave]]/MAX(Ranking[OwnSol - Ave])*10</f>
        <v>8.75</v>
      </c>
      <c r="O10">
        <v>5</v>
      </c>
      <c r="P10">
        <v>3</v>
      </c>
      <c r="Q10">
        <v>6</v>
      </c>
      <c r="R10">
        <f>AVERAGE(Ranking[[#This Row],[Comp2 - Person1]:[Comp2 - Person3]])</f>
        <v>4.666666666666667</v>
      </c>
      <c r="S10">
        <f>Ranking[[#This Row],[Comp2 - Ave]]/MAX(Ranking[OwnSol - Ave])*10</f>
        <v>5.8333333333333339</v>
      </c>
      <c r="T10">
        <v>8</v>
      </c>
      <c r="U10">
        <v>5</v>
      </c>
      <c r="V10">
        <v>8</v>
      </c>
      <c r="W10">
        <f>AVERAGE(Ranking[[#This Row],[Comp3 - Person1]:[Comp3 - Person3]])</f>
        <v>7</v>
      </c>
      <c r="X10">
        <f>Ranking[[#This Row],[Comp3 - Ave]]/MAX(Ranking[OwnSol - Ave])*10</f>
        <v>8.75</v>
      </c>
    </row>
    <row r="11" spans="1:24" x14ac:dyDescent="0.25">
      <c r="A11" t="str">
        <f>BuyFactors[#All]</f>
        <v>KAF10</v>
      </c>
      <c r="B11">
        <f>BuyFactors[#All]</f>
        <v>0</v>
      </c>
      <c r="C11">
        <f>BuyFactors[#All]</f>
        <v>0</v>
      </c>
      <c r="D11" s="3">
        <f>BuyFactors[[#Data],[Importance - Scaled]]</f>
        <v>6.2500000000000009</v>
      </c>
      <c r="E11" s="20">
        <v>3</v>
      </c>
      <c r="F11" s="20">
        <v>9</v>
      </c>
      <c r="G11" s="20">
        <v>10</v>
      </c>
      <c r="H11" s="3">
        <f>AVERAGE(Ranking[[#This Row],[OwnSol - Person1]:[OwnSol - Person3]])</f>
        <v>7.333333333333333</v>
      </c>
      <c r="I11" s="3">
        <f>Ranking[[#This Row],[OwnSol - Ave]]/MAX(Ranking[OwnSol - Ave])*10</f>
        <v>9.1666666666666661</v>
      </c>
      <c r="J11" s="20">
        <v>1</v>
      </c>
      <c r="K11" s="20">
        <v>0</v>
      </c>
      <c r="L11" s="20">
        <v>9</v>
      </c>
      <c r="M11">
        <f>AVERAGE(Ranking[[#This Row],[Comp1 - Person1]:[Comp1 - Person3]])</f>
        <v>3.3333333333333335</v>
      </c>
      <c r="N11">
        <f>Ranking[[#This Row],[Comp1 - Ave]]/MAX(Ranking[OwnSol - Ave])*10</f>
        <v>4.166666666666667</v>
      </c>
      <c r="O11">
        <v>10</v>
      </c>
      <c r="P11">
        <v>0</v>
      </c>
      <c r="Q11">
        <v>10</v>
      </c>
      <c r="R11">
        <f>AVERAGE(Ranking[[#This Row],[Comp2 - Person1]:[Comp2 - Person3]])</f>
        <v>6.666666666666667</v>
      </c>
      <c r="S11">
        <f>Ranking[[#This Row],[Comp2 - Ave]]/MAX(Ranking[OwnSol - Ave])*10</f>
        <v>8.3333333333333339</v>
      </c>
      <c r="T11">
        <v>7</v>
      </c>
      <c r="U11">
        <v>6</v>
      </c>
      <c r="V11">
        <v>1</v>
      </c>
      <c r="W11">
        <f>AVERAGE(Ranking[[#This Row],[Comp3 - Person1]:[Comp3 - Person3]])</f>
        <v>4.666666666666667</v>
      </c>
      <c r="X11">
        <f>Ranking[[#This Row],[Comp3 - Ave]]/MAX(Ranking[OwnSol - Ave])*10</f>
        <v>5.8333333333333339</v>
      </c>
    </row>
    <row r="12" spans="1:24" x14ac:dyDescent="0.25">
      <c r="A12" t="str">
        <f>BuyFactors[#All]</f>
        <v>KAF11</v>
      </c>
      <c r="B12">
        <f>BuyFactors[#All]</f>
        <v>0</v>
      </c>
      <c r="C12">
        <f>BuyFactors[#All]</f>
        <v>0</v>
      </c>
      <c r="D12" s="3">
        <f>BuyFactors[[#Data],[Importance - Scaled]]</f>
        <v>5.9375</v>
      </c>
      <c r="E12" s="20">
        <v>10</v>
      </c>
      <c r="F12" s="20">
        <v>8</v>
      </c>
      <c r="G12" s="20">
        <v>0</v>
      </c>
      <c r="H12" s="3">
        <f>AVERAGE(Ranking[[#This Row],[OwnSol - Person1]:[OwnSol - Person3]])</f>
        <v>6</v>
      </c>
      <c r="I12" s="3">
        <f>Ranking[[#This Row],[OwnSol - Ave]]/MAX(Ranking[OwnSol - Ave])*10</f>
        <v>7.5</v>
      </c>
      <c r="J12" s="20">
        <v>0</v>
      </c>
      <c r="K12" s="20">
        <v>2</v>
      </c>
      <c r="L12" s="20">
        <v>2</v>
      </c>
      <c r="M12">
        <f>AVERAGE(Ranking[[#This Row],[Comp1 - Person1]:[Comp1 - Person3]])</f>
        <v>1.3333333333333333</v>
      </c>
      <c r="N12">
        <f>Ranking[[#This Row],[Comp1 - Ave]]/MAX(Ranking[OwnSol - Ave])*10</f>
        <v>1.6666666666666665</v>
      </c>
      <c r="O12">
        <v>8</v>
      </c>
      <c r="P12">
        <v>6</v>
      </c>
      <c r="Q12">
        <v>3</v>
      </c>
      <c r="R12">
        <f>AVERAGE(Ranking[[#This Row],[Comp2 - Person1]:[Comp2 - Person3]])</f>
        <v>5.666666666666667</v>
      </c>
      <c r="S12">
        <f>Ranking[[#This Row],[Comp2 - Ave]]/MAX(Ranking[OwnSol - Ave])*10</f>
        <v>7.0833333333333339</v>
      </c>
      <c r="T12">
        <v>7</v>
      </c>
      <c r="U12">
        <v>1</v>
      </c>
      <c r="V12">
        <v>8</v>
      </c>
      <c r="W12">
        <f>AVERAGE(Ranking[[#This Row],[Comp3 - Person1]:[Comp3 - Person3]])</f>
        <v>5.333333333333333</v>
      </c>
      <c r="X12">
        <f>Ranking[[#This Row],[Comp3 - Ave]]/MAX(Ranking[OwnSol - Ave])*10</f>
        <v>6.6666666666666661</v>
      </c>
    </row>
    <row r="13" spans="1:24" x14ac:dyDescent="0.25">
      <c r="A13" t="str">
        <f>BuyFactors[#All]</f>
        <v>KAF12</v>
      </c>
      <c r="B13">
        <f>BuyFactors[#All]</f>
        <v>0</v>
      </c>
      <c r="C13">
        <f>BuyFactors[#All]</f>
        <v>0</v>
      </c>
      <c r="D13" s="3">
        <f>BuyFactors[[#Data],[Importance - Scaled]]</f>
        <v>7.8125000000000009</v>
      </c>
      <c r="E13" s="20">
        <v>7</v>
      </c>
      <c r="F13" s="20">
        <v>7</v>
      </c>
      <c r="G13" s="20">
        <v>9</v>
      </c>
      <c r="H13" s="3">
        <f>AVERAGE(Ranking[[#This Row],[OwnSol - Person1]:[OwnSol - Person3]])</f>
        <v>7.666666666666667</v>
      </c>
      <c r="I13" s="3">
        <f>Ranking[[#This Row],[OwnSol - Ave]]/MAX(Ranking[OwnSol - Ave])*10</f>
        <v>9.5833333333333339</v>
      </c>
      <c r="J13" s="20">
        <v>7</v>
      </c>
      <c r="K13" s="20">
        <v>5</v>
      </c>
      <c r="L13" s="20">
        <v>5</v>
      </c>
      <c r="M13">
        <f>AVERAGE(Ranking[[#This Row],[Comp1 - Person1]:[Comp1 - Person3]])</f>
        <v>5.666666666666667</v>
      </c>
      <c r="N13">
        <f>Ranking[[#This Row],[Comp1 - Ave]]/MAX(Ranking[OwnSol - Ave])*10</f>
        <v>7.0833333333333339</v>
      </c>
      <c r="O13">
        <v>2</v>
      </c>
      <c r="P13">
        <v>5</v>
      </c>
      <c r="Q13">
        <v>5</v>
      </c>
      <c r="R13">
        <f>AVERAGE(Ranking[[#This Row],[Comp2 - Person1]:[Comp2 - Person3]])</f>
        <v>4</v>
      </c>
      <c r="S13">
        <f>Ranking[[#This Row],[Comp2 - Ave]]/MAX(Ranking[OwnSol - Ave])*10</f>
        <v>5</v>
      </c>
      <c r="T13">
        <v>4</v>
      </c>
      <c r="U13">
        <v>1</v>
      </c>
      <c r="V13">
        <v>8</v>
      </c>
      <c r="W13">
        <f>AVERAGE(Ranking[[#This Row],[Comp3 - Person1]:[Comp3 - Person3]])</f>
        <v>4.333333333333333</v>
      </c>
      <c r="X13">
        <f>Ranking[[#This Row],[Comp3 - Ave]]/MAX(Ranking[OwnSol - Ave])*10</f>
        <v>5.4166666666666661</v>
      </c>
    </row>
    <row r="14" spans="1:24" x14ac:dyDescent="0.25">
      <c r="A14" t="str">
        <f>BuyFactors[#All]</f>
        <v>KAF13</v>
      </c>
      <c r="B14">
        <f>BuyFactors[#All]</f>
        <v>0</v>
      </c>
      <c r="C14">
        <f>BuyFactors[#All]</f>
        <v>0</v>
      </c>
      <c r="D14" s="3">
        <f>BuyFactors[[#Data],[Importance - Scaled]]</f>
        <v>8.125</v>
      </c>
      <c r="E14" s="20">
        <v>8</v>
      </c>
      <c r="F14" s="20">
        <v>7</v>
      </c>
      <c r="G14" s="20">
        <v>9</v>
      </c>
      <c r="H14" s="3">
        <f>AVERAGE(Ranking[[#This Row],[OwnSol - Person1]:[OwnSol - Person3]])</f>
        <v>8</v>
      </c>
      <c r="I14" s="3">
        <f>Ranking[[#This Row],[OwnSol - Ave]]/MAX(Ranking[OwnSol - Ave])*10</f>
        <v>10</v>
      </c>
      <c r="J14" s="20">
        <v>7</v>
      </c>
      <c r="K14" s="20">
        <v>8</v>
      </c>
      <c r="L14" s="20">
        <v>2</v>
      </c>
      <c r="M14">
        <f>AVERAGE(Ranking[[#This Row],[Comp1 - Person1]:[Comp1 - Person3]])</f>
        <v>5.666666666666667</v>
      </c>
      <c r="N14">
        <f>Ranking[[#This Row],[Comp1 - Ave]]/MAX(Ranking[OwnSol - Ave])*10</f>
        <v>7.0833333333333339</v>
      </c>
      <c r="O14">
        <v>8</v>
      </c>
      <c r="P14">
        <v>2</v>
      </c>
      <c r="Q14">
        <v>2</v>
      </c>
      <c r="R14">
        <f>AVERAGE(Ranking[[#This Row],[Comp2 - Person1]:[Comp2 - Person3]])</f>
        <v>4</v>
      </c>
      <c r="S14">
        <f>Ranking[[#This Row],[Comp2 - Ave]]/MAX(Ranking[OwnSol - Ave])*10</f>
        <v>5</v>
      </c>
      <c r="T14">
        <v>10</v>
      </c>
      <c r="U14">
        <v>0</v>
      </c>
      <c r="V14">
        <v>0</v>
      </c>
      <c r="W14">
        <f>AVERAGE(Ranking[[#This Row],[Comp3 - Person1]:[Comp3 - Person3]])</f>
        <v>3.3333333333333335</v>
      </c>
      <c r="X14">
        <f>Ranking[[#This Row],[Comp3 - Ave]]/MAX(Ranking[OwnSol - Ave])*10</f>
        <v>4.166666666666667</v>
      </c>
    </row>
    <row r="15" spans="1:24" x14ac:dyDescent="0.25">
      <c r="A15" t="str">
        <f>BuyFactors[#All]</f>
        <v>KAF14</v>
      </c>
      <c r="B15">
        <f>BuyFactors[#All]</f>
        <v>0</v>
      </c>
      <c r="C15">
        <f>BuyFactors[#All]</f>
        <v>0</v>
      </c>
      <c r="D15" s="3">
        <f>BuyFactors[[#Data],[Importance - Scaled]]</f>
        <v>4.0625</v>
      </c>
      <c r="E15" s="20">
        <v>8</v>
      </c>
      <c r="F15" s="20">
        <v>8</v>
      </c>
      <c r="G15" s="20">
        <v>8</v>
      </c>
      <c r="H15" s="3">
        <f>AVERAGE(Ranking[[#This Row],[OwnSol - Person1]:[OwnSol - Person3]])</f>
        <v>8</v>
      </c>
      <c r="I15" s="3">
        <f>Ranking[[#This Row],[OwnSol - Ave]]/MAX(Ranking[OwnSol - Ave])*10</f>
        <v>10</v>
      </c>
      <c r="J15" s="20">
        <v>10</v>
      </c>
      <c r="K15" s="20">
        <v>10</v>
      </c>
      <c r="L15" s="20">
        <v>4</v>
      </c>
      <c r="M15">
        <f>AVERAGE(Ranking[[#This Row],[Comp1 - Person1]:[Comp1 - Person3]])</f>
        <v>8</v>
      </c>
      <c r="N15">
        <f>Ranking[[#This Row],[Comp1 - Ave]]/MAX(Ranking[OwnSol - Ave])*10</f>
        <v>10</v>
      </c>
      <c r="O15">
        <v>8</v>
      </c>
      <c r="P15">
        <v>8</v>
      </c>
      <c r="Q15">
        <v>4</v>
      </c>
      <c r="R15">
        <f>AVERAGE(Ranking[[#This Row],[Comp2 - Person1]:[Comp2 - Person3]])</f>
        <v>6.666666666666667</v>
      </c>
      <c r="S15">
        <f>Ranking[[#This Row],[Comp2 - Ave]]/MAX(Ranking[OwnSol - Ave])*10</f>
        <v>8.3333333333333339</v>
      </c>
      <c r="T15">
        <v>5</v>
      </c>
      <c r="U15">
        <v>0</v>
      </c>
      <c r="V15">
        <v>8</v>
      </c>
      <c r="W15">
        <f>AVERAGE(Ranking[[#This Row],[Comp3 - Person1]:[Comp3 - Person3]])</f>
        <v>4.333333333333333</v>
      </c>
      <c r="X15">
        <f>Ranking[[#This Row],[Comp3 - Ave]]/MAX(Ranking[OwnSol - Ave])*10</f>
        <v>5.4166666666666661</v>
      </c>
    </row>
    <row r="16" spans="1:24" x14ac:dyDescent="0.25">
      <c r="A16" t="str">
        <f>BuyFactors[#All]</f>
        <v>KAF15</v>
      </c>
      <c r="B16">
        <f>BuyFactors[#All]</f>
        <v>0</v>
      </c>
      <c r="C16">
        <f>BuyFactors[#All]</f>
        <v>0</v>
      </c>
      <c r="D16" s="3">
        <f>BuyFactors[[#Data],[Importance - Scaled]]</f>
        <v>1.25</v>
      </c>
      <c r="E16" s="20">
        <v>2</v>
      </c>
      <c r="F16" s="20">
        <v>6</v>
      </c>
      <c r="G16" s="20">
        <v>5</v>
      </c>
      <c r="H16" s="3">
        <f>AVERAGE(Ranking[[#This Row],[OwnSol - Person1]:[OwnSol - Person3]])</f>
        <v>4.333333333333333</v>
      </c>
      <c r="I16" s="3">
        <f>Ranking[[#This Row],[OwnSol - Ave]]/MAX(Ranking[OwnSol - Ave])*10</f>
        <v>5.4166666666666661</v>
      </c>
      <c r="J16" s="20">
        <v>5</v>
      </c>
      <c r="K16" s="20">
        <v>3</v>
      </c>
      <c r="L16" s="20">
        <v>7</v>
      </c>
      <c r="M16">
        <f>AVERAGE(Ranking[[#This Row],[Comp1 - Person1]:[Comp1 - Person3]])</f>
        <v>5</v>
      </c>
      <c r="N16">
        <f>Ranking[[#This Row],[Comp1 - Ave]]/MAX(Ranking[OwnSol - Ave])*10</f>
        <v>6.25</v>
      </c>
      <c r="O16">
        <v>2</v>
      </c>
      <c r="P16">
        <v>1</v>
      </c>
      <c r="Q16">
        <v>3</v>
      </c>
      <c r="R16">
        <f>AVERAGE(Ranking[[#This Row],[Comp2 - Person1]:[Comp2 - Person3]])</f>
        <v>2</v>
      </c>
      <c r="S16">
        <f>Ranking[[#This Row],[Comp2 - Ave]]/MAX(Ranking[OwnSol - Ave])*10</f>
        <v>2.5</v>
      </c>
      <c r="T16">
        <v>9</v>
      </c>
      <c r="U16">
        <v>7</v>
      </c>
      <c r="V16">
        <v>2</v>
      </c>
      <c r="W16">
        <f>AVERAGE(Ranking[[#This Row],[Comp3 - Person1]:[Comp3 - Person3]])</f>
        <v>6</v>
      </c>
      <c r="X16">
        <f>Ranking[[#This Row],[Comp3 - Ave]]/MAX(Ranking[OwnSol - Ave])*10</f>
        <v>7.5</v>
      </c>
    </row>
    <row r="17" spans="1:24" x14ac:dyDescent="0.25">
      <c r="A17" t="s">
        <v>43</v>
      </c>
      <c r="E17">
        <f>SUBTOTAL(109,Ranking[OwnSol - Person1])</f>
        <v>87</v>
      </c>
      <c r="F17">
        <f>SUBTOTAL(109,Ranking[OwnSol - Person2])</f>
        <v>98</v>
      </c>
      <c r="G17">
        <f>SUBTOTAL(109,Ranking[OwnSol - Person3])</f>
        <v>75</v>
      </c>
      <c r="H17" s="3">
        <f>SUBTOTAL(101,Ranking[OwnSol - Ave])</f>
        <v>5.7777777777777777</v>
      </c>
      <c r="I17" s="3">
        <f>SUBTOTAL(101,Ranking[OwnSol - Scaled])</f>
        <v>7.2222222222222223</v>
      </c>
      <c r="J17">
        <f>SUBTOTAL(109,Ranking[Comp1 - Person1])</f>
        <v>87</v>
      </c>
      <c r="K17">
        <f>SUBTOTAL(109,Ranking[Comp1 - Person2])</f>
        <v>82</v>
      </c>
      <c r="L17">
        <f>SUBTOTAL(109,Ranking[Comp1 - Person3])</f>
        <v>68</v>
      </c>
      <c r="M17">
        <f>SUBTOTAL(101,Ranking[Comp1 - Ave])</f>
        <v>5.2666666666666675</v>
      </c>
      <c r="N17">
        <f>SUBTOTAL(101,Ranking[Comp1 - Scaled])</f>
        <v>6.5833333333333321</v>
      </c>
      <c r="O17">
        <f>SUBTOTAL(109,Ranking[Comp2 - Person1])</f>
        <v>86</v>
      </c>
      <c r="P17">
        <f>SUBTOTAL(109,Ranking[Comp2 - Person2])</f>
        <v>80</v>
      </c>
      <c r="Q17">
        <f>SUBTOTAL(109,Ranking[Comp2 - Person3])</f>
        <v>91</v>
      </c>
      <c r="R17">
        <f>SUBTOTAL(101,Ranking[Comp2 - Ave])</f>
        <v>5.7111111111111104</v>
      </c>
      <c r="S17">
        <f>SUBTOTAL(101,Ranking[Comp2 - Scaled])</f>
        <v>7.1388888888888875</v>
      </c>
      <c r="T17">
        <f>SUBTOTAL(109,Ranking[Comp3 - Person1])</f>
        <v>91</v>
      </c>
      <c r="U17">
        <f>SUBTOTAL(109,Ranking[Comp3 - Person2])</f>
        <v>58</v>
      </c>
      <c r="V17">
        <f>SUBTOTAL(109,Ranking[Comp3 - Person3])</f>
        <v>76</v>
      </c>
      <c r="W17">
        <f>SUBTOTAL(101,Ranking[Comp3 - Ave])</f>
        <v>5</v>
      </c>
      <c r="X17">
        <f>SUBTOTAL(101,Ranking[Comp3 - Scaled])</f>
        <v>6.2500000000000009</v>
      </c>
    </row>
    <row r="18" spans="1:24" x14ac:dyDescent="0.25">
      <c r="D18" s="3"/>
      <c r="E18" s="3"/>
      <c r="F18" s="3"/>
      <c r="G18" s="3"/>
      <c r="H18" s="3"/>
      <c r="I18" s="3"/>
    </row>
    <row r="19" spans="1:24" x14ac:dyDescent="0.25">
      <c r="D19" s="3"/>
      <c r="E19" s="3"/>
      <c r="F19" s="3"/>
      <c r="G19" s="3"/>
      <c r="H19" s="3"/>
      <c r="I19" s="3"/>
    </row>
    <row r="20" spans="1:24" x14ac:dyDescent="0.25">
      <c r="C20" s="2"/>
      <c r="D20" s="3"/>
      <c r="E20" s="3"/>
      <c r="F20" s="3"/>
      <c r="G20" s="3"/>
      <c r="H20" s="3"/>
      <c r="I20" s="3"/>
    </row>
    <row r="21" spans="1:24" x14ac:dyDescent="0.25">
      <c r="D21" s="3"/>
      <c r="E21" s="3"/>
      <c r="F21" s="3"/>
      <c r="G21" s="3"/>
      <c r="H21" s="3"/>
      <c r="I21" s="3"/>
    </row>
    <row r="22" spans="1:24" x14ac:dyDescent="0.25">
      <c r="D22" s="3"/>
      <c r="E22" s="3"/>
      <c r="F22" s="3"/>
      <c r="G22" s="3"/>
      <c r="H22" s="3"/>
      <c r="I22" s="3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80" zoomScaleNormal="80" workbookViewId="0">
      <selection activeCell="I15" sqref="I15"/>
    </sheetView>
  </sheetViews>
  <sheetFormatPr defaultRowHeight="15" x14ac:dyDescent="0.25"/>
  <cols>
    <col min="1" max="1" width="27.5703125" customWidth="1"/>
    <col min="2" max="2" width="6.7109375" customWidth="1"/>
    <col min="3" max="3" width="12.5703125" customWidth="1"/>
    <col min="4" max="4" width="13.140625" customWidth="1"/>
  </cols>
  <sheetData>
    <row r="1" spans="1:6" x14ac:dyDescent="0.25">
      <c r="A1" s="8" t="s">
        <v>39</v>
      </c>
      <c r="B1" s="8"/>
    </row>
    <row r="2" spans="1:6" ht="30" x14ac:dyDescent="0.25">
      <c r="A2" s="9" t="s">
        <v>45</v>
      </c>
      <c r="B2" s="23">
        <v>0.06</v>
      </c>
    </row>
    <row r="3" spans="1:6" x14ac:dyDescent="0.25">
      <c r="A3" s="10" t="s">
        <v>46</v>
      </c>
      <c r="B3" s="24">
        <v>0</v>
      </c>
    </row>
    <row r="4" spans="1:6" hidden="1" x14ac:dyDescent="0.25">
      <c r="A4" t="s">
        <v>49</v>
      </c>
      <c r="B4">
        <f t="array" ref="B4:C4">LINEST(C8:C11,B8:B11,TRUE,FALSE)</f>
        <v>2.3203450891164178E-2</v>
      </c>
      <c r="C4">
        <v>4.2694349639742155</v>
      </c>
    </row>
    <row r="7" spans="1:6" s="1" customFormat="1" ht="29.45" customHeight="1" x14ac:dyDescent="0.25">
      <c r="A7" s="11" t="s">
        <v>40</v>
      </c>
      <c r="B7" s="11" t="s">
        <v>41</v>
      </c>
      <c r="C7" s="26" t="s">
        <v>42</v>
      </c>
      <c r="D7" s="26" t="s">
        <v>44</v>
      </c>
      <c r="E7" s="26" t="s">
        <v>47</v>
      </c>
      <c r="F7" s="26" t="s">
        <v>48</v>
      </c>
    </row>
    <row r="8" spans="1:6" x14ac:dyDescent="0.25">
      <c r="A8" s="10" t="s">
        <v>38</v>
      </c>
      <c r="B8" s="24">
        <v>86</v>
      </c>
      <c r="C8" s="10">
        <f>AVERAGE(Ranking[[#Data],[Comp3 - Scaled]])</f>
        <v>6.2500000000000009</v>
      </c>
      <c r="D8" s="10">
        <f>SUM(Ranking[[#Data],[Comp3 - Scaled]])</f>
        <v>93.750000000000014</v>
      </c>
      <c r="E8" s="10">
        <f>C8-MIN(Ranking[Comp3 - Scaled])</f>
        <v>5.8333333333333339</v>
      </c>
      <c r="F8" s="10">
        <f>MAX(Ranking[Comp3 - Scaled])-C8</f>
        <v>3.333333333333333</v>
      </c>
    </row>
    <row r="9" spans="1:6" x14ac:dyDescent="0.25">
      <c r="A9" s="10" t="s">
        <v>36</v>
      </c>
      <c r="B9" s="24">
        <v>100</v>
      </c>
      <c r="C9" s="10">
        <f>AVERAGE(Ranking[[#Data],[Comp1 - Scaled]])</f>
        <v>6.5833333333333321</v>
      </c>
      <c r="D9" s="10">
        <f>SUM(Ranking[[#Data],[Comp1 - Scaled]])</f>
        <v>98.749999999999986</v>
      </c>
      <c r="E9" s="10">
        <f>C9-MIN(Ranking[Comp1 - Scaled])</f>
        <v>4.9166666666666661</v>
      </c>
      <c r="F9" s="10">
        <f>MAX(Ranking[Comp1 - Scaled])-C9</f>
        <v>4.6666666666666679</v>
      </c>
    </row>
    <row r="10" spans="1:6" x14ac:dyDescent="0.25">
      <c r="A10" s="10" t="s">
        <v>37</v>
      </c>
      <c r="B10" s="24">
        <v>120</v>
      </c>
      <c r="C10" s="10">
        <f>AVERAGE(Ranking[[#Data],[Comp2 - Scaled]])</f>
        <v>7.1388888888888875</v>
      </c>
      <c r="D10" s="10">
        <f>SUM(Ranking[[#Data],[Comp2 - Scaled]])</f>
        <v>107.08333333333331</v>
      </c>
      <c r="E10" s="10">
        <f>C10-MIN(Ranking[Comp2 - Scaled])</f>
        <v>4.6388888888888875</v>
      </c>
      <c r="F10" s="10">
        <f>MAX(Ranking[Comp2 - Scaled])-C10</f>
        <v>2.8611111111111125</v>
      </c>
    </row>
    <row r="11" spans="1:6" x14ac:dyDescent="0.25">
      <c r="A11" s="10" t="s">
        <v>54</v>
      </c>
      <c r="B11" s="24">
        <v>130</v>
      </c>
      <c r="C11" s="10">
        <f>AVERAGE(Ranking[[#Data],[OwnSol - Scaled]])</f>
        <v>7.2222222222222223</v>
      </c>
      <c r="D11" s="10">
        <f>SUM(Ranking[[#Data],[OwnSol - Scaled]])</f>
        <v>108.33333333333333</v>
      </c>
      <c r="E11" s="10">
        <f>C11-MIN(Ranking[OwnSol - Scaled])</f>
        <v>4.7222222222222223</v>
      </c>
      <c r="F11" s="10">
        <f>MAX(Ranking[OwnSol - Scaled])-C11</f>
        <v>2.7777777777777777</v>
      </c>
    </row>
    <row r="16" spans="1:6" x14ac:dyDescent="0.25">
      <c r="A16" s="27" t="s">
        <v>52</v>
      </c>
      <c r="B16" s="27" t="s">
        <v>41</v>
      </c>
      <c r="C16" s="27" t="s">
        <v>53</v>
      </c>
    </row>
    <row r="17" spans="1:3" x14ac:dyDescent="0.25">
      <c r="A17" s="10" t="s">
        <v>50</v>
      </c>
      <c r="B17" s="10">
        <f>MIN(B8:B11)*0.75</f>
        <v>64.5</v>
      </c>
      <c r="C17" s="10">
        <f>(B17*$B$2)+$B$3</f>
        <v>3.8699999999999997</v>
      </c>
    </row>
    <row r="18" spans="1:3" x14ac:dyDescent="0.25">
      <c r="A18" s="10" t="s">
        <v>51</v>
      </c>
      <c r="B18" s="10">
        <f>MAX(B8:B11)*1.25</f>
        <v>162.5</v>
      </c>
      <c r="C18" s="10">
        <f>(B18*$B$2)+$B$3</f>
        <v>9.75</v>
      </c>
    </row>
  </sheetData>
  <sortState ref="A8:F11">
    <sortCondition ref="B8:B1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D23" sqref="D23"/>
    </sheetView>
  </sheetViews>
  <sheetFormatPr defaultRowHeight="15" x14ac:dyDescent="0.25"/>
  <cols>
    <col min="4" max="12" width="11.140625" customWidth="1"/>
    <col min="13" max="13" width="12.140625" customWidth="1"/>
  </cols>
  <sheetData>
    <row r="1" spans="1:16" ht="45.75" x14ac:dyDescent="0.25">
      <c r="A1" s="22" t="s">
        <v>7</v>
      </c>
      <c r="B1" s="22" t="s">
        <v>8</v>
      </c>
      <c r="C1" s="22" t="s">
        <v>15</v>
      </c>
      <c r="D1" s="1" t="s">
        <v>55</v>
      </c>
      <c r="E1" s="1" t="s">
        <v>56</v>
      </c>
      <c r="F1" s="1" t="s">
        <v>57</v>
      </c>
      <c r="G1" s="1" t="s">
        <v>58</v>
      </c>
      <c r="H1" s="1" t="s">
        <v>59</v>
      </c>
      <c r="I1" s="1" t="s">
        <v>60</v>
      </c>
      <c r="J1" s="1" t="s">
        <v>61</v>
      </c>
      <c r="K1" s="1" t="s">
        <v>62</v>
      </c>
      <c r="L1" s="1" t="s">
        <v>63</v>
      </c>
      <c r="M1" s="1" t="s">
        <v>64</v>
      </c>
      <c r="N1" s="1" t="s">
        <v>65</v>
      </c>
      <c r="P1" s="35" t="s">
        <v>102</v>
      </c>
    </row>
    <row r="2" spans="1:16" x14ac:dyDescent="0.25">
      <c r="A2" t="str">
        <f>BuyFactors[#All]</f>
        <v>KAF1</v>
      </c>
      <c r="B2">
        <f>BuyFactors[#All]</f>
        <v>0</v>
      </c>
      <c r="C2">
        <f>BuyFactors[#All]</f>
        <v>0</v>
      </c>
      <c r="D2" s="25">
        <v>0.1</v>
      </c>
      <c r="E2" s="25">
        <v>0.01</v>
      </c>
      <c r="F2" s="25">
        <v>0.05</v>
      </c>
      <c r="G2" s="25">
        <v>0.02</v>
      </c>
      <c r="H2" s="25">
        <v>0.06</v>
      </c>
      <c r="I2" s="25">
        <v>7.0000000000000007E-2</v>
      </c>
      <c r="J2" s="25">
        <v>0.02</v>
      </c>
      <c r="K2" s="25">
        <v>0.18</v>
      </c>
      <c r="L2" s="25">
        <v>0.09</v>
      </c>
      <c r="M2" s="25">
        <v>0.4</v>
      </c>
      <c r="N2" s="12">
        <f>SUM(ValueDist[[#This Row],[Element 1]:[Element 10]])</f>
        <v>1</v>
      </c>
    </row>
    <row r="3" spans="1:16" x14ac:dyDescent="0.25">
      <c r="A3" t="str">
        <f>BuyFactors[#All]</f>
        <v>KAF2</v>
      </c>
      <c r="B3">
        <f>BuyFactors[#All]</f>
        <v>0</v>
      </c>
      <c r="C3">
        <f>BuyFactors[#All]</f>
        <v>0</v>
      </c>
      <c r="D3" s="25">
        <v>0.01</v>
      </c>
      <c r="E3" s="25">
        <v>0.03</v>
      </c>
      <c r="F3" s="25">
        <v>0</v>
      </c>
      <c r="G3" s="25">
        <v>0.2</v>
      </c>
      <c r="H3" s="25">
        <v>0.5</v>
      </c>
      <c r="I3" s="25">
        <v>0.02</v>
      </c>
      <c r="J3" s="25">
        <v>0.05</v>
      </c>
      <c r="K3" s="25">
        <v>0.03</v>
      </c>
      <c r="L3" s="25">
        <v>0</v>
      </c>
      <c r="M3" s="25">
        <v>0.16</v>
      </c>
      <c r="N3" s="12">
        <f>SUM(ValueDist[[#This Row],[Element 1]:[Element 10]])</f>
        <v>1</v>
      </c>
    </row>
    <row r="4" spans="1:16" x14ac:dyDescent="0.25">
      <c r="A4" t="str">
        <f>BuyFactors[#All]</f>
        <v>KAF3</v>
      </c>
      <c r="B4">
        <f>BuyFactors[#All]</f>
        <v>0</v>
      </c>
      <c r="C4">
        <f>BuyFactors[#All]</f>
        <v>0</v>
      </c>
      <c r="D4" s="25">
        <v>0.03</v>
      </c>
      <c r="E4" s="25">
        <v>0.12</v>
      </c>
      <c r="F4" s="25">
        <v>0</v>
      </c>
      <c r="G4" s="25">
        <v>0</v>
      </c>
      <c r="H4" s="25">
        <v>0</v>
      </c>
      <c r="I4" s="25">
        <v>0.5</v>
      </c>
      <c r="J4" s="25">
        <v>0.1</v>
      </c>
      <c r="K4" s="25">
        <v>0.1</v>
      </c>
      <c r="L4" s="25">
        <v>0.05</v>
      </c>
      <c r="M4" s="25">
        <v>0.1</v>
      </c>
      <c r="N4" s="12">
        <f>SUM(ValueDist[[#This Row],[Element 1]:[Element 10]])</f>
        <v>1</v>
      </c>
    </row>
    <row r="5" spans="1:16" x14ac:dyDescent="0.25">
      <c r="A5" t="str">
        <f>BuyFactors[#All]</f>
        <v>KAF4</v>
      </c>
      <c r="B5">
        <f>BuyFactors[#All]</f>
        <v>0</v>
      </c>
      <c r="C5">
        <f>BuyFactors[#All]</f>
        <v>0</v>
      </c>
      <c r="D5" s="25">
        <v>0.04</v>
      </c>
      <c r="E5" s="25">
        <v>0.04</v>
      </c>
      <c r="F5" s="25">
        <v>0.15</v>
      </c>
      <c r="G5" s="25">
        <v>0.1</v>
      </c>
      <c r="H5" s="25">
        <v>0.15</v>
      </c>
      <c r="I5" s="25">
        <v>0.09</v>
      </c>
      <c r="J5" s="25">
        <v>0.08</v>
      </c>
      <c r="K5" s="25">
        <v>7.0000000000000007E-2</v>
      </c>
      <c r="L5" s="25">
        <v>0.01</v>
      </c>
      <c r="M5" s="25">
        <v>0.27</v>
      </c>
      <c r="N5" s="12">
        <f>SUM(ValueDist[[#This Row],[Element 1]:[Element 10]])</f>
        <v>1</v>
      </c>
    </row>
    <row r="6" spans="1:16" x14ac:dyDescent="0.25">
      <c r="A6" t="str">
        <f>BuyFactors[#All]</f>
        <v>KAF5</v>
      </c>
      <c r="B6">
        <f>BuyFactors[#All]</f>
        <v>0</v>
      </c>
      <c r="C6">
        <f>BuyFactors[#All]</f>
        <v>0</v>
      </c>
      <c r="D6" s="25">
        <v>0.06</v>
      </c>
      <c r="E6" s="25">
        <v>0.05</v>
      </c>
      <c r="F6" s="25">
        <v>0.13</v>
      </c>
      <c r="G6" s="25">
        <v>0.3</v>
      </c>
      <c r="H6" s="25">
        <v>0.15</v>
      </c>
      <c r="I6" s="25">
        <v>0</v>
      </c>
      <c r="J6" s="25">
        <v>0</v>
      </c>
      <c r="K6" s="25">
        <v>0.11</v>
      </c>
      <c r="L6" s="25">
        <v>0.19</v>
      </c>
      <c r="M6" s="25">
        <v>0.01</v>
      </c>
      <c r="N6" s="12">
        <f>SUM(ValueDist[[#This Row],[Element 1]:[Element 10]])</f>
        <v>1</v>
      </c>
    </row>
    <row r="7" spans="1:16" x14ac:dyDescent="0.25">
      <c r="A7" t="str">
        <f>BuyFactors[#All]</f>
        <v>KAF6</v>
      </c>
      <c r="B7">
        <f>BuyFactors[#All]</f>
        <v>0</v>
      </c>
      <c r="C7">
        <f>BuyFactors[#All]</f>
        <v>0</v>
      </c>
      <c r="D7" s="25">
        <v>0</v>
      </c>
      <c r="E7" s="25">
        <v>0.09</v>
      </c>
      <c r="F7" s="25">
        <v>0.01</v>
      </c>
      <c r="G7" s="25">
        <v>0.36</v>
      </c>
      <c r="H7" s="25">
        <v>0.04</v>
      </c>
      <c r="I7" s="25">
        <v>0.21</v>
      </c>
      <c r="J7" s="25">
        <v>0.16</v>
      </c>
      <c r="K7" s="25">
        <v>0.08</v>
      </c>
      <c r="L7" s="25">
        <v>0.03</v>
      </c>
      <c r="M7" s="25">
        <v>0.02</v>
      </c>
      <c r="N7" s="12">
        <f>SUM(ValueDist[[#This Row],[Element 1]:[Element 10]])</f>
        <v>1</v>
      </c>
    </row>
    <row r="8" spans="1:16" x14ac:dyDescent="0.25">
      <c r="A8" t="str">
        <f>BuyFactors[#All]</f>
        <v>KAF7</v>
      </c>
      <c r="B8">
        <f>BuyFactors[#All]</f>
        <v>0</v>
      </c>
      <c r="C8">
        <f>BuyFactors[#All]</f>
        <v>0</v>
      </c>
      <c r="D8" s="25">
        <v>0</v>
      </c>
      <c r="E8" s="25">
        <v>0.01</v>
      </c>
      <c r="F8" s="25">
        <v>0.04</v>
      </c>
      <c r="G8" s="25">
        <v>0.8</v>
      </c>
      <c r="H8" s="25">
        <v>0</v>
      </c>
      <c r="I8" s="25">
        <v>0</v>
      </c>
      <c r="J8" s="25">
        <v>0</v>
      </c>
      <c r="K8" s="25">
        <v>0</v>
      </c>
      <c r="L8" s="25">
        <v>0.05</v>
      </c>
      <c r="M8" s="25">
        <v>0.1</v>
      </c>
      <c r="N8" s="12">
        <f>SUM(ValueDist[[#This Row],[Element 1]:[Element 10]])</f>
        <v>1.0000000000000002</v>
      </c>
    </row>
    <row r="9" spans="1:16" x14ac:dyDescent="0.25">
      <c r="A9" t="str">
        <f>BuyFactors[#All]</f>
        <v>KAF8</v>
      </c>
      <c r="B9">
        <f>BuyFactors[#All]</f>
        <v>0</v>
      </c>
      <c r="C9">
        <f>BuyFactors[#All]</f>
        <v>0</v>
      </c>
      <c r="D9" s="25">
        <v>0.09</v>
      </c>
      <c r="E9" s="25">
        <v>0.05</v>
      </c>
      <c r="F9" s="25">
        <v>0.05</v>
      </c>
      <c r="G9" s="25">
        <v>0</v>
      </c>
      <c r="H9" s="25">
        <v>0</v>
      </c>
      <c r="I9" s="25">
        <v>0</v>
      </c>
      <c r="J9" s="25">
        <v>0.11</v>
      </c>
      <c r="K9" s="25">
        <v>0.21</v>
      </c>
      <c r="L9" s="25">
        <v>0.39</v>
      </c>
      <c r="M9" s="25">
        <v>0.1</v>
      </c>
      <c r="N9" s="12">
        <f>SUM(ValueDist[[#This Row],[Element 1]:[Element 10]])</f>
        <v>1</v>
      </c>
    </row>
    <row r="10" spans="1:16" x14ac:dyDescent="0.25">
      <c r="A10" t="str">
        <f>BuyFactors[#All]</f>
        <v>KAF9</v>
      </c>
      <c r="B10">
        <f>BuyFactors[#All]</f>
        <v>0</v>
      </c>
      <c r="C10">
        <f>BuyFactors[#All]</f>
        <v>0</v>
      </c>
      <c r="D10" s="25">
        <v>0.1</v>
      </c>
      <c r="E10" s="25">
        <v>0.05</v>
      </c>
      <c r="F10" s="25">
        <v>0.06</v>
      </c>
      <c r="G10" s="25">
        <v>0.2</v>
      </c>
      <c r="H10" s="25">
        <v>0.02</v>
      </c>
      <c r="I10" s="25">
        <v>0.03</v>
      </c>
      <c r="J10" s="25">
        <v>7.0000000000000007E-2</v>
      </c>
      <c r="K10" s="25">
        <v>0</v>
      </c>
      <c r="L10" s="25">
        <v>7.0000000000000007E-2</v>
      </c>
      <c r="M10" s="25">
        <v>0.4</v>
      </c>
      <c r="N10" s="12">
        <f>SUM(ValueDist[[#This Row],[Element 1]:[Element 10]])</f>
        <v>1</v>
      </c>
    </row>
    <row r="11" spans="1:16" x14ac:dyDescent="0.25">
      <c r="A11" t="str">
        <f>BuyFactors[#All]</f>
        <v>KAF10</v>
      </c>
      <c r="B11">
        <f>BuyFactors[#All]</f>
        <v>0</v>
      </c>
      <c r="C11">
        <f>BuyFactors[#All]</f>
        <v>0</v>
      </c>
      <c r="D11" s="25">
        <v>0.8</v>
      </c>
      <c r="E11" s="25">
        <v>0.06</v>
      </c>
      <c r="F11" s="25">
        <v>7.0000000000000007E-2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7.0000000000000007E-2</v>
      </c>
      <c r="N11" s="12">
        <f>SUM(ValueDist[[#This Row],[Element 1]:[Element 10]])</f>
        <v>1.0000000000000002</v>
      </c>
    </row>
    <row r="12" spans="1:16" x14ac:dyDescent="0.25">
      <c r="A12" t="str">
        <f>BuyFactors[#All]</f>
        <v>KAF11</v>
      </c>
      <c r="B12">
        <f>BuyFactors[#All]</f>
        <v>0</v>
      </c>
      <c r="C12">
        <f>BuyFactors[#All]</f>
        <v>0</v>
      </c>
      <c r="D12" s="25">
        <v>0.12</v>
      </c>
      <c r="E12" s="25">
        <v>0.09</v>
      </c>
      <c r="F12" s="25">
        <v>0.09</v>
      </c>
      <c r="G12" s="25">
        <v>0.1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0.6</v>
      </c>
      <c r="N12" s="12">
        <f>SUM(ValueDist[[#This Row],[Element 1]:[Element 10]])</f>
        <v>1</v>
      </c>
    </row>
    <row r="13" spans="1:16" x14ac:dyDescent="0.25">
      <c r="A13" t="str">
        <f>BuyFactors[#All]</f>
        <v>KAF12</v>
      </c>
      <c r="B13">
        <f>BuyFactors[#All]</f>
        <v>0</v>
      </c>
      <c r="C13">
        <f>BuyFactors[#All]</f>
        <v>0</v>
      </c>
      <c r="D13" s="25">
        <v>0</v>
      </c>
      <c r="E13" s="25">
        <v>0.1</v>
      </c>
      <c r="F13" s="25">
        <v>0.02</v>
      </c>
      <c r="G13" s="25">
        <v>0.05</v>
      </c>
      <c r="H13" s="25">
        <v>0.2</v>
      </c>
      <c r="I13" s="25">
        <v>0.02</v>
      </c>
      <c r="J13" s="25">
        <v>0.21</v>
      </c>
      <c r="K13" s="25">
        <v>0.27</v>
      </c>
      <c r="L13" s="25">
        <v>0.06</v>
      </c>
      <c r="M13" s="25">
        <v>7.0000000000000007E-2</v>
      </c>
      <c r="N13" s="12">
        <f>SUM(ValueDist[[#This Row],[Element 1]:[Element 10]])</f>
        <v>1</v>
      </c>
    </row>
    <row r="14" spans="1:16" x14ac:dyDescent="0.25">
      <c r="A14" t="str">
        <f>BuyFactors[#All]</f>
        <v>KAF13</v>
      </c>
      <c r="B14">
        <f>BuyFactors[#All]</f>
        <v>0</v>
      </c>
      <c r="C14">
        <f>BuyFactors[#All]</f>
        <v>0</v>
      </c>
      <c r="D14" s="25">
        <v>0.01</v>
      </c>
      <c r="E14" s="25">
        <v>0.03</v>
      </c>
      <c r="F14" s="25">
        <v>0.11</v>
      </c>
      <c r="G14" s="25">
        <v>0.08</v>
      </c>
      <c r="H14" s="25">
        <v>0.4</v>
      </c>
      <c r="I14" s="25">
        <v>0.03</v>
      </c>
      <c r="J14" s="25">
        <v>0.03</v>
      </c>
      <c r="K14" s="25">
        <v>0.02</v>
      </c>
      <c r="L14" s="25">
        <v>0.01</v>
      </c>
      <c r="M14" s="25">
        <v>0.28000000000000003</v>
      </c>
      <c r="N14" s="12">
        <f>SUM(ValueDist[[#This Row],[Element 1]:[Element 10]])</f>
        <v>1</v>
      </c>
    </row>
    <row r="15" spans="1:16" x14ac:dyDescent="0.25">
      <c r="A15" t="str">
        <f>BuyFactors[#All]</f>
        <v>KAF14</v>
      </c>
      <c r="B15">
        <f>BuyFactors[#All]</f>
        <v>0</v>
      </c>
      <c r="C15">
        <f>BuyFactors[#All]</f>
        <v>0</v>
      </c>
      <c r="D15" s="25">
        <v>0.04</v>
      </c>
      <c r="E15" s="25">
        <v>0.15</v>
      </c>
      <c r="F15" s="25">
        <v>0.12</v>
      </c>
      <c r="G15" s="25">
        <v>0.1</v>
      </c>
      <c r="H15" s="25">
        <v>0.05</v>
      </c>
      <c r="I15" s="25">
        <v>0.1</v>
      </c>
      <c r="J15" s="25">
        <v>0.14000000000000001</v>
      </c>
      <c r="K15" s="25">
        <v>0.3</v>
      </c>
      <c r="L15" s="25">
        <v>0</v>
      </c>
      <c r="M15" s="25">
        <v>0</v>
      </c>
      <c r="N15" s="12">
        <f>SUM(ValueDist[[#This Row],[Element 1]:[Element 10]])</f>
        <v>1</v>
      </c>
    </row>
    <row r="16" spans="1:16" x14ac:dyDescent="0.25">
      <c r="A16" t="str">
        <f>BuyFactors[#All]</f>
        <v>KAF15</v>
      </c>
      <c r="B16">
        <f>BuyFactors[#All]</f>
        <v>0</v>
      </c>
      <c r="C16">
        <f>BuyFactors[#All]</f>
        <v>0</v>
      </c>
      <c r="D16" s="25">
        <v>0.09</v>
      </c>
      <c r="E16" s="25">
        <v>0.12</v>
      </c>
      <c r="F16" s="25">
        <v>0.02</v>
      </c>
      <c r="G16" s="25">
        <v>0</v>
      </c>
      <c r="H16" s="25">
        <v>0.1</v>
      </c>
      <c r="I16" s="25">
        <v>0.16</v>
      </c>
      <c r="J16" s="25">
        <v>0.11</v>
      </c>
      <c r="K16" s="25">
        <v>0</v>
      </c>
      <c r="L16" s="25">
        <v>0.2</v>
      </c>
      <c r="M16" s="25">
        <v>0.2</v>
      </c>
      <c r="N16" s="12">
        <f>SUM(ValueDist[[#This Row],[Element 1]:[Element 10]])</f>
        <v>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E10" sqref="E10"/>
    </sheetView>
  </sheetViews>
  <sheetFormatPr defaultRowHeight="15" x14ac:dyDescent="0.25"/>
  <cols>
    <col min="1" max="1" width="26.85546875" bestFit="1" customWidth="1"/>
    <col min="2" max="8" width="11.42578125" customWidth="1"/>
    <col min="9" max="9" width="13.28515625" customWidth="1"/>
    <col min="10" max="10" width="11.42578125" customWidth="1"/>
    <col min="11" max="11" width="15.140625" customWidth="1"/>
    <col min="12" max="12" width="12.140625" bestFit="1" customWidth="1"/>
  </cols>
  <sheetData>
    <row r="1" spans="1:12" x14ac:dyDescent="0.25">
      <c r="A1" s="28" t="s">
        <v>96</v>
      </c>
      <c r="B1" s="28" t="str">
        <f>'Step 4'!D$1</f>
        <v>Element 1</v>
      </c>
      <c r="C1" s="28" t="str">
        <f>'Step 4'!E$1</f>
        <v>Element 2</v>
      </c>
      <c r="D1" s="28" t="str">
        <f>'Step 4'!F$1</f>
        <v>Element 3</v>
      </c>
      <c r="E1" s="28" t="str">
        <f>'Step 4'!G$1</f>
        <v>Element 4</v>
      </c>
      <c r="F1" s="28" t="str">
        <f>'Step 4'!H$1</f>
        <v>Element 5</v>
      </c>
      <c r="G1" s="28" t="str">
        <f>'Step 4'!I$1</f>
        <v>Element 6</v>
      </c>
      <c r="H1" s="28" t="str">
        <f>'Step 4'!J$1</f>
        <v>Element 7</v>
      </c>
      <c r="I1" s="28" t="str">
        <f>'Step 4'!K$1</f>
        <v>Element 8</v>
      </c>
      <c r="J1" s="28" t="str">
        <f>'Step 4'!L$1</f>
        <v>Element 9</v>
      </c>
      <c r="K1" s="28" t="str">
        <f>'Step 4'!M$1</f>
        <v>Element 10</v>
      </c>
      <c r="L1" s="28" t="s">
        <v>71</v>
      </c>
    </row>
    <row r="2" spans="1:12" x14ac:dyDescent="0.25">
      <c r="A2" s="10" t="s">
        <v>68</v>
      </c>
      <c r="B2" s="32">
        <v>1235</v>
      </c>
      <c r="C2" s="32">
        <v>11011</v>
      </c>
      <c r="D2" s="32">
        <v>11</v>
      </c>
      <c r="E2" s="32">
        <v>5</v>
      </c>
      <c r="F2" s="32">
        <v>0</v>
      </c>
      <c r="G2" s="32">
        <v>0</v>
      </c>
      <c r="H2" s="32">
        <v>0</v>
      </c>
      <c r="I2" s="32">
        <v>150000</v>
      </c>
      <c r="J2" s="32">
        <v>0</v>
      </c>
      <c r="K2" s="32">
        <v>100000</v>
      </c>
      <c r="L2" s="29">
        <f>SUM(B2:K2)</f>
        <v>262262</v>
      </c>
    </row>
    <row r="3" spans="1:12" x14ac:dyDescent="0.25">
      <c r="A3" s="10" t="s">
        <v>69</v>
      </c>
      <c r="B3" s="30">
        <f>B2/$L$2</f>
        <v>4.7090314265886783E-3</v>
      </c>
      <c r="C3" s="30">
        <f t="shared" ref="C3:K3" si="0">C2/$L$2</f>
        <v>4.1984732824427481E-2</v>
      </c>
      <c r="D3" s="30">
        <f t="shared" si="0"/>
        <v>4.1942790034393089E-5</v>
      </c>
      <c r="E3" s="30">
        <f t="shared" si="0"/>
        <v>1.9064904561087769E-5</v>
      </c>
      <c r="F3" s="30">
        <f t="shared" si="0"/>
        <v>0</v>
      </c>
      <c r="G3" s="30">
        <f t="shared" si="0"/>
        <v>0</v>
      </c>
      <c r="H3" s="30">
        <f t="shared" si="0"/>
        <v>0</v>
      </c>
      <c r="I3" s="30">
        <f t="shared" si="0"/>
        <v>0.57194713683263299</v>
      </c>
      <c r="J3" s="30">
        <f t="shared" si="0"/>
        <v>0</v>
      </c>
      <c r="K3" s="30">
        <f t="shared" si="0"/>
        <v>0.38129809122175534</v>
      </c>
      <c r="L3" s="10"/>
    </row>
    <row r="4" spans="1:12" x14ac:dyDescent="0.25">
      <c r="A4" s="10" t="s">
        <v>73</v>
      </c>
      <c r="B4" s="31">
        <f>B2*10/(MAX($B$2:$K$2))</f>
        <v>8.2333333333333328E-2</v>
      </c>
      <c r="C4" s="31">
        <f t="shared" ref="C4:K4" si="1">C2*10/(MAX($B$2:$K$2))</f>
        <v>0.73406666666666665</v>
      </c>
      <c r="D4" s="31">
        <f t="shared" si="1"/>
        <v>7.3333333333333334E-4</v>
      </c>
      <c r="E4" s="31">
        <f t="shared" si="1"/>
        <v>3.3333333333333332E-4</v>
      </c>
      <c r="F4" s="31">
        <f t="shared" si="1"/>
        <v>0</v>
      </c>
      <c r="G4" s="31">
        <f t="shared" si="1"/>
        <v>0</v>
      </c>
      <c r="H4" s="31">
        <f t="shared" si="1"/>
        <v>0</v>
      </c>
      <c r="I4" s="31">
        <f t="shared" si="1"/>
        <v>10</v>
      </c>
      <c r="J4" s="31">
        <f t="shared" si="1"/>
        <v>0</v>
      </c>
      <c r="K4" s="31">
        <f t="shared" si="1"/>
        <v>6.666666666666667</v>
      </c>
      <c r="L4" s="10"/>
    </row>
    <row r="5" spans="1:12" x14ac:dyDescent="0.25">
      <c r="A5" s="10" t="s">
        <v>72</v>
      </c>
      <c r="B5" s="32">
        <v>10</v>
      </c>
      <c r="C5" s="32">
        <v>12</v>
      </c>
      <c r="D5" s="32">
        <v>5</v>
      </c>
      <c r="E5" s="32">
        <v>0.5</v>
      </c>
      <c r="F5" s="32">
        <v>1</v>
      </c>
      <c r="G5" s="32">
        <v>5</v>
      </c>
      <c r="H5" s="32">
        <v>10</v>
      </c>
      <c r="I5" s="32">
        <v>40</v>
      </c>
      <c r="J5" s="32">
        <v>10</v>
      </c>
      <c r="K5" s="32">
        <v>50</v>
      </c>
      <c r="L5" s="29">
        <f t="shared" ref="L5" si="2">SUM(B5:K5)</f>
        <v>143.5</v>
      </c>
    </row>
    <row r="6" spans="1:12" x14ac:dyDescent="0.25">
      <c r="A6" s="10" t="s">
        <v>70</v>
      </c>
      <c r="B6" s="30">
        <f>B5/$L$5</f>
        <v>6.968641114982578E-2</v>
      </c>
      <c r="C6" s="30">
        <f t="shared" ref="C6:K6" si="3">C5/$L$5</f>
        <v>8.3623693379790948E-2</v>
      </c>
      <c r="D6" s="30">
        <f t="shared" si="3"/>
        <v>3.484320557491289E-2</v>
      </c>
      <c r="E6" s="30">
        <f t="shared" si="3"/>
        <v>3.4843205574912892E-3</v>
      </c>
      <c r="F6" s="30">
        <f t="shared" si="3"/>
        <v>6.9686411149825784E-3</v>
      </c>
      <c r="G6" s="30">
        <f t="shared" si="3"/>
        <v>3.484320557491289E-2</v>
      </c>
      <c r="H6" s="30">
        <f t="shared" si="3"/>
        <v>6.968641114982578E-2</v>
      </c>
      <c r="I6" s="30">
        <f t="shared" si="3"/>
        <v>0.27874564459930312</v>
      </c>
      <c r="J6" s="30">
        <f t="shared" si="3"/>
        <v>6.968641114982578E-2</v>
      </c>
      <c r="K6" s="30">
        <f t="shared" si="3"/>
        <v>0.34843205574912894</v>
      </c>
      <c r="L6" s="29"/>
    </row>
    <row r="7" spans="1:12" x14ac:dyDescent="0.25">
      <c r="A7" s="10" t="s">
        <v>74</v>
      </c>
      <c r="B7" s="15">
        <f>B5*10/(MAX($B$5:$K$5))</f>
        <v>2</v>
      </c>
      <c r="C7" s="15">
        <f t="shared" ref="C7:K7" si="4">C5*10/(MAX($B$5:$K$5))</f>
        <v>2.4</v>
      </c>
      <c r="D7" s="15">
        <f t="shared" si="4"/>
        <v>1</v>
      </c>
      <c r="E7" s="15">
        <f t="shared" si="4"/>
        <v>0.1</v>
      </c>
      <c r="F7" s="15">
        <f t="shared" si="4"/>
        <v>0.2</v>
      </c>
      <c r="G7" s="15">
        <f t="shared" si="4"/>
        <v>1</v>
      </c>
      <c r="H7" s="15">
        <f t="shared" si="4"/>
        <v>2</v>
      </c>
      <c r="I7" s="15">
        <f t="shared" si="4"/>
        <v>8</v>
      </c>
      <c r="J7" s="15">
        <f t="shared" si="4"/>
        <v>2</v>
      </c>
      <c r="K7" s="15">
        <f t="shared" si="4"/>
        <v>10</v>
      </c>
      <c r="L7" s="10"/>
    </row>
    <row r="8" spans="1:12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2" s="1" customFormat="1" ht="60" x14ac:dyDescent="0.25">
      <c r="A9" s="33" t="s">
        <v>97</v>
      </c>
      <c r="B9" s="33" t="s">
        <v>100</v>
      </c>
      <c r="C9" s="33" t="s">
        <v>101</v>
      </c>
      <c r="D9" s="33" t="s">
        <v>99</v>
      </c>
      <c r="E9" s="33" t="s">
        <v>98</v>
      </c>
    </row>
    <row r="10" spans="1:12" x14ac:dyDescent="0.25">
      <c r="A10" t="str">
        <f>'Step 4'!$A2</f>
        <v>KAF1</v>
      </c>
      <c r="B10">
        <f>SUMPRODUCT($B$3:$K$3,'Step 4'!D2:M2)</f>
        <v>0.25636295002707216</v>
      </c>
      <c r="C10">
        <f>SUMPRODUCT($B$6:$K$6,'Step 4'!D2:M2)</f>
        <v>0.20968641114982578</v>
      </c>
      <c r="D10">
        <f>B10*10/MAX($B$10:$B$24)</f>
        <v>10</v>
      </c>
      <c r="E10">
        <f>C10*10/MAX($C$10:$C$24)</f>
        <v>9.1793776693105542</v>
      </c>
    </row>
    <row r="11" spans="1:12" x14ac:dyDescent="0.25">
      <c r="A11" t="str">
        <f>'Step 4'!$A3</f>
        <v>KAF2</v>
      </c>
      <c r="B11">
        <f>SUMPRODUCT($B$3:$K$3,'Step 4'!D3:M3)</f>
        <v>7.9476553980370762E-2</v>
      </c>
      <c r="C11">
        <f>SUMPRODUCT($B$6:$K$6,'Step 4'!D3:M3)</f>
        <v>7.5679442508710809E-2</v>
      </c>
      <c r="D11">
        <f t="shared" ref="D11:D24" si="5">B11*10/MAX($B$10:$B$24)</f>
        <v>3.1001575684777372</v>
      </c>
      <c r="E11">
        <f t="shared" ref="E11:E24" si="6">C11*10/MAX($C$10:$C$24)</f>
        <v>3.312995729103112</v>
      </c>
    </row>
    <row r="12" spans="1:12" x14ac:dyDescent="0.25">
      <c r="A12" t="str">
        <f>'Step 4'!$A4</f>
        <v>KAF3</v>
      </c>
      <c r="B12">
        <f>SUMPRODUCT($B$3:$K$3,'Step 4'!D4:M4)</f>
        <v>0.1005039616871678</v>
      </c>
      <c r="C12">
        <f>SUMPRODUCT($B$6:$K$6,'Step 4'!D4:M4)</f>
        <v>0.10271777003484321</v>
      </c>
      <c r="D12">
        <f t="shared" si="5"/>
        <v>3.9203777954870036</v>
      </c>
      <c r="E12">
        <f t="shared" si="6"/>
        <v>4.4966442953020138</v>
      </c>
    </row>
    <row r="13" spans="1:12" x14ac:dyDescent="0.25">
      <c r="A13" t="str">
        <f>'Step 4'!$A5</f>
        <v>KAF4</v>
      </c>
      <c r="B13">
        <f>SUMPRODUCT($B$3:$K$3,'Step 4'!D5:M5)</f>
        <v>0.14486273268716018</v>
      </c>
      <c r="C13">
        <f>SUMPRODUCT($B$6:$K$6,'Step 4'!D5:M5)</f>
        <v>0.13574912891986063</v>
      </c>
      <c r="D13">
        <f t="shared" si="5"/>
        <v>5.6506890980877911</v>
      </c>
      <c r="E13">
        <f t="shared" si="6"/>
        <v>5.9426479560707755</v>
      </c>
    </row>
    <row r="14" spans="1:12" x14ac:dyDescent="0.25">
      <c r="A14" t="str">
        <f>'Step 4'!$A6</f>
        <v>KAF5</v>
      </c>
      <c r="B14">
        <f>SUMPRODUCT($B$3:$K$3,'Step 4'!D6:M6)</f>
        <v>6.9120116524696684E-2</v>
      </c>
      <c r="C14">
        <f>SUMPRODUCT($B$6:$K$6,'Step 4'!D6:M6)</f>
        <v>6.2369337979094074E-2</v>
      </c>
      <c r="D14">
        <f t="shared" si="5"/>
        <v>2.6961819762722161</v>
      </c>
      <c r="E14">
        <f t="shared" si="6"/>
        <v>2.7303233679072605</v>
      </c>
    </row>
    <row r="15" spans="1:12" x14ac:dyDescent="0.25">
      <c r="A15" t="str">
        <f>'Step 4'!$A7</f>
        <v>KAF6</v>
      </c>
      <c r="B15">
        <f>SUMPRODUCT($B$3:$K$3,'Step 4'!D7:M7)</f>
        <v>5.7167641518786554E-2</v>
      </c>
      <c r="C15">
        <f>SUMPRODUCT($B$6:$K$6,'Step 4'!D7:M7)</f>
        <v>5.9233449477351915E-2</v>
      </c>
      <c r="D15">
        <f t="shared" si="5"/>
        <v>2.2299494335179713</v>
      </c>
      <c r="E15">
        <f t="shared" si="6"/>
        <v>2.5930445393532642</v>
      </c>
    </row>
    <row r="16" spans="1:12" x14ac:dyDescent="0.25">
      <c r="A16" t="str">
        <f>'Step 4'!$A8</f>
        <v>KAF7</v>
      </c>
      <c r="B16">
        <f>SUMPRODUCT($B$3:$K$3,'Step 4'!D8:M8)</f>
        <v>3.8566586085670054E-2</v>
      </c>
      <c r="C16">
        <f>SUMPRODUCT($B$6:$K$6,'Step 4'!D8:M8)</f>
        <v>4.3344947735191638E-2</v>
      </c>
      <c r="D16">
        <f t="shared" si="5"/>
        <v>1.5043744067384692</v>
      </c>
      <c r="E16">
        <f t="shared" si="6"/>
        <v>1.8974984746796828</v>
      </c>
    </row>
    <row r="17" spans="1:5" x14ac:dyDescent="0.25">
      <c r="A17" t="str">
        <f>'Step 4'!$A9</f>
        <v>KAF8</v>
      </c>
      <c r="B17">
        <f>SUMPRODUCT($B$3:$K$3,'Step 4'!D9:M9)</f>
        <v>0.16076385446614452</v>
      </c>
      <c r="C17">
        <f>SUMPRODUCT($B$6:$K$6,'Step 4'!D9:M9)</f>
        <v>0.14041811846689894</v>
      </c>
      <c r="D17">
        <f t="shared" si="5"/>
        <v>6.2709472819363219</v>
      </c>
      <c r="E17">
        <f t="shared" si="6"/>
        <v>6.1470408785845017</v>
      </c>
    </row>
    <row r="18" spans="1:5" x14ac:dyDescent="0.25">
      <c r="A18" t="str">
        <f>'Step 4'!$A10</f>
        <v>KAF9</v>
      </c>
      <c r="B18">
        <f>SUMPRODUCT($B$3:$K$3,'Step 4'!D10:M10)</f>
        <v>0.15509570582089666</v>
      </c>
      <c r="C18">
        <f>SUMPRODUCT($B$6:$K$6,'Step 4'!D10:M10)</f>
        <v>0.16425087108013939</v>
      </c>
      <c r="D18">
        <f t="shared" si="5"/>
        <v>6.0498486932108717</v>
      </c>
      <c r="E18">
        <f t="shared" si="6"/>
        <v>7.1903599755948751</v>
      </c>
    </row>
    <row r="19" spans="1:5" x14ac:dyDescent="0.25">
      <c r="A19" t="str">
        <f>'Step 4'!$A11</f>
        <v>KAF10</v>
      </c>
      <c r="B19">
        <f>SUMPRODUCT($B$3:$K$3,'Step 4'!D11:M11)</f>
        <v>3.2980111491561881E-2</v>
      </c>
      <c r="C19">
        <f>SUMPRODUCT($B$6:$K$6,'Step 4'!D11:M11)</f>
        <v>8.7595818815331017E-2</v>
      </c>
      <c r="D19">
        <f t="shared" si="5"/>
        <v>1.2864616937852817</v>
      </c>
      <c r="E19">
        <f t="shared" si="6"/>
        <v>3.8346552776082978</v>
      </c>
    </row>
    <row r="20" spans="1:5" x14ac:dyDescent="0.25">
      <c r="A20" t="str">
        <f>'Step 4'!$A12</f>
        <v>KAF11</v>
      </c>
      <c r="B20">
        <f>SUMPRODUCT($B$3:$K$3,'Step 4'!D12:M12)</f>
        <v>0.23312824580000152</v>
      </c>
      <c r="C20">
        <f>SUMPRODUCT($B$6:$K$6,'Step 4'!D12:M12)</f>
        <v>0.22843205574912892</v>
      </c>
      <c r="D20">
        <f t="shared" si="5"/>
        <v>9.0936793236067448</v>
      </c>
      <c r="E20">
        <f t="shared" si="6"/>
        <v>10</v>
      </c>
    </row>
    <row r="21" spans="1:5" x14ac:dyDescent="0.25">
      <c r="A21" t="str">
        <f>'Step 4'!$A13</f>
        <v>KAF12</v>
      </c>
      <c r="B21">
        <f>SUMPRODUCT($B$3:$K$3,'Step 4'!D13:M13)</f>
        <v>0.18531685871380527</v>
      </c>
      <c r="C21">
        <f>SUMPRODUCT($B$6:$K$6,'Step 4'!D13:M13)</f>
        <v>0.12979094076655054</v>
      </c>
      <c r="D21">
        <f t="shared" si="5"/>
        <v>7.2286911464482539</v>
      </c>
      <c r="E21">
        <f t="shared" si="6"/>
        <v>5.6818181818181825</v>
      </c>
    </row>
    <row r="22" spans="1:5" x14ac:dyDescent="0.25">
      <c r="A22" t="str">
        <f>'Step 4'!$A14</f>
        <v>KAF13</v>
      </c>
      <c r="B22">
        <f>SUMPRODUCT($B$3:$K$3,'Step 4'!D14:M14)</f>
        <v>0.11951517947701155</v>
      </c>
      <c r="C22">
        <f>SUMPRODUCT($B$6:$K$6,'Step 4'!D14:M14)</f>
        <v>0.11707317073170734</v>
      </c>
      <c r="D22">
        <f t="shared" si="5"/>
        <v>4.6619521059650255</v>
      </c>
      <c r="E22">
        <f t="shared" si="6"/>
        <v>5.1250762660158644</v>
      </c>
    </row>
    <row r="23" spans="1:5" x14ac:dyDescent="0.25">
      <c r="A23" t="str">
        <f>'Step 4'!$A15</f>
        <v>KAF14</v>
      </c>
      <c r="B23">
        <f>SUMPRODUCT($B$3:$K$3,'Step 4'!D15:M15)</f>
        <v>0.1780771518557778</v>
      </c>
      <c r="C23">
        <f>SUMPRODUCT($B$6:$K$6,'Step 4'!D15:M15)</f>
        <v>0.11707317073170731</v>
      </c>
      <c r="D23">
        <f t="shared" si="5"/>
        <v>6.9462904775035819</v>
      </c>
      <c r="E23">
        <f t="shared" si="6"/>
        <v>5.1250762660158626</v>
      </c>
    </row>
    <row r="24" spans="1:5" x14ac:dyDescent="0.25">
      <c r="A24" t="str">
        <f>'Step 4'!$A16</f>
        <v>KAF15</v>
      </c>
      <c r="B24">
        <f>SUMPRODUCT($B$3:$K$3,'Step 4'!D16:M16)</f>
        <v>8.172243786747603E-2</v>
      </c>
      <c r="C24">
        <f>SUMPRODUCT($B$6:$K$6,'Step 4'!D16:M16)</f>
        <v>0.1145644599303136</v>
      </c>
      <c r="D24">
        <f t="shared" si="5"/>
        <v>3.1877632028671097</v>
      </c>
      <c r="E24">
        <f t="shared" si="6"/>
        <v>5.0152532031726667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zoomScale="80" zoomScaleNormal="80" workbookViewId="0">
      <selection activeCell="A5" sqref="A5"/>
    </sheetView>
  </sheetViews>
  <sheetFormatPr defaultRowHeight="15" x14ac:dyDescent="0.25"/>
  <cols>
    <col min="4" max="4" width="15" customWidth="1"/>
    <col min="5" max="5" width="12.140625" customWidth="1"/>
    <col min="6" max="6" width="11.7109375" customWidth="1"/>
    <col min="7" max="7" width="11" customWidth="1"/>
    <col min="8" max="8" width="4.28515625" customWidth="1"/>
    <col min="9" max="14" width="13.5703125" customWidth="1"/>
    <col min="15" max="15" width="3" customWidth="1"/>
    <col min="16" max="16" width="12.42578125" customWidth="1"/>
    <col min="17" max="17" width="12" customWidth="1"/>
    <col min="18" max="18" width="11.140625" customWidth="1"/>
  </cols>
  <sheetData>
    <row r="1" spans="1:19" s="1" customFormat="1" ht="73.5" x14ac:dyDescent="0.25">
      <c r="A1" s="34" t="str">
        <f>BuyFactors[#All]</f>
        <v>ID</v>
      </c>
      <c r="B1" s="34" t="str">
        <f>BuyFactors[#All]</f>
        <v>Title</v>
      </c>
      <c r="C1" s="34" t="s">
        <v>78</v>
      </c>
      <c r="D1" s="34" t="s">
        <v>79</v>
      </c>
      <c r="E1" s="34" t="s">
        <v>75</v>
      </c>
      <c r="F1" s="34" t="s">
        <v>77</v>
      </c>
      <c r="G1" s="34" t="s">
        <v>76</v>
      </c>
      <c r="H1" s="40" t="s">
        <v>107</v>
      </c>
      <c r="I1" s="38" t="s">
        <v>105</v>
      </c>
      <c r="J1" s="38" t="s">
        <v>108</v>
      </c>
      <c r="K1" s="38" t="s">
        <v>109</v>
      </c>
      <c r="L1" s="38" t="s">
        <v>110</v>
      </c>
      <c r="M1" s="38" t="s">
        <v>111</v>
      </c>
      <c r="N1" s="38" t="s">
        <v>112</v>
      </c>
      <c r="O1" s="41" t="s">
        <v>106</v>
      </c>
      <c r="P1" s="42" t="s">
        <v>113</v>
      </c>
      <c r="Q1" s="42" t="s">
        <v>114</v>
      </c>
      <c r="R1" s="42" t="s">
        <v>116</v>
      </c>
      <c r="S1" s="42" t="s">
        <v>115</v>
      </c>
    </row>
    <row r="2" spans="1:19" ht="22.5" x14ac:dyDescent="0.25">
      <c r="A2" s="10" t="str">
        <f>BuyFactors[#All]</f>
        <v>KAF1</v>
      </c>
      <c r="B2" s="10">
        <f>BuyFactors[#All]</f>
        <v>0</v>
      </c>
      <c r="C2" s="10" t="str">
        <f>CONCATENATE(A2," - ",B2)</f>
        <v>KAF1 - 0</v>
      </c>
      <c r="D2" s="10">
        <f>BuyFactors[[#Data],[Importance - Scaled]]</f>
        <v>1.875</v>
      </c>
      <c r="E2" s="14">
        <f>VLOOKUP(A2,Ranking[],9,FALSE)</f>
        <v>4.166666666666667</v>
      </c>
      <c r="F2" s="15">
        <f>VLOOKUP($A2,'Step 5'!$A$9:$E$24,4,FALSE)</f>
        <v>10</v>
      </c>
      <c r="G2" s="15">
        <f>VLOOKUP($A2,'Step 5'!$A$9:$E$24,5,FALSE)</f>
        <v>9.1793776693105542</v>
      </c>
      <c r="H2" s="39"/>
      <c r="I2" s="37" t="str">
        <f>IF(E2&lt;D2,"Performance Improvement?","")</f>
        <v/>
      </c>
      <c r="J2" s="37" t="str">
        <f>IF(F2&gt;D2,"NRC Reduction?","")</f>
        <v>NRC Reduction?</v>
      </c>
      <c r="K2" s="37" t="str">
        <f>IF(G2&gt;D2,"RC Reduction?","")</f>
        <v>RC Reduction?</v>
      </c>
      <c r="L2" s="37" t="str">
        <f>IF(F2&gt;E2,"NRC decrease or perf increase?","")</f>
        <v>NRC decrease or perf increase?</v>
      </c>
      <c r="M2" s="37" t="str">
        <f>IF(G2&gt;E2,"RC decrease or perf increase?","")</f>
        <v>RC decrease or perf increase?</v>
      </c>
      <c r="N2" s="37" t="str">
        <f>IF(AND(E2&gt;D2*1.5,OR(F2&gt;D2,G2&gt;D2)),"Efficency saving?","")</f>
        <v>Efficency saving?</v>
      </c>
      <c r="O2" s="41"/>
      <c r="P2" s="43" t="str">
        <f>IF(AND(E2&gt;D2,G2&lt;D2,F2&lt;D2),"Yes","")</f>
        <v/>
      </c>
      <c r="Q2" s="43" t="str">
        <f>IF(OR(D2&gt;F2*2,D2&gt;G2*2),"Exploit","")</f>
        <v/>
      </c>
      <c r="R2" s="43" t="str">
        <f>IF(E2&gt;F2*3,"Marketing/Sales Focus?","")</f>
        <v/>
      </c>
      <c r="S2" s="43" t="str">
        <f>IF(E2&gt;G2*2,"Marketing/Sales Focus?","")</f>
        <v/>
      </c>
    </row>
    <row r="3" spans="1:19" ht="23.25" x14ac:dyDescent="0.25">
      <c r="A3" s="10" t="str">
        <f>BuyFactors[#All]</f>
        <v>KAF2</v>
      </c>
      <c r="B3" s="10">
        <f>BuyFactors[#All]</f>
        <v>0</v>
      </c>
      <c r="C3" s="10" t="str">
        <f t="shared" ref="C3:C16" si="0">CONCATENATE(A3," - ",B3)</f>
        <v>KAF2 - 0</v>
      </c>
      <c r="D3" s="10">
        <f>BuyFactors[[#Data],[Importance - Scaled]]</f>
        <v>9.6875000000000018</v>
      </c>
      <c r="E3" s="14">
        <f>VLOOKUP(A3,Ranking[],9,FALSE)</f>
        <v>6.6666666666666661</v>
      </c>
      <c r="F3" s="15">
        <f>VLOOKUP($A3,'Step 5'!$A$9:$E$24,4,FALSE)</f>
        <v>3.1001575684777372</v>
      </c>
      <c r="G3" s="15">
        <f>VLOOKUP($A3,'Step 5'!$A$9:$E$24,5,FALSE)</f>
        <v>3.312995729103112</v>
      </c>
      <c r="H3" s="39"/>
      <c r="I3" s="37" t="str">
        <f t="shared" ref="I3:I16" si="1">IF(E3&lt;D3,"Performance Improvement?","")</f>
        <v>Performance Improvement?</v>
      </c>
      <c r="J3" s="37" t="str">
        <f t="shared" ref="J3:J16" si="2">IF(F3&gt;D3,"NRC Reduction?","")</f>
        <v/>
      </c>
      <c r="K3" s="37" t="str">
        <f t="shared" ref="K3:K16" si="3">IF(G3&gt;D3,"RC Reduction?","")</f>
        <v/>
      </c>
      <c r="L3" s="37" t="str">
        <f t="shared" ref="L3:L16" si="4">IF(F3&gt;E3,"NRC decrease or perf increase?","")</f>
        <v/>
      </c>
      <c r="M3" s="37" t="str">
        <f t="shared" ref="M3:M16" si="5">IF(G3&gt;E3,"RC decrease or perf increase?","")</f>
        <v/>
      </c>
      <c r="N3" s="37" t="str">
        <f t="shared" ref="N3:N16" si="6">IF(AND(E3&gt;D3*1.5,OR(F3&gt;D3,G3&gt;D3)),"Efficency saving?","")</f>
        <v/>
      </c>
      <c r="O3" s="41"/>
      <c r="P3" s="43" t="str">
        <f t="shared" ref="P3:P16" si="7">IF(AND(E3&gt;D3,G3&lt;D3,F3&lt;D3),"Yes","")</f>
        <v/>
      </c>
      <c r="Q3" s="43" t="str">
        <f t="shared" ref="Q3:Q16" si="8">IF(OR(D3&gt;F3*2,D3&gt;G3*2),"Exploit","")</f>
        <v>Exploit</v>
      </c>
      <c r="R3" s="43" t="str">
        <f t="shared" ref="R3:R16" si="9">IF(E3&gt;F3*3,"Marketing/Sales Focus?","")</f>
        <v/>
      </c>
      <c r="S3" s="43" t="str">
        <f t="shared" ref="S3:S16" si="10">IF(E3&gt;G3*2,"Marketing/Sales Focus?","")</f>
        <v>Marketing/Sales Focus?</v>
      </c>
    </row>
    <row r="4" spans="1:19" ht="22.5" x14ac:dyDescent="0.25">
      <c r="A4" s="10" t="str">
        <f>BuyFactors[#All]</f>
        <v>KAF3</v>
      </c>
      <c r="B4" s="10">
        <f>BuyFactors[#All]</f>
        <v>0</v>
      </c>
      <c r="C4" s="10" t="str">
        <f t="shared" si="0"/>
        <v>KAF3 - 0</v>
      </c>
      <c r="D4" s="10">
        <f>BuyFactors[[#Data],[Importance - Scaled]]</f>
        <v>10</v>
      </c>
      <c r="E4" s="14">
        <f>VLOOKUP(A4,Ranking[],9,FALSE)</f>
        <v>2.5</v>
      </c>
      <c r="F4" s="15">
        <f>VLOOKUP($A4,'Step 5'!$A$9:$E$24,4,FALSE)</f>
        <v>3.9203777954870036</v>
      </c>
      <c r="G4" s="15">
        <f>VLOOKUP($A4,'Step 5'!$A$9:$E$24,5,FALSE)</f>
        <v>4.4966442953020138</v>
      </c>
      <c r="H4" s="39"/>
      <c r="I4" s="37" t="str">
        <f t="shared" si="1"/>
        <v>Performance Improvement?</v>
      </c>
      <c r="J4" s="37" t="str">
        <f t="shared" si="2"/>
        <v/>
      </c>
      <c r="K4" s="37" t="str">
        <f t="shared" si="3"/>
        <v/>
      </c>
      <c r="L4" s="37" t="str">
        <f t="shared" si="4"/>
        <v>NRC decrease or perf increase?</v>
      </c>
      <c r="M4" s="37" t="str">
        <f t="shared" si="5"/>
        <v>RC decrease or perf increase?</v>
      </c>
      <c r="N4" s="37" t="str">
        <f t="shared" si="6"/>
        <v/>
      </c>
      <c r="O4" s="41"/>
      <c r="P4" s="43" t="str">
        <f t="shared" si="7"/>
        <v/>
      </c>
      <c r="Q4" s="43" t="str">
        <f t="shared" si="8"/>
        <v>Exploit</v>
      </c>
      <c r="R4" s="43" t="str">
        <f t="shared" si="9"/>
        <v/>
      </c>
      <c r="S4" s="43" t="str">
        <f t="shared" si="10"/>
        <v/>
      </c>
    </row>
    <row r="5" spans="1:19" x14ac:dyDescent="0.25">
      <c r="A5" s="10" t="str">
        <f>BuyFactors[#All]</f>
        <v>KAF4</v>
      </c>
      <c r="B5" s="10">
        <f>BuyFactors[#All]</f>
        <v>0</v>
      </c>
      <c r="C5" s="10" t="str">
        <f t="shared" si="0"/>
        <v>KAF4 - 0</v>
      </c>
      <c r="D5" s="10">
        <f>BuyFactors[[#Data],[Importance - Scaled]]</f>
        <v>5</v>
      </c>
      <c r="E5" s="14">
        <f>VLOOKUP(A5,Ranking[],9,FALSE)</f>
        <v>7.9166666666666661</v>
      </c>
      <c r="F5" s="15">
        <f>VLOOKUP($A5,'Step 5'!$A$9:$E$24,4,FALSE)</f>
        <v>5.6506890980877911</v>
      </c>
      <c r="G5" s="15">
        <f>VLOOKUP($A5,'Step 5'!$A$9:$E$24,5,FALSE)</f>
        <v>5.9426479560707755</v>
      </c>
      <c r="H5" s="39"/>
      <c r="I5" s="37" t="str">
        <f t="shared" si="1"/>
        <v/>
      </c>
      <c r="J5" s="37" t="str">
        <f t="shared" si="2"/>
        <v>NRC Reduction?</v>
      </c>
      <c r="K5" s="37" t="str">
        <f t="shared" si="3"/>
        <v>RC Reduction?</v>
      </c>
      <c r="L5" s="37" t="str">
        <f t="shared" si="4"/>
        <v/>
      </c>
      <c r="M5" s="37" t="str">
        <f t="shared" si="5"/>
        <v/>
      </c>
      <c r="N5" s="37" t="str">
        <f t="shared" si="6"/>
        <v>Efficency saving?</v>
      </c>
      <c r="O5" s="41"/>
      <c r="P5" s="43" t="str">
        <f t="shared" si="7"/>
        <v/>
      </c>
      <c r="Q5" s="43" t="str">
        <f t="shared" si="8"/>
        <v/>
      </c>
      <c r="R5" s="43" t="str">
        <f t="shared" si="9"/>
        <v/>
      </c>
      <c r="S5" s="43" t="str">
        <f t="shared" si="10"/>
        <v/>
      </c>
    </row>
    <row r="6" spans="1:19" ht="23.25" x14ac:dyDescent="0.25">
      <c r="A6" s="10" t="str">
        <f>BuyFactors[#All]</f>
        <v>KAF5</v>
      </c>
      <c r="B6" s="10">
        <f>BuyFactors[#All]</f>
        <v>0</v>
      </c>
      <c r="C6" s="10" t="str">
        <f t="shared" si="0"/>
        <v>KAF5 - 0</v>
      </c>
      <c r="D6" s="10">
        <f>BuyFactors[[#Data],[Importance - Scaled]]</f>
        <v>6.2500000000000009</v>
      </c>
      <c r="E6" s="14">
        <f>VLOOKUP(A6,Ranking[],9,FALSE)</f>
        <v>7.0833333333333339</v>
      </c>
      <c r="F6" s="15">
        <f>VLOOKUP($A6,'Step 5'!$A$9:$E$24,4,FALSE)</f>
        <v>2.6961819762722161</v>
      </c>
      <c r="G6" s="15">
        <f>VLOOKUP($A6,'Step 5'!$A$9:$E$24,5,FALSE)</f>
        <v>2.7303233679072605</v>
      </c>
      <c r="H6" s="39"/>
      <c r="I6" s="37" t="str">
        <f t="shared" si="1"/>
        <v/>
      </c>
      <c r="J6" s="37" t="str">
        <f t="shared" si="2"/>
        <v/>
      </c>
      <c r="K6" s="37" t="str">
        <f t="shared" si="3"/>
        <v/>
      </c>
      <c r="L6" s="37" t="str">
        <f t="shared" si="4"/>
        <v/>
      </c>
      <c r="M6" s="37" t="str">
        <f t="shared" si="5"/>
        <v/>
      </c>
      <c r="N6" s="37" t="str">
        <f t="shared" si="6"/>
        <v/>
      </c>
      <c r="O6" s="41"/>
      <c r="P6" s="43" t="str">
        <f t="shared" si="7"/>
        <v>Yes</v>
      </c>
      <c r="Q6" s="43" t="str">
        <f t="shared" si="8"/>
        <v>Exploit</v>
      </c>
      <c r="R6" s="43" t="str">
        <f t="shared" si="9"/>
        <v/>
      </c>
      <c r="S6" s="43" t="str">
        <f t="shared" si="10"/>
        <v>Marketing/Sales Focus?</v>
      </c>
    </row>
    <row r="7" spans="1:19" ht="23.25" x14ac:dyDescent="0.25">
      <c r="A7" s="10" t="str">
        <f>BuyFactors[#All]</f>
        <v>KAF6</v>
      </c>
      <c r="B7" s="10">
        <f>BuyFactors[#All]</f>
        <v>0</v>
      </c>
      <c r="C7" s="10" t="str">
        <f t="shared" si="0"/>
        <v>KAF6 - 0</v>
      </c>
      <c r="D7" s="10">
        <f>BuyFactors[[#Data],[Importance - Scaled]]</f>
        <v>3.1250000000000004</v>
      </c>
      <c r="E7" s="14">
        <f>VLOOKUP(A7,Ranking[],9,FALSE)</f>
        <v>7.5</v>
      </c>
      <c r="F7" s="15">
        <f>VLOOKUP($A7,'Step 5'!$A$9:$E$24,4,FALSE)</f>
        <v>2.2299494335179713</v>
      </c>
      <c r="G7" s="15">
        <f>VLOOKUP($A7,'Step 5'!$A$9:$E$24,5,FALSE)</f>
        <v>2.5930445393532642</v>
      </c>
      <c r="H7" s="39"/>
      <c r="I7" s="37" t="str">
        <f t="shared" si="1"/>
        <v/>
      </c>
      <c r="J7" s="37" t="str">
        <f t="shared" si="2"/>
        <v/>
      </c>
      <c r="K7" s="37" t="str">
        <f t="shared" si="3"/>
        <v/>
      </c>
      <c r="L7" s="37" t="str">
        <f t="shared" si="4"/>
        <v/>
      </c>
      <c r="M7" s="37" t="str">
        <f t="shared" si="5"/>
        <v/>
      </c>
      <c r="N7" s="37" t="str">
        <f t="shared" si="6"/>
        <v/>
      </c>
      <c r="O7" s="41"/>
      <c r="P7" s="43" t="str">
        <f t="shared" si="7"/>
        <v>Yes</v>
      </c>
      <c r="Q7" s="43" t="str">
        <f t="shared" si="8"/>
        <v/>
      </c>
      <c r="R7" s="43" t="str">
        <f t="shared" si="9"/>
        <v>Marketing/Sales Focus?</v>
      </c>
      <c r="S7" s="43" t="str">
        <f t="shared" si="10"/>
        <v>Marketing/Sales Focus?</v>
      </c>
    </row>
    <row r="8" spans="1:19" ht="23.25" x14ac:dyDescent="0.25">
      <c r="A8" s="10" t="str">
        <f>BuyFactors[#All]</f>
        <v>KAF7</v>
      </c>
      <c r="B8" s="10">
        <f>BuyFactors[#All]</f>
        <v>0</v>
      </c>
      <c r="C8" s="10" t="str">
        <f t="shared" si="0"/>
        <v>KAF7 - 0</v>
      </c>
      <c r="D8" s="10">
        <f>BuyFactors[[#Data],[Importance - Scaled]]</f>
        <v>6.875</v>
      </c>
      <c r="E8" s="14">
        <f>VLOOKUP(A8,Ranking[],9,FALSE)</f>
        <v>5.4166666666666661</v>
      </c>
      <c r="F8" s="15">
        <f>VLOOKUP($A8,'Step 5'!$A$9:$E$24,4,FALSE)</f>
        <v>1.5043744067384692</v>
      </c>
      <c r="G8" s="15">
        <f>VLOOKUP($A8,'Step 5'!$A$9:$E$24,5,FALSE)</f>
        <v>1.8974984746796828</v>
      </c>
      <c r="H8" s="39"/>
      <c r="I8" s="37" t="str">
        <f t="shared" si="1"/>
        <v>Performance Improvement?</v>
      </c>
      <c r="J8" s="37" t="str">
        <f t="shared" si="2"/>
        <v/>
      </c>
      <c r="K8" s="37" t="str">
        <f t="shared" si="3"/>
        <v/>
      </c>
      <c r="L8" s="37" t="str">
        <f t="shared" si="4"/>
        <v/>
      </c>
      <c r="M8" s="37" t="str">
        <f t="shared" si="5"/>
        <v/>
      </c>
      <c r="N8" s="37" t="str">
        <f t="shared" si="6"/>
        <v/>
      </c>
      <c r="O8" s="41"/>
      <c r="P8" s="43" t="str">
        <f t="shared" si="7"/>
        <v/>
      </c>
      <c r="Q8" s="43" t="str">
        <f t="shared" si="8"/>
        <v>Exploit</v>
      </c>
      <c r="R8" s="43" t="str">
        <f t="shared" si="9"/>
        <v>Marketing/Sales Focus?</v>
      </c>
      <c r="S8" s="43" t="str">
        <f t="shared" si="10"/>
        <v>Marketing/Sales Focus?</v>
      </c>
    </row>
    <row r="9" spans="1:19" ht="22.5" x14ac:dyDescent="0.25">
      <c r="A9" s="10" t="str">
        <f>BuyFactors[#All]</f>
        <v>KAF8</v>
      </c>
      <c r="B9" s="10">
        <f>BuyFactors[#All]</f>
        <v>0</v>
      </c>
      <c r="C9" s="10" t="str">
        <f t="shared" si="0"/>
        <v>KAF8 - 0</v>
      </c>
      <c r="D9" s="10">
        <f>BuyFactors[[#Data],[Importance - Scaled]]</f>
        <v>8.125</v>
      </c>
      <c r="E9" s="14">
        <f>VLOOKUP(A9,Ranking[],9,FALSE)</f>
        <v>7.9166666666666661</v>
      </c>
      <c r="F9" s="15">
        <f>VLOOKUP($A9,'Step 5'!$A$9:$E$24,4,FALSE)</f>
        <v>6.2709472819363219</v>
      </c>
      <c r="G9" s="15">
        <f>VLOOKUP($A9,'Step 5'!$A$9:$E$24,5,FALSE)</f>
        <v>6.1470408785845017</v>
      </c>
      <c r="H9" s="39"/>
      <c r="I9" s="37" t="str">
        <f t="shared" si="1"/>
        <v>Performance Improvement?</v>
      </c>
      <c r="J9" s="37" t="str">
        <f t="shared" si="2"/>
        <v/>
      </c>
      <c r="K9" s="37" t="str">
        <f t="shared" si="3"/>
        <v/>
      </c>
      <c r="L9" s="37" t="str">
        <f t="shared" si="4"/>
        <v/>
      </c>
      <c r="M9" s="37" t="str">
        <f t="shared" si="5"/>
        <v/>
      </c>
      <c r="N9" s="37" t="str">
        <f t="shared" si="6"/>
        <v/>
      </c>
      <c r="O9" s="41"/>
      <c r="P9" s="43" t="str">
        <f t="shared" si="7"/>
        <v/>
      </c>
      <c r="Q9" s="43" t="str">
        <f t="shared" si="8"/>
        <v/>
      </c>
      <c r="R9" s="43" t="str">
        <f t="shared" si="9"/>
        <v/>
      </c>
      <c r="S9" s="43" t="str">
        <f t="shared" si="10"/>
        <v/>
      </c>
    </row>
    <row r="10" spans="1:19" ht="22.5" x14ac:dyDescent="0.25">
      <c r="A10" s="10" t="str">
        <f>BuyFactors[#All]</f>
        <v>KAF9</v>
      </c>
      <c r="B10" s="10">
        <f>BuyFactors[#All]</f>
        <v>0</v>
      </c>
      <c r="C10" s="10" t="str">
        <f t="shared" si="0"/>
        <v>KAF9 - 0</v>
      </c>
      <c r="D10" s="10">
        <f>BuyFactors[[#Data],[Importance - Scaled]]</f>
        <v>9.375</v>
      </c>
      <c r="E10" s="14">
        <f>VLOOKUP(A10,Ranking[],9,FALSE)</f>
        <v>7.5</v>
      </c>
      <c r="F10" s="15">
        <f>VLOOKUP($A10,'Step 5'!$A$9:$E$24,4,FALSE)</f>
        <v>6.0498486932108717</v>
      </c>
      <c r="G10" s="15">
        <f>VLOOKUP($A10,'Step 5'!$A$9:$E$24,5,FALSE)</f>
        <v>7.1903599755948751</v>
      </c>
      <c r="H10" s="39"/>
      <c r="I10" s="37" t="str">
        <f t="shared" si="1"/>
        <v>Performance Improvement?</v>
      </c>
      <c r="J10" s="37" t="str">
        <f t="shared" si="2"/>
        <v/>
      </c>
      <c r="K10" s="37" t="str">
        <f t="shared" si="3"/>
        <v/>
      </c>
      <c r="L10" s="37" t="str">
        <f t="shared" si="4"/>
        <v/>
      </c>
      <c r="M10" s="37" t="str">
        <f t="shared" si="5"/>
        <v/>
      </c>
      <c r="N10" s="37" t="str">
        <f t="shared" si="6"/>
        <v/>
      </c>
      <c r="O10" s="41"/>
      <c r="P10" s="43" t="str">
        <f t="shared" si="7"/>
        <v/>
      </c>
      <c r="Q10" s="43" t="str">
        <f t="shared" si="8"/>
        <v/>
      </c>
      <c r="R10" s="43" t="str">
        <f t="shared" si="9"/>
        <v/>
      </c>
      <c r="S10" s="43" t="str">
        <f t="shared" si="10"/>
        <v/>
      </c>
    </row>
    <row r="11" spans="1:19" ht="23.25" x14ac:dyDescent="0.25">
      <c r="A11" s="10" t="str">
        <f>BuyFactors[#All]</f>
        <v>KAF10</v>
      </c>
      <c r="B11" s="10">
        <f>BuyFactors[#All]</f>
        <v>0</v>
      </c>
      <c r="C11" s="10" t="str">
        <f t="shared" si="0"/>
        <v>KAF10 - 0</v>
      </c>
      <c r="D11" s="10">
        <f>BuyFactors[[#Data],[Importance - Scaled]]</f>
        <v>6.2500000000000009</v>
      </c>
      <c r="E11" s="14">
        <f>VLOOKUP(A11,Ranking[],9,FALSE)</f>
        <v>9.1666666666666661</v>
      </c>
      <c r="F11" s="15">
        <f>VLOOKUP($A11,'Step 5'!$A$9:$E$24,4,FALSE)</f>
        <v>1.2864616937852817</v>
      </c>
      <c r="G11" s="15">
        <f>VLOOKUP($A11,'Step 5'!$A$9:$E$24,5,FALSE)</f>
        <v>3.8346552776082978</v>
      </c>
      <c r="H11" s="39"/>
      <c r="I11" s="37" t="str">
        <f t="shared" si="1"/>
        <v/>
      </c>
      <c r="J11" s="37" t="str">
        <f t="shared" si="2"/>
        <v/>
      </c>
      <c r="K11" s="37" t="str">
        <f t="shared" si="3"/>
        <v/>
      </c>
      <c r="L11" s="37" t="str">
        <f t="shared" si="4"/>
        <v/>
      </c>
      <c r="M11" s="37" t="str">
        <f t="shared" si="5"/>
        <v/>
      </c>
      <c r="N11" s="37" t="str">
        <f t="shared" si="6"/>
        <v/>
      </c>
      <c r="O11" s="41"/>
      <c r="P11" s="43" t="str">
        <f t="shared" si="7"/>
        <v>Yes</v>
      </c>
      <c r="Q11" s="43" t="str">
        <f t="shared" si="8"/>
        <v>Exploit</v>
      </c>
      <c r="R11" s="43" t="str">
        <f t="shared" si="9"/>
        <v>Marketing/Sales Focus?</v>
      </c>
      <c r="S11" s="43" t="str">
        <f t="shared" si="10"/>
        <v>Marketing/Sales Focus?</v>
      </c>
    </row>
    <row r="12" spans="1:19" ht="22.5" x14ac:dyDescent="0.25">
      <c r="A12" s="10" t="str">
        <f>BuyFactors[#All]</f>
        <v>KAF11</v>
      </c>
      <c r="B12" s="10">
        <f>BuyFactors[#All]</f>
        <v>0</v>
      </c>
      <c r="C12" s="10" t="str">
        <f t="shared" si="0"/>
        <v>KAF11 - 0</v>
      </c>
      <c r="D12" s="10">
        <f>BuyFactors[[#Data],[Importance - Scaled]]</f>
        <v>5.9375</v>
      </c>
      <c r="E12" s="14">
        <f>VLOOKUP(A12,Ranking[],9,FALSE)</f>
        <v>7.5</v>
      </c>
      <c r="F12" s="15">
        <f>VLOOKUP($A12,'Step 5'!$A$9:$E$24,4,FALSE)</f>
        <v>9.0936793236067448</v>
      </c>
      <c r="G12" s="15">
        <f>VLOOKUP($A12,'Step 5'!$A$9:$E$24,5,FALSE)</f>
        <v>10</v>
      </c>
      <c r="H12" s="39"/>
      <c r="I12" s="37" t="str">
        <f t="shared" si="1"/>
        <v/>
      </c>
      <c r="J12" s="37" t="str">
        <f t="shared" si="2"/>
        <v>NRC Reduction?</v>
      </c>
      <c r="K12" s="37" t="str">
        <f t="shared" si="3"/>
        <v>RC Reduction?</v>
      </c>
      <c r="L12" s="37" t="str">
        <f t="shared" si="4"/>
        <v>NRC decrease or perf increase?</v>
      </c>
      <c r="M12" s="37" t="str">
        <f t="shared" si="5"/>
        <v>RC decrease or perf increase?</v>
      </c>
      <c r="N12" s="37" t="str">
        <f t="shared" si="6"/>
        <v/>
      </c>
      <c r="O12" s="41"/>
      <c r="P12" s="43" t="str">
        <f t="shared" si="7"/>
        <v/>
      </c>
      <c r="Q12" s="43" t="str">
        <f t="shared" si="8"/>
        <v/>
      </c>
      <c r="R12" s="43" t="str">
        <f t="shared" si="9"/>
        <v/>
      </c>
      <c r="S12" s="43" t="str">
        <f t="shared" si="10"/>
        <v/>
      </c>
    </row>
    <row r="13" spans="1:19" x14ac:dyDescent="0.25">
      <c r="A13" s="10" t="str">
        <f>BuyFactors[#All]</f>
        <v>KAF12</v>
      </c>
      <c r="B13" s="10">
        <f>BuyFactors[#All]</f>
        <v>0</v>
      </c>
      <c r="C13" s="10" t="str">
        <f t="shared" si="0"/>
        <v>KAF12 - 0</v>
      </c>
      <c r="D13" s="10">
        <f>BuyFactors[[#Data],[Importance - Scaled]]</f>
        <v>7.8125000000000009</v>
      </c>
      <c r="E13" s="14">
        <f>VLOOKUP(A13,Ranking[],9,FALSE)</f>
        <v>9.5833333333333339</v>
      </c>
      <c r="F13" s="15">
        <f>VLOOKUP($A13,'Step 5'!$A$9:$E$24,4,FALSE)</f>
        <v>7.2286911464482539</v>
      </c>
      <c r="G13" s="15">
        <f>VLOOKUP($A13,'Step 5'!$A$9:$E$24,5,FALSE)</f>
        <v>5.6818181818181825</v>
      </c>
      <c r="H13" s="39"/>
      <c r="I13" s="37" t="str">
        <f t="shared" si="1"/>
        <v/>
      </c>
      <c r="J13" s="37" t="str">
        <f t="shared" si="2"/>
        <v/>
      </c>
      <c r="K13" s="37" t="str">
        <f t="shared" si="3"/>
        <v/>
      </c>
      <c r="L13" s="37" t="str">
        <f t="shared" si="4"/>
        <v/>
      </c>
      <c r="M13" s="37" t="str">
        <f t="shared" si="5"/>
        <v/>
      </c>
      <c r="N13" s="37" t="str">
        <f t="shared" si="6"/>
        <v/>
      </c>
      <c r="O13" s="41"/>
      <c r="P13" s="43" t="str">
        <f t="shared" si="7"/>
        <v>Yes</v>
      </c>
      <c r="Q13" s="43" t="str">
        <f t="shared" si="8"/>
        <v/>
      </c>
      <c r="R13" s="43" t="str">
        <f t="shared" si="9"/>
        <v/>
      </c>
      <c r="S13" s="43" t="str">
        <f t="shared" si="10"/>
        <v/>
      </c>
    </row>
    <row r="14" spans="1:19" x14ac:dyDescent="0.25">
      <c r="A14" s="10" t="str">
        <f>BuyFactors[#All]</f>
        <v>KAF13</v>
      </c>
      <c r="B14" s="10">
        <f>BuyFactors[#All]</f>
        <v>0</v>
      </c>
      <c r="C14" s="10" t="str">
        <f t="shared" si="0"/>
        <v>KAF13 - 0</v>
      </c>
      <c r="D14" s="10">
        <f>BuyFactors[[#Data],[Importance - Scaled]]</f>
        <v>8.125</v>
      </c>
      <c r="E14" s="14">
        <f>VLOOKUP(A14,Ranking[],9,FALSE)</f>
        <v>10</v>
      </c>
      <c r="F14" s="15">
        <f>VLOOKUP($A14,'Step 5'!$A$9:$E$24,4,FALSE)</f>
        <v>4.6619521059650255</v>
      </c>
      <c r="G14" s="15">
        <f>VLOOKUP($A14,'Step 5'!$A$9:$E$24,5,FALSE)</f>
        <v>5.1250762660158644</v>
      </c>
      <c r="H14" s="39"/>
      <c r="I14" s="37" t="str">
        <f t="shared" si="1"/>
        <v/>
      </c>
      <c r="J14" s="37" t="str">
        <f t="shared" si="2"/>
        <v/>
      </c>
      <c r="K14" s="37" t="str">
        <f t="shared" si="3"/>
        <v/>
      </c>
      <c r="L14" s="37" t="str">
        <f t="shared" si="4"/>
        <v/>
      </c>
      <c r="M14" s="37" t="str">
        <f t="shared" si="5"/>
        <v/>
      </c>
      <c r="N14" s="37" t="str">
        <f t="shared" si="6"/>
        <v/>
      </c>
      <c r="O14" s="41"/>
      <c r="P14" s="43" t="str">
        <f t="shared" si="7"/>
        <v>Yes</v>
      </c>
      <c r="Q14" s="43" t="str">
        <f t="shared" si="8"/>
        <v/>
      </c>
      <c r="R14" s="43" t="str">
        <f t="shared" si="9"/>
        <v/>
      </c>
      <c r="S14" s="43" t="str">
        <f t="shared" si="10"/>
        <v/>
      </c>
    </row>
    <row r="15" spans="1:19" x14ac:dyDescent="0.25">
      <c r="A15" s="10" t="str">
        <f>BuyFactors[#All]</f>
        <v>KAF14</v>
      </c>
      <c r="B15" s="10">
        <f>BuyFactors[#All]</f>
        <v>0</v>
      </c>
      <c r="C15" s="10" t="str">
        <f t="shared" si="0"/>
        <v>KAF14 - 0</v>
      </c>
      <c r="D15" s="10">
        <f>BuyFactors[[#Data],[Importance - Scaled]]</f>
        <v>4.0625</v>
      </c>
      <c r="E15" s="14">
        <f>VLOOKUP(A15,Ranking[],9,FALSE)</f>
        <v>10</v>
      </c>
      <c r="F15" s="15">
        <f>VLOOKUP($A15,'Step 5'!$A$9:$E$24,4,FALSE)</f>
        <v>6.9462904775035819</v>
      </c>
      <c r="G15" s="15">
        <f>VLOOKUP($A15,'Step 5'!$A$9:$E$24,5,FALSE)</f>
        <v>5.1250762660158626</v>
      </c>
      <c r="H15" s="39"/>
      <c r="I15" s="37" t="str">
        <f t="shared" si="1"/>
        <v/>
      </c>
      <c r="J15" s="37" t="str">
        <f t="shared" si="2"/>
        <v>NRC Reduction?</v>
      </c>
      <c r="K15" s="37" t="str">
        <f t="shared" si="3"/>
        <v>RC Reduction?</v>
      </c>
      <c r="L15" s="37" t="str">
        <f t="shared" si="4"/>
        <v/>
      </c>
      <c r="M15" s="37" t="str">
        <f t="shared" si="5"/>
        <v/>
      </c>
      <c r="N15" s="37" t="str">
        <f t="shared" si="6"/>
        <v>Efficency saving?</v>
      </c>
      <c r="O15" s="41"/>
      <c r="P15" s="43" t="str">
        <f t="shared" si="7"/>
        <v/>
      </c>
      <c r="Q15" s="43" t="str">
        <f t="shared" si="8"/>
        <v/>
      </c>
      <c r="R15" s="43" t="str">
        <f t="shared" si="9"/>
        <v/>
      </c>
      <c r="S15" s="43" t="str">
        <f t="shared" si="10"/>
        <v/>
      </c>
    </row>
    <row r="16" spans="1:19" x14ac:dyDescent="0.25">
      <c r="A16" s="10" t="str">
        <f>BuyFactors[#All]</f>
        <v>KAF15</v>
      </c>
      <c r="B16" s="10">
        <f>BuyFactors[#All]</f>
        <v>0</v>
      </c>
      <c r="C16" s="10" t="str">
        <f t="shared" si="0"/>
        <v>KAF15 - 0</v>
      </c>
      <c r="D16" s="10">
        <f>BuyFactors[[#Data],[Importance - Scaled]]</f>
        <v>1.25</v>
      </c>
      <c r="E16" s="14">
        <f>VLOOKUP(A16,Ranking[],9,FALSE)</f>
        <v>5.4166666666666661</v>
      </c>
      <c r="F16" s="15">
        <f>VLOOKUP($A16,'Step 5'!$A$9:$E$24,4,FALSE)</f>
        <v>3.1877632028671097</v>
      </c>
      <c r="G16" s="15">
        <f>VLOOKUP($A16,'Step 5'!$A$9:$E$24,5,FALSE)</f>
        <v>5.0152532031726667</v>
      </c>
      <c r="H16" s="39"/>
      <c r="I16" s="37" t="str">
        <f t="shared" si="1"/>
        <v/>
      </c>
      <c r="J16" s="37" t="str">
        <f t="shared" si="2"/>
        <v>NRC Reduction?</v>
      </c>
      <c r="K16" s="37" t="str">
        <f t="shared" si="3"/>
        <v>RC Reduction?</v>
      </c>
      <c r="L16" s="37" t="str">
        <f t="shared" si="4"/>
        <v/>
      </c>
      <c r="M16" s="37" t="str">
        <f t="shared" si="5"/>
        <v/>
      </c>
      <c r="N16" s="37" t="str">
        <f t="shared" si="6"/>
        <v>Efficency saving?</v>
      </c>
      <c r="O16" s="41"/>
      <c r="P16" s="43" t="str">
        <f t="shared" si="7"/>
        <v/>
      </c>
      <c r="Q16" s="43" t="str">
        <f t="shared" si="8"/>
        <v/>
      </c>
      <c r="R16" s="43" t="str">
        <f t="shared" si="9"/>
        <v/>
      </c>
      <c r="S16" s="43" t="str">
        <f t="shared" si="1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2</vt:i4>
      </vt:variant>
    </vt:vector>
  </HeadingPairs>
  <TitlesOfParts>
    <vt:vector size="9" baseType="lpstr">
      <vt:lpstr>README</vt:lpstr>
      <vt:lpstr>Step 1</vt:lpstr>
      <vt:lpstr>Step 2</vt:lpstr>
      <vt:lpstr>Step 3</vt:lpstr>
      <vt:lpstr>Step 4</vt:lpstr>
      <vt:lpstr>Step 5</vt:lpstr>
      <vt:lpstr>Step 6</vt:lpstr>
      <vt:lpstr>Value Map</vt:lpstr>
      <vt:lpstr>D2V Summary</vt:lpstr>
    </vt:vector>
  </TitlesOfParts>
  <Company>NHC1-CHD-MECM01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Copperwheat, Ben</dc:creator>
  <cp:lastModifiedBy>Copperwheat, Ben</cp:lastModifiedBy>
  <dcterms:created xsi:type="dcterms:W3CDTF">2023-11-12T10:37:38Z</dcterms:created>
  <dcterms:modified xsi:type="dcterms:W3CDTF">2024-02-09T01:12:15Z</dcterms:modified>
</cp:coreProperties>
</file>