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65" yWindow="1695" windowWidth="10455" windowHeight="6510"/>
  </bookViews>
  <sheets>
    <sheet name="Lighthouse Calculator" sheetId="1" r:id="rId1"/>
    <sheet name="Lighthouse Bank Analyzer" sheetId="3" r:id="rId2"/>
    <sheet name="Sheet1" sheetId="4" r:id="rId3"/>
  </sheets>
  <calcPr calcId="145621"/>
</workbook>
</file>

<file path=xl/calcChain.xml><?xml version="1.0" encoding="utf-8"?>
<calcChain xmlns="http://schemas.openxmlformats.org/spreadsheetml/2006/main">
  <c r="G21" i="4" l="1"/>
  <c r="D19" i="4"/>
  <c r="N6" i="1" l="1"/>
  <c r="H17" i="4"/>
  <c r="F17" i="4"/>
  <c r="G11" i="4"/>
  <c r="F11" i="4"/>
  <c r="O18" i="1"/>
  <c r="P17" i="1"/>
  <c r="O17" i="1"/>
  <c r="Q16" i="1"/>
  <c r="R15" i="1"/>
  <c r="P8" i="1"/>
  <c r="P7" i="1"/>
  <c r="AB206" i="1"/>
  <c r="AB196" i="1"/>
  <c r="AB195" i="1" s="1"/>
  <c r="AB193" i="1"/>
  <c r="AB191" i="1"/>
  <c r="AB189" i="1"/>
  <c r="AB187" i="1"/>
  <c r="AB185" i="1"/>
  <c r="AB183" i="1"/>
  <c r="AB178" i="1"/>
  <c r="AB176" i="1" s="1"/>
  <c r="AB173" i="1"/>
  <c r="AB171" i="1"/>
  <c r="AB169" i="1"/>
  <c r="AB167" i="1"/>
  <c r="AB165" i="1"/>
  <c r="AB163" i="1"/>
  <c r="AB161" i="1"/>
  <c r="AB159" i="1"/>
  <c r="AB157" i="1"/>
  <c r="AB155" i="1"/>
  <c r="AB153" i="1"/>
  <c r="AB152" i="1" s="1"/>
  <c r="AB151" i="1" s="1"/>
  <c r="AB150" i="1" s="1"/>
  <c r="AB149" i="1" s="1"/>
  <c r="AB148" i="1" s="1"/>
  <c r="AB147" i="1" s="1"/>
  <c r="AB146" i="1" s="1"/>
  <c r="AB145" i="1" s="1"/>
  <c r="AB144" i="1" s="1"/>
  <c r="AB143" i="1" s="1"/>
  <c r="AB142" i="1" s="1"/>
  <c r="AB141" i="1" s="1"/>
  <c r="AB140" i="1" s="1"/>
  <c r="AB139" i="1" s="1"/>
  <c r="AB138" i="1" s="1"/>
  <c r="AB137" i="1" s="1"/>
  <c r="AB136" i="1" s="1"/>
  <c r="AB135" i="1" s="1"/>
  <c r="AB134" i="1" s="1"/>
  <c r="AB133" i="1" s="1"/>
  <c r="AB132" i="1" s="1"/>
  <c r="AB131" i="1" s="1"/>
  <c r="AB130" i="1" s="1"/>
  <c r="AB129" i="1" s="1"/>
  <c r="AB128" i="1" s="1"/>
  <c r="AB127" i="1" s="1"/>
  <c r="AB126" i="1" s="1"/>
  <c r="AB125" i="1" s="1"/>
  <c r="AB124" i="1" s="1"/>
  <c r="E20" i="1"/>
  <c r="E19" i="1"/>
  <c r="R17" i="1" l="1"/>
  <c r="Q17" i="1"/>
  <c r="O15" i="1"/>
  <c r="Q15" i="1"/>
  <c r="P15" i="1"/>
  <c r="AB180" i="1"/>
  <c r="AB181" i="1" s="1"/>
  <c r="AB197" i="1"/>
  <c r="P16" i="1"/>
  <c r="O16" i="1"/>
  <c r="R16" i="1"/>
  <c r="P18" i="1"/>
  <c r="R18" i="1"/>
  <c r="Q18" i="1"/>
  <c r="AB177" i="1"/>
  <c r="AB175" i="1"/>
  <c r="D8" i="1"/>
  <c r="D5" i="1"/>
  <c r="D6" i="1"/>
  <c r="O19" i="1" l="1"/>
  <c r="Q19" i="1"/>
  <c r="AB179" i="1"/>
  <c r="P19" i="1"/>
  <c r="R19" i="1"/>
  <c r="N8" i="1"/>
  <c r="N9" i="1" s="1"/>
  <c r="O20" i="1" l="1"/>
  <c r="E5" i="3"/>
  <c r="E4" i="3"/>
  <c r="F19" i="3"/>
  <c r="F18" i="3"/>
  <c r="F6" i="3"/>
  <c r="B7" i="3"/>
  <c r="F7" i="3" s="1"/>
  <c r="B9" i="3"/>
  <c r="D9" i="3" s="1"/>
  <c r="E9" i="3"/>
  <c r="E8" i="3"/>
  <c r="B8" i="3"/>
  <c r="D8" i="3" s="1"/>
  <c r="B22" i="3"/>
  <c r="D22" i="3" s="1"/>
  <c r="B21" i="3"/>
  <c r="F21" i="3" s="1"/>
  <c r="D20" i="3"/>
  <c r="B20" i="3"/>
  <c r="F20" i="3" s="1"/>
  <c r="B19" i="3"/>
  <c r="D19" i="3" s="1"/>
  <c r="B18" i="3"/>
  <c r="D18" i="3" s="1"/>
  <c r="B17" i="3"/>
  <c r="D17" i="3" s="1"/>
  <c r="B16" i="3"/>
  <c r="F16" i="3" s="1"/>
  <c r="B15" i="3"/>
  <c r="D15" i="3" s="1"/>
  <c r="B14" i="3"/>
  <c r="D14" i="3" s="1"/>
  <c r="B13" i="3"/>
  <c r="F13" i="3" s="1"/>
  <c r="B12" i="3"/>
  <c r="F12" i="3" s="1"/>
  <c r="B11" i="3"/>
  <c r="F11" i="3" s="1"/>
  <c r="B10" i="3"/>
  <c r="D10" i="3" s="1"/>
  <c r="D6" i="3"/>
  <c r="B6" i="3"/>
  <c r="B5" i="3"/>
  <c r="D5" i="3" s="1"/>
  <c r="B4" i="3"/>
  <c r="F4" i="3" s="1"/>
  <c r="B3" i="3"/>
  <c r="D3" i="3" s="1"/>
  <c r="B2" i="3"/>
  <c r="F2" i="3" s="1"/>
  <c r="F15" i="3" l="1"/>
  <c r="D4" i="3"/>
  <c r="D2" i="3"/>
  <c r="D13" i="3"/>
  <c r="D21" i="3"/>
  <c r="F8" i="3"/>
  <c r="D11" i="3"/>
  <c r="D16" i="3"/>
  <c r="F10" i="3"/>
  <c r="D12" i="3"/>
  <c r="D7" i="3"/>
  <c r="F17" i="3"/>
  <c r="F3" i="3"/>
  <c r="F14" i="3"/>
  <c r="F5" i="3"/>
  <c r="F22" i="3"/>
  <c r="F9" i="3"/>
  <c r="D10" i="1" l="1"/>
  <c r="H9" i="1"/>
  <c r="F6" i="1"/>
  <c r="J11" i="1"/>
  <c r="I19" i="1"/>
  <c r="I18" i="1"/>
  <c r="I17" i="1"/>
  <c r="H11" i="1" l="1"/>
  <c r="D11" i="1"/>
  <c r="F11" i="1"/>
  <c r="D9" i="1"/>
  <c r="J9" i="1"/>
  <c r="F9" i="1"/>
  <c r="J8" i="1"/>
  <c r="H8" i="1"/>
  <c r="F8" i="1"/>
  <c r="J10" i="1"/>
  <c r="H10" i="1"/>
  <c r="F10" i="1"/>
  <c r="J6" i="1"/>
  <c r="H6" i="1"/>
  <c r="H5" i="1"/>
  <c r="J5" i="1"/>
  <c r="F5" i="1"/>
  <c r="F7" i="1" l="1"/>
  <c r="F12" i="1" s="1"/>
  <c r="J7" i="1"/>
  <c r="J12" i="1" s="1"/>
  <c r="D7" i="1"/>
  <c r="D12" i="1" s="1"/>
  <c r="H7" i="1"/>
  <c r="H12" i="1" s="1"/>
  <c r="D13" i="1" l="1"/>
  <c r="F21" i="1"/>
  <c r="J18" i="1" s="1"/>
  <c r="D21" i="1"/>
  <c r="H17" i="1" s="1"/>
  <c r="J21" i="1"/>
  <c r="D20" i="1" s="1"/>
  <c r="H21" i="1"/>
  <c r="D19" i="1" s="1"/>
  <c r="H14" i="1"/>
  <c r="H15" i="1" s="1"/>
  <c r="F19" i="1" l="1"/>
  <c r="F17" i="1"/>
  <c r="J19" i="1"/>
  <c r="J17" i="1"/>
  <c r="F20" i="1"/>
  <c r="D18" i="1"/>
  <c r="H18" i="1"/>
  <c r="H20" i="1"/>
</calcChain>
</file>

<file path=xl/sharedStrings.xml><?xml version="1.0" encoding="utf-8"?>
<sst xmlns="http://schemas.openxmlformats.org/spreadsheetml/2006/main" count="72" uniqueCount="63">
  <si>
    <t>Fleet</t>
  </si>
  <si>
    <t>GB</t>
  </si>
  <si>
    <t>Gren</t>
  </si>
  <si>
    <t>Cul</t>
  </si>
  <si>
    <t>Bonnie</t>
  </si>
  <si>
    <t>CARAVELS</t>
  </si>
  <si>
    <t>Off.needed:</t>
  </si>
  <si>
    <t>CORSAIRS</t>
  </si>
  <si>
    <t>Poseido Qty:</t>
  </si>
  <si>
    <t>Res to build</t>
  </si>
  <si>
    <t xml:space="preserve">Base offense </t>
  </si>
  <si>
    <t>Bank/offense</t>
  </si>
  <si>
    <t>Sub</t>
  </si>
  <si>
    <t>MoW</t>
  </si>
  <si>
    <t>Schooner</t>
  </si>
  <si>
    <t>Marine</t>
  </si>
  <si>
    <t>Lug</t>
  </si>
  <si>
    <t>Jugg</t>
  </si>
  <si>
    <t>SoTL</t>
  </si>
  <si>
    <t>Skirm</t>
  </si>
  <si>
    <t>Frig</t>
  </si>
  <si>
    <t>Brig</t>
  </si>
  <si>
    <t>Cannon</t>
  </si>
  <si>
    <t>Bomb</t>
  </si>
  <si>
    <t>Bucc</t>
  </si>
  <si>
    <t>Mar</t>
  </si>
  <si>
    <t>Bank/def</t>
  </si>
  <si>
    <t>ave.base def</t>
  </si>
  <si>
    <t>DL/Z</t>
  </si>
  <si>
    <t>Turtle/Junk</t>
  </si>
  <si>
    <t>Sapper</t>
  </si>
  <si>
    <t>Quantity</t>
  </si>
  <si>
    <t>force required by class of unit</t>
  </si>
  <si>
    <t>Pirates</t>
  </si>
  <si>
    <t>Mercenaries</t>
  </si>
  <si>
    <t>Armada</t>
  </si>
  <si>
    <t>Fill in power being sent in</t>
  </si>
  <si>
    <t>one class to see how much</t>
  </si>
  <si>
    <t xml:space="preserve">power will be needed to </t>
  </si>
  <si>
    <t>finish with another class.</t>
  </si>
  <si>
    <t>Submarines</t>
  </si>
  <si>
    <t>Gunboats</t>
  </si>
  <si>
    <t>Man o' War</t>
  </si>
  <si>
    <t>Grenadiers</t>
  </si>
  <si>
    <t>Culraissers</t>
  </si>
  <si>
    <t>Bonnies</t>
  </si>
  <si>
    <t>Skirmishers</t>
  </si>
  <si>
    <t>Marauder power:</t>
  </si>
  <si>
    <t xml:space="preserve"> Red Dwarf's Hint:</t>
  </si>
  <si>
    <t xml:space="preserve"> Prize Level:</t>
  </si>
  <si>
    <t># to clear:</t>
  </si>
  <si>
    <t>(@ 2:40 ea.)</t>
  </si>
  <si>
    <t>days to build:</t>
  </si>
  <si>
    <t xml:space="preserve">  SAFE HAVENS &amp; FORTS</t>
  </si>
  <si>
    <t>Maruders to clear:</t>
  </si>
  <si>
    <t>Min. Est.</t>
  </si>
  <si>
    <t>- OR -</t>
  </si>
  <si>
    <t xml:space="preserve">"Safe" </t>
  </si>
  <si>
    <t>Diablo</t>
  </si>
  <si>
    <t>Desperado</t>
  </si>
  <si>
    <t>Conquistador</t>
  </si>
  <si>
    <t>Inferio</t>
  </si>
  <si>
    <t>© 2019 by Red Dwarf - https://plarium.com/en/profile/13208706/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</si>
</sst>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0.0"/>
    <numFmt numFmtId="166" formatCode="#,##0.0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FFC000"/>
      <name val="BlackPearl"/>
    </font>
    <font>
      <sz val="11"/>
      <color theme="2" tint="-9.9978637043366805E-2"/>
      <name val="Arial Narrow"/>
      <family val="2"/>
    </font>
    <font>
      <sz val="11"/>
      <color rgb="FFC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rgb="FF0070C0"/>
      <name val="Arial Narrow"/>
      <family val="2"/>
    </font>
    <font>
      <b/>
      <i/>
      <sz val="11"/>
      <color rgb="FFC00000"/>
      <name val="Arial Narrow"/>
      <family val="2"/>
    </font>
    <font>
      <i/>
      <sz val="10"/>
      <color theme="1"/>
      <name val="Arial Narrow"/>
      <family val="2"/>
    </font>
    <font>
      <b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9FFD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3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15" borderId="0" xfId="0" applyFont="1" applyFill="1" applyAlignment="1">
      <alignment horizontal="left" vertical="center"/>
    </xf>
    <xf numFmtId="0" fontId="3" fillId="15" borderId="0" xfId="0" applyFont="1" applyFill="1"/>
    <xf numFmtId="3" fontId="3" fillId="15" borderId="0" xfId="0" applyNumberFormat="1" applyFont="1" applyFill="1"/>
    <xf numFmtId="164" fontId="3" fillId="15" borderId="0" xfId="0" applyNumberFormat="1" applyFont="1" applyFill="1"/>
    <xf numFmtId="0" fontId="4" fillId="15" borderId="0" xfId="0" applyFont="1" applyFill="1"/>
    <xf numFmtId="3" fontId="4" fillId="15" borderId="0" xfId="0" applyNumberFormat="1" applyFont="1" applyFill="1"/>
    <xf numFmtId="0" fontId="5" fillId="15" borderId="0" xfId="0" applyFont="1" applyFill="1"/>
    <xf numFmtId="0" fontId="5" fillId="4" borderId="0" xfId="0" applyFont="1" applyFill="1"/>
    <xf numFmtId="0" fontId="6" fillId="4" borderId="0" xfId="0" applyFont="1" applyFill="1"/>
    <xf numFmtId="3" fontId="5" fillId="4" borderId="0" xfId="0" applyNumberFormat="1" applyFont="1" applyFill="1"/>
    <xf numFmtId="0" fontId="5" fillId="0" borderId="0" xfId="0" applyFont="1"/>
    <xf numFmtId="0" fontId="5" fillId="5" borderId="0" xfId="0" applyFont="1" applyFill="1"/>
    <xf numFmtId="0" fontId="6" fillId="5" borderId="0" xfId="0" applyFont="1" applyFill="1"/>
    <xf numFmtId="0" fontId="5" fillId="7" borderId="0" xfId="0" applyFont="1" applyFill="1"/>
    <xf numFmtId="3" fontId="7" fillId="4" borderId="0" xfId="0" applyNumberFormat="1" applyFont="1" applyFill="1" applyAlignment="1">
      <alignment horizontal="right"/>
    </xf>
    <xf numFmtId="3" fontId="5" fillId="5" borderId="0" xfId="0" applyNumberFormat="1" applyFont="1" applyFill="1"/>
    <xf numFmtId="3" fontId="5" fillId="0" borderId="0" xfId="0" applyNumberFormat="1" applyFont="1"/>
    <xf numFmtId="3" fontId="7" fillId="5" borderId="0" xfId="0" quotePrefix="1" applyNumberFormat="1" applyFont="1" applyFill="1"/>
    <xf numFmtId="3" fontId="5" fillId="7" borderId="0" xfId="0" applyNumberFormat="1" applyFont="1" applyFill="1" applyAlignment="1">
      <alignment horizontal="right"/>
    </xf>
    <xf numFmtId="3" fontId="5" fillId="7" borderId="0" xfId="0" applyNumberFormat="1" applyFont="1" applyFill="1" applyAlignment="1">
      <alignment horizontal="right" vertical="top"/>
    </xf>
    <xf numFmtId="164" fontId="5" fillId="5" borderId="0" xfId="0" applyNumberFormat="1" applyFont="1" applyFill="1"/>
    <xf numFmtId="0" fontId="5" fillId="16" borderId="0" xfId="0" applyFont="1" applyFill="1"/>
    <xf numFmtId="164" fontId="5" fillId="16" borderId="0" xfId="0" applyNumberFormat="1" applyFont="1" applyFill="1"/>
    <xf numFmtId="0" fontId="4" fillId="4" borderId="0" xfId="0" applyFont="1" applyFill="1" applyAlignment="1">
      <alignment horizontal="right" vertical="center"/>
    </xf>
    <xf numFmtId="3" fontId="5" fillId="16" borderId="0" xfId="0" applyNumberFormat="1" applyFont="1" applyFill="1"/>
    <xf numFmtId="3" fontId="7" fillId="16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5" fillId="16" borderId="0" xfId="0" applyFont="1" applyFill="1" applyAlignment="1">
      <alignment horizontal="left"/>
    </xf>
    <xf numFmtId="4" fontId="5" fillId="16" borderId="0" xfId="0" applyNumberFormat="1" applyFont="1" applyFill="1"/>
    <xf numFmtId="0" fontId="4" fillId="16" borderId="0" xfId="0" applyFont="1" applyFill="1" applyAlignment="1">
      <alignment horizontal="right" vertical="center"/>
    </xf>
    <xf numFmtId="4" fontId="5" fillId="5" borderId="0" xfId="0" applyNumberFormat="1" applyFont="1" applyFill="1"/>
    <xf numFmtId="4" fontId="5" fillId="6" borderId="0" xfId="0" applyNumberFormat="1" applyFont="1" applyFill="1"/>
    <xf numFmtId="164" fontId="5" fillId="6" borderId="0" xfId="0" applyNumberFormat="1" applyFont="1" applyFill="1"/>
    <xf numFmtId="0" fontId="5" fillId="6" borderId="0" xfId="0" applyFont="1" applyFill="1"/>
    <xf numFmtId="0" fontId="5" fillId="15" borderId="0" xfId="0" applyFont="1" applyFill="1" applyAlignment="1">
      <alignment vertical="top"/>
    </xf>
    <xf numFmtId="3" fontId="5" fillId="15" borderId="0" xfId="0" applyNumberFormat="1" applyFont="1" applyFill="1"/>
    <xf numFmtId="4" fontId="5" fillId="15" borderId="0" xfId="0" applyNumberFormat="1" applyFont="1" applyFill="1"/>
    <xf numFmtId="164" fontId="5" fillId="15" borderId="0" xfId="0" applyNumberFormat="1" applyFont="1" applyFill="1"/>
    <xf numFmtId="4" fontId="3" fillId="15" borderId="0" xfId="0" applyNumberFormat="1" applyFont="1" applyFill="1"/>
    <xf numFmtId="0" fontId="3" fillId="7" borderId="0" xfId="0" applyFont="1" applyFill="1"/>
    <xf numFmtId="0" fontId="11" fillId="4" borderId="0" xfId="0" applyFont="1" applyFill="1"/>
    <xf numFmtId="0" fontId="11" fillId="5" borderId="0" xfId="0" applyFont="1" applyFill="1"/>
    <xf numFmtId="0" fontId="11" fillId="16" borderId="0" xfId="0" quotePrefix="1" applyFont="1" applyFill="1"/>
    <xf numFmtId="0" fontId="8" fillId="9" borderId="0" xfId="0" applyFont="1" applyFill="1" applyAlignment="1" applyProtection="1">
      <alignment horizontal="center" shrinkToFit="1"/>
      <protection locked="0"/>
    </xf>
    <xf numFmtId="3" fontId="5" fillId="14" borderId="0" xfId="0" applyNumberFormat="1" applyFont="1" applyFill="1" applyAlignment="1">
      <alignment horizontal="center" shrinkToFit="1"/>
    </xf>
    <xf numFmtId="3" fontId="5" fillId="4" borderId="0" xfId="0" applyNumberFormat="1" applyFont="1" applyFill="1" applyAlignment="1">
      <alignment horizontal="center" shrinkToFit="1"/>
    </xf>
    <xf numFmtId="3" fontId="5" fillId="10" borderId="0" xfId="0" applyNumberFormat="1" applyFont="1" applyFill="1" applyAlignment="1">
      <alignment horizontal="center" shrinkToFit="1"/>
    </xf>
    <xf numFmtId="3" fontId="5" fillId="12" borderId="0" xfId="0" applyNumberFormat="1" applyFont="1" applyFill="1" applyAlignment="1">
      <alignment horizontal="center" shrinkToFit="1"/>
    </xf>
    <xf numFmtId="3" fontId="5" fillId="13" borderId="0" xfId="0" applyNumberFormat="1" applyFont="1" applyFill="1" applyAlignment="1">
      <alignment horizontal="center" shrinkToFit="1"/>
    </xf>
    <xf numFmtId="0" fontId="5" fillId="4" borderId="0" xfId="0" applyFont="1" applyFill="1" applyAlignment="1">
      <alignment shrinkToFit="1"/>
    </xf>
    <xf numFmtId="3" fontId="6" fillId="8" borderId="0" xfId="0" applyNumberFormat="1" applyFont="1" applyFill="1" applyAlignment="1">
      <alignment horizontal="center" shrinkToFit="1"/>
    </xf>
    <xf numFmtId="0" fontId="5" fillId="9" borderId="0" xfId="0" applyFont="1" applyFill="1" applyAlignment="1" applyProtection="1">
      <alignment horizontal="center" shrinkToFit="1"/>
      <protection locked="0"/>
    </xf>
    <xf numFmtId="3" fontId="5" fillId="11" borderId="0" xfId="0" applyNumberFormat="1" applyFont="1" applyFill="1" applyAlignment="1">
      <alignment horizontal="center" shrinkToFit="1"/>
    </xf>
    <xf numFmtId="0" fontId="5" fillId="16" borderId="0" xfId="0" applyFont="1" applyFill="1" applyAlignment="1">
      <alignment horizontal="center" shrinkToFit="1"/>
    </xf>
    <xf numFmtId="3" fontId="8" fillId="8" borderId="1" xfId="0" applyNumberFormat="1" applyFont="1" applyFill="1" applyBorder="1" applyAlignment="1" applyProtection="1">
      <alignment horizontal="center" shrinkToFit="1"/>
      <protection locked="0"/>
    </xf>
    <xf numFmtId="3" fontId="5" fillId="4" borderId="1" xfId="0" applyNumberFormat="1" applyFont="1" applyFill="1" applyBorder="1" applyAlignment="1">
      <alignment horizontal="center" shrinkToFit="1"/>
    </xf>
    <xf numFmtId="3" fontId="5" fillId="10" borderId="1" xfId="0" applyNumberFormat="1" applyFont="1" applyFill="1" applyBorder="1" applyAlignment="1">
      <alignment horizontal="center" shrinkToFit="1"/>
    </xf>
    <xf numFmtId="3" fontId="5" fillId="12" borderId="1" xfId="0" applyNumberFormat="1" applyFont="1" applyFill="1" applyBorder="1" applyAlignment="1">
      <alignment horizontal="center" shrinkToFit="1"/>
    </xf>
    <xf numFmtId="3" fontId="5" fillId="13" borderId="1" xfId="0" applyNumberFormat="1" applyFont="1" applyFill="1" applyBorder="1" applyAlignment="1">
      <alignment horizontal="center" shrinkToFit="1"/>
    </xf>
    <xf numFmtId="3" fontId="5" fillId="14" borderId="1" xfId="0" applyNumberFormat="1" applyFont="1" applyFill="1" applyBorder="1" applyAlignment="1">
      <alignment horizontal="center" shrinkToFit="1"/>
    </xf>
    <xf numFmtId="3" fontId="8" fillId="8" borderId="0" xfId="0" applyNumberFormat="1" applyFont="1" applyFill="1" applyAlignment="1" applyProtection="1">
      <alignment horizontal="center" shrinkToFit="1"/>
      <protection locked="0"/>
    </xf>
    <xf numFmtId="3" fontId="8" fillId="6" borderId="0" xfId="0" applyNumberFormat="1" applyFont="1" applyFill="1" applyAlignment="1" applyProtection="1">
      <alignment horizontal="center" shrinkToFit="1"/>
      <protection locked="0"/>
    </xf>
    <xf numFmtId="0" fontId="5" fillId="6" borderId="0" xfId="0" applyFont="1" applyFill="1" applyAlignment="1" applyProtection="1">
      <alignment horizontal="center" shrinkToFit="1"/>
      <protection locked="0"/>
    </xf>
    <xf numFmtId="3" fontId="5" fillId="8" borderId="0" xfId="0" applyNumberFormat="1" applyFont="1" applyFill="1" applyAlignment="1">
      <alignment horizontal="center" shrinkToFit="1"/>
    </xf>
    <xf numFmtId="165" fontId="5" fillId="5" borderId="0" xfId="0" applyNumberFormat="1" applyFont="1" applyFill="1" applyAlignment="1">
      <alignment horizontal="center" shrinkToFit="1"/>
    </xf>
    <xf numFmtId="3" fontId="8" fillId="9" borderId="0" xfId="0" applyNumberFormat="1" applyFont="1" applyFill="1" applyAlignment="1" applyProtection="1">
      <alignment horizontal="center" shrinkToFit="1"/>
      <protection locked="0"/>
    </xf>
    <xf numFmtId="3" fontId="5" fillId="8" borderId="0" xfId="0" applyNumberFormat="1" applyFont="1" applyFill="1" applyAlignment="1">
      <alignment horizontal="center" vertical="top" shrinkToFit="1"/>
    </xf>
    <xf numFmtId="3" fontId="6" fillId="9" borderId="0" xfId="0" applyNumberFormat="1" applyFont="1" applyFill="1" applyAlignment="1" applyProtection="1">
      <alignment horizontal="center" shrinkToFit="1"/>
      <protection locked="0"/>
    </xf>
    <xf numFmtId="0" fontId="5" fillId="4" borderId="0" xfId="0" applyFont="1" applyFill="1" applyAlignment="1">
      <alignment horizontal="right" shrinkToFit="1"/>
    </xf>
    <xf numFmtId="3" fontId="5" fillId="4" borderId="0" xfId="0" applyNumberFormat="1" applyFont="1" applyFill="1" applyAlignment="1">
      <alignment shrinkToFit="1"/>
    </xf>
    <xf numFmtId="165" fontId="5" fillId="4" borderId="0" xfId="0" applyNumberFormat="1" applyFont="1" applyFill="1" applyAlignment="1">
      <alignment horizontal="center" shrinkToFit="1"/>
    </xf>
    <xf numFmtId="0" fontId="7" fillId="4" borderId="1" xfId="0" applyFont="1" applyFill="1" applyBorder="1" applyAlignment="1">
      <alignment horizontal="center" shrinkToFit="1"/>
    </xf>
    <xf numFmtId="0" fontId="5" fillId="5" borderId="0" xfId="0" applyFont="1" applyFill="1" applyAlignment="1">
      <alignment horizontal="right" shrinkToFit="1"/>
    </xf>
    <xf numFmtId="0" fontId="7" fillId="16" borderId="1" xfId="0" applyFont="1" applyFill="1" applyBorder="1" applyAlignment="1">
      <alignment horizontal="center" shrinkToFit="1"/>
    </xf>
    <xf numFmtId="3" fontId="5" fillId="11" borderId="1" xfId="0" applyNumberFormat="1" applyFont="1" applyFill="1" applyBorder="1" applyAlignment="1">
      <alignment horizontal="center" shrinkToFit="1"/>
    </xf>
    <xf numFmtId="3" fontId="0" fillId="0" borderId="0" xfId="0" applyNumberFormat="1"/>
    <xf numFmtId="3" fontId="1" fillId="3" borderId="0" xfId="0" applyNumberFormat="1" applyFont="1" applyFill="1" applyAlignment="1">
      <alignment horizontal="center"/>
    </xf>
    <xf numFmtId="166" fontId="0" fillId="0" borderId="0" xfId="0" applyNumberFormat="1"/>
    <xf numFmtId="3" fontId="12" fillId="3" borderId="0" xfId="0" applyNumberFormat="1" applyFont="1" applyFill="1" applyAlignment="1">
      <alignment horizontal="center"/>
    </xf>
    <xf numFmtId="3" fontId="9" fillId="16" borderId="0" xfId="0" applyNumberFormat="1" applyFont="1" applyFill="1" applyAlignment="1">
      <alignment vertical="center" shrinkToFit="1"/>
    </xf>
    <xf numFmtId="0" fontId="0" fillId="0" borderId="0" xfId="0" applyAlignment="1">
      <alignment shrinkToFit="1"/>
    </xf>
    <xf numFmtId="0" fontId="9" fillId="4" borderId="0" xfId="0" applyFont="1" applyFill="1" applyAlignment="1">
      <alignment vertical="center" shrinkToFit="1"/>
    </xf>
    <xf numFmtId="3" fontId="10" fillId="4" borderId="0" xfId="0" applyNumberFormat="1" applyFont="1" applyFill="1" applyAlignment="1">
      <alignment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9FF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22860</xdr:rowOff>
    </xdr:from>
    <xdr:to>
      <xdr:col>1</xdr:col>
      <xdr:colOff>569874</xdr:colOff>
      <xdr:row>4</xdr:row>
      <xdr:rowOff>15240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419100"/>
          <a:ext cx="554634" cy="807720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144780</xdr:colOff>
      <xdr:row>1</xdr:row>
      <xdr:rowOff>38100</xdr:rowOff>
    </xdr:from>
    <xdr:to>
      <xdr:col>12</xdr:col>
      <xdr:colOff>748365</xdr:colOff>
      <xdr:row>4</xdr:row>
      <xdr:rowOff>22860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86300" y="388620"/>
          <a:ext cx="603585" cy="80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32658</xdr:colOff>
      <xdr:row>10</xdr:row>
      <xdr:rowOff>26126</xdr:rowOff>
    </xdr:from>
    <xdr:to>
      <xdr:col>12</xdr:col>
      <xdr:colOff>699305</xdr:colOff>
      <xdr:row>13</xdr:row>
      <xdr:rowOff>32657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09358" y="2350226"/>
          <a:ext cx="666647" cy="63899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697774</xdr:colOff>
      <xdr:row>10</xdr:row>
      <xdr:rowOff>25038</xdr:rowOff>
    </xdr:from>
    <xdr:to>
      <xdr:col>13</xdr:col>
      <xdr:colOff>453935</xdr:colOff>
      <xdr:row>13</xdr:row>
      <xdr:rowOff>28303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74474" y="2349138"/>
          <a:ext cx="556261" cy="635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174288</xdr:colOff>
      <xdr:row>4</xdr:row>
      <xdr:rowOff>26701</xdr:rowOff>
    </xdr:from>
    <xdr:to>
      <xdr:col>18</xdr:col>
      <xdr:colOff>3427</xdr:colOff>
      <xdr:row>9</xdr:row>
      <xdr:rowOff>64803</xdr:rowOff>
    </xdr:to>
    <xdr:pic>
      <xdr:nvPicPr>
        <xdr:cNvPr id="9" name="Picture 8" descr="sextant02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rot="19985624">
          <a:off x="7070388" y="1253521"/>
          <a:ext cx="1147399" cy="91440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</xdr:rowOff>
    </xdr:from>
    <xdr:to>
      <xdr:col>1</xdr:col>
      <xdr:colOff>510540</xdr:colOff>
      <xdr:row>1</xdr:row>
      <xdr:rowOff>266700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100" y="7620"/>
          <a:ext cx="647700" cy="655320"/>
        </a:xfrm>
        <a:prstGeom prst="rect">
          <a:avLst/>
        </a:prstGeom>
      </xdr:spPr>
    </xdr:pic>
    <xdr:clientData/>
  </xdr:twoCellAnchor>
  <xdr:twoCellAnchor editAs="oneCell">
    <xdr:from>
      <xdr:col>1</xdr:col>
      <xdr:colOff>541020</xdr:colOff>
      <xdr:row>0</xdr:row>
      <xdr:rowOff>0</xdr:rowOff>
    </xdr:from>
    <xdr:to>
      <xdr:col>17</xdr:col>
      <xdr:colOff>259080</xdr:colOff>
      <xdr:row>1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16280" y="0"/>
          <a:ext cx="7635240" cy="3962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6"/>
  <sheetViews>
    <sheetView tabSelected="1" workbookViewId="0">
      <selection activeCell="N5" sqref="N5"/>
    </sheetView>
  </sheetViews>
  <sheetFormatPr defaultColWidth="8.85546875" defaultRowHeight="16.5"/>
  <cols>
    <col min="1" max="1" width="2.5703125" style="15" customWidth="1"/>
    <col min="2" max="2" width="9.7109375" style="16" customWidth="1"/>
    <col min="3" max="3" width="10.7109375" style="16" customWidth="1"/>
    <col min="4" max="4" width="10.42578125" style="16" customWidth="1"/>
    <col min="5" max="5" width="10.42578125" style="16" hidden="1" customWidth="1"/>
    <col min="6" max="6" width="10.42578125" style="16" customWidth="1"/>
    <col min="7" max="7" width="10.42578125" style="16" hidden="1" customWidth="1"/>
    <col min="8" max="8" width="10.42578125" style="16" customWidth="1"/>
    <col min="9" max="9" width="10.42578125" style="16" hidden="1" customWidth="1"/>
    <col min="10" max="10" width="10.42578125" style="18" customWidth="1"/>
    <col min="11" max="11" width="4" style="19" hidden="1" customWidth="1"/>
    <col min="12" max="12" width="2.28515625" style="20" customWidth="1"/>
    <col min="13" max="13" width="11.7109375" style="20" customWidth="1"/>
    <col min="14" max="14" width="9.7109375" style="29" customWidth="1"/>
    <col min="15" max="15" width="9.7109375" style="20" customWidth="1"/>
    <col min="16" max="18" width="9.7109375" style="42" customWidth="1"/>
    <col min="19" max="19" width="1.85546875" style="42" customWidth="1"/>
    <col min="20" max="25" width="8.85546875" style="42"/>
    <col min="26" max="26" width="8.85546875" style="15"/>
    <col min="27" max="27" width="8.85546875" style="13" customWidth="1"/>
    <col min="28" max="28" width="12.28515625" style="14" customWidth="1"/>
    <col min="29" max="30" width="8.85546875" style="15"/>
    <col min="31" max="16384" width="8.85546875" style="19"/>
  </cols>
  <sheetData>
    <row r="1" spans="2:28" s="10" customFormat="1" ht="31.15" customHeight="1">
      <c r="C1" s="9"/>
      <c r="J1" s="11"/>
      <c r="N1" s="12"/>
      <c r="AA1" s="13">
        <v>1</v>
      </c>
      <c r="AB1" s="14">
        <v>90</v>
      </c>
    </row>
    <row r="2" spans="2:28" ht="36.6" customHeight="1">
      <c r="C2" s="49" t="s">
        <v>5</v>
      </c>
      <c r="N2" s="50" t="s">
        <v>7</v>
      </c>
      <c r="P2" s="22"/>
      <c r="Q2" s="22"/>
      <c r="R2" s="22"/>
      <c r="S2" s="22"/>
      <c r="T2" s="15"/>
      <c r="U2" s="15"/>
      <c r="V2" s="15"/>
      <c r="W2" s="15"/>
      <c r="X2" s="15"/>
      <c r="Y2" s="15"/>
      <c r="AA2" s="13">
        <v>2</v>
      </c>
      <c r="AB2" s="14">
        <v>120</v>
      </c>
    </row>
    <row r="3" spans="2:28">
      <c r="H3" s="23" t="s">
        <v>32</v>
      </c>
      <c r="N3" s="20"/>
      <c r="O3" s="24"/>
      <c r="P3" s="22"/>
      <c r="Q3" s="22"/>
      <c r="R3" s="22"/>
      <c r="S3" s="22"/>
      <c r="T3" s="15"/>
      <c r="U3" s="15"/>
      <c r="V3" s="15"/>
      <c r="W3" s="15"/>
      <c r="X3" s="15"/>
      <c r="Y3" s="15"/>
      <c r="AA3" s="13">
        <v>3</v>
      </c>
      <c r="AB3" s="14">
        <v>170</v>
      </c>
    </row>
    <row r="4" spans="2:28">
      <c r="B4" s="17"/>
      <c r="C4" s="80" t="s">
        <v>31</v>
      </c>
      <c r="D4" s="68" t="s">
        <v>33</v>
      </c>
      <c r="E4" s="64"/>
      <c r="F4" s="65" t="s">
        <v>34</v>
      </c>
      <c r="G4" s="64"/>
      <c r="H4" s="66" t="s">
        <v>0</v>
      </c>
      <c r="I4" s="64"/>
      <c r="J4" s="67" t="s">
        <v>35</v>
      </c>
      <c r="M4" s="21"/>
      <c r="N4" s="20"/>
      <c r="P4" s="22"/>
      <c r="Q4" s="22"/>
      <c r="R4" s="22"/>
      <c r="S4" s="22"/>
      <c r="T4" s="15"/>
      <c r="U4" s="15"/>
      <c r="V4" s="15"/>
      <c r="W4" s="15"/>
      <c r="X4" s="15"/>
      <c r="Y4" s="15"/>
      <c r="AA4" s="13">
        <v>4</v>
      </c>
      <c r="AB4" s="14">
        <v>210</v>
      </c>
    </row>
    <row r="5" spans="2:28">
      <c r="B5" s="58" t="s">
        <v>40</v>
      </c>
      <c r="C5" s="52">
        <v>119</v>
      </c>
      <c r="D5" s="53">
        <f>+$C5*E5</f>
        <v>47600</v>
      </c>
      <c r="E5" s="54">
        <v>400</v>
      </c>
      <c r="F5" s="55">
        <f>+$C5*G5</f>
        <v>59500</v>
      </c>
      <c r="G5" s="54">
        <v>500</v>
      </c>
      <c r="H5" s="56">
        <f>+$C5*I5</f>
        <v>71400</v>
      </c>
      <c r="I5" s="54">
        <v>600</v>
      </c>
      <c r="J5" s="57">
        <f>+$C5*K5</f>
        <v>101150</v>
      </c>
      <c r="K5" s="25">
        <v>850</v>
      </c>
      <c r="M5" s="81" t="s">
        <v>8</v>
      </c>
      <c r="N5" s="70">
        <v>2198</v>
      </c>
      <c r="O5" s="24"/>
      <c r="P5" s="26" t="s">
        <v>56</v>
      </c>
      <c r="Q5" s="22"/>
      <c r="R5" s="22"/>
      <c r="S5" s="22"/>
      <c r="T5" s="15"/>
      <c r="U5" s="15"/>
      <c r="V5" s="15"/>
      <c r="W5" s="15"/>
      <c r="X5" s="15"/>
      <c r="Y5" s="15"/>
      <c r="AA5" s="13">
        <v>5</v>
      </c>
      <c r="AB5" s="14">
        <v>350</v>
      </c>
    </row>
    <row r="6" spans="2:28">
      <c r="B6" s="58" t="s">
        <v>41</v>
      </c>
      <c r="C6" s="52">
        <v>49</v>
      </c>
      <c r="D6" s="53">
        <f t="shared" ref="D6:F11" si="0">+$C6*E6</f>
        <v>14700</v>
      </c>
      <c r="E6" s="54">
        <v>300</v>
      </c>
      <c r="F6" s="55">
        <f t="shared" si="0"/>
        <v>14700</v>
      </c>
      <c r="G6" s="54">
        <v>300</v>
      </c>
      <c r="H6" s="56">
        <f t="shared" ref="H6:H11" si="1">+$C6*I6</f>
        <v>24500</v>
      </c>
      <c r="I6" s="54">
        <v>500</v>
      </c>
      <c r="J6" s="57">
        <f t="shared" ref="J6:J11" si="2">+$C6*K6</f>
        <v>24500</v>
      </c>
      <c r="K6" s="25">
        <v>500</v>
      </c>
      <c r="M6" s="81" t="s">
        <v>6</v>
      </c>
      <c r="N6" s="59">
        <f>N5*30</f>
        <v>65940</v>
      </c>
      <c r="O6" s="27" t="s">
        <v>49</v>
      </c>
      <c r="P6" s="74">
        <v>106</v>
      </c>
      <c r="Q6" s="22"/>
      <c r="R6" s="22"/>
      <c r="S6" s="22"/>
      <c r="T6" s="15"/>
      <c r="U6" s="15"/>
      <c r="V6" s="15"/>
      <c r="W6" s="15"/>
      <c r="X6" s="15"/>
      <c r="Y6" s="15"/>
      <c r="AA6" s="13">
        <v>6</v>
      </c>
      <c r="AB6" s="14">
        <v>550</v>
      </c>
    </row>
    <row r="7" spans="2:28">
      <c r="B7" s="58" t="s">
        <v>42</v>
      </c>
      <c r="C7" s="52">
        <v>32</v>
      </c>
      <c r="D7" s="53">
        <f t="shared" si="0"/>
        <v>12160</v>
      </c>
      <c r="E7" s="54">
        <v>380</v>
      </c>
      <c r="F7" s="55">
        <f t="shared" si="0"/>
        <v>12160</v>
      </c>
      <c r="G7" s="54">
        <v>380</v>
      </c>
      <c r="H7" s="56">
        <f t="shared" si="1"/>
        <v>16000</v>
      </c>
      <c r="I7" s="54">
        <v>500</v>
      </c>
      <c r="J7" s="57">
        <f t="shared" si="2"/>
        <v>12800</v>
      </c>
      <c r="K7" s="25">
        <v>400</v>
      </c>
      <c r="M7" s="81" t="s">
        <v>47</v>
      </c>
      <c r="N7" s="71">
        <v>70</v>
      </c>
      <c r="O7" s="27" t="s">
        <v>57</v>
      </c>
      <c r="P7" s="59">
        <f>LOOKUP(P6,AA:AA,(AB:AB*1.05))</f>
        <v>3633000</v>
      </c>
      <c r="Q7" s="22"/>
      <c r="R7" s="22"/>
      <c r="S7" s="22"/>
      <c r="T7" s="15"/>
      <c r="U7" s="15"/>
      <c r="V7" s="15"/>
      <c r="W7" s="15"/>
      <c r="X7" s="15"/>
      <c r="Y7" s="15"/>
      <c r="AA7" s="13">
        <v>7</v>
      </c>
      <c r="AB7" s="14">
        <v>800</v>
      </c>
    </row>
    <row r="8" spans="2:28">
      <c r="B8" s="58" t="s">
        <v>43</v>
      </c>
      <c r="C8" s="52">
        <v>78</v>
      </c>
      <c r="D8" s="53">
        <f t="shared" si="0"/>
        <v>10140</v>
      </c>
      <c r="E8" s="54">
        <v>130</v>
      </c>
      <c r="F8" s="55">
        <f t="shared" si="0"/>
        <v>13260</v>
      </c>
      <c r="G8" s="54">
        <v>170</v>
      </c>
      <c r="H8" s="56">
        <f t="shared" si="1"/>
        <v>13260</v>
      </c>
      <c r="I8" s="54">
        <v>170</v>
      </c>
      <c r="J8" s="57">
        <f t="shared" si="2"/>
        <v>10140</v>
      </c>
      <c r="K8" s="25">
        <v>130</v>
      </c>
      <c r="M8" s="81" t="s">
        <v>54</v>
      </c>
      <c r="N8" s="72">
        <f>(N6/N7)+1</f>
        <v>943</v>
      </c>
      <c r="O8" s="28" t="s">
        <v>55</v>
      </c>
      <c r="P8" s="75">
        <f>LOOKUP(P6,AA:AA,(AB:AB))</f>
        <v>3460000</v>
      </c>
      <c r="Q8" s="22"/>
      <c r="R8" s="22"/>
      <c r="S8" s="22"/>
      <c r="T8" s="15"/>
      <c r="U8" s="15"/>
      <c r="V8" s="15"/>
      <c r="W8" s="15"/>
      <c r="X8" s="15"/>
      <c r="Y8" s="15"/>
      <c r="AA8" s="13">
        <v>8</v>
      </c>
      <c r="AB8" s="14">
        <v>1200</v>
      </c>
    </row>
    <row r="9" spans="2:28">
      <c r="B9" s="58" t="s">
        <v>44</v>
      </c>
      <c r="C9" s="52">
        <v>68</v>
      </c>
      <c r="D9" s="53">
        <f t="shared" si="0"/>
        <v>11560</v>
      </c>
      <c r="E9" s="54">
        <v>170</v>
      </c>
      <c r="F9" s="55">
        <f t="shared" si="0"/>
        <v>11560</v>
      </c>
      <c r="G9" s="54">
        <v>170</v>
      </c>
      <c r="H9" s="56">
        <f t="shared" si="1"/>
        <v>8840</v>
      </c>
      <c r="I9" s="54">
        <v>130</v>
      </c>
      <c r="J9" s="57">
        <f t="shared" si="2"/>
        <v>8840</v>
      </c>
      <c r="K9" s="25">
        <v>130</v>
      </c>
      <c r="M9" s="81" t="s">
        <v>52</v>
      </c>
      <c r="N9" s="73">
        <f>+N8*160/60/60/24</f>
        <v>1.7462962962962962</v>
      </c>
      <c r="P9" s="22"/>
      <c r="Q9" s="22"/>
      <c r="R9" s="22"/>
      <c r="S9" s="22"/>
      <c r="T9" s="15"/>
      <c r="U9" s="15"/>
      <c r="V9" s="15"/>
      <c r="W9" s="15"/>
      <c r="X9" s="15"/>
      <c r="Y9" s="15"/>
      <c r="AA9" s="13">
        <v>9</v>
      </c>
      <c r="AB9" s="14">
        <v>1700</v>
      </c>
    </row>
    <row r="10" spans="2:28">
      <c r="B10" s="58" t="s">
        <v>45</v>
      </c>
      <c r="C10" s="52">
        <v>299</v>
      </c>
      <c r="D10" s="53">
        <f t="shared" si="0"/>
        <v>5980</v>
      </c>
      <c r="E10" s="54">
        <v>20</v>
      </c>
      <c r="F10" s="55">
        <f t="shared" si="0"/>
        <v>5980</v>
      </c>
      <c r="G10" s="54">
        <v>20</v>
      </c>
      <c r="H10" s="56">
        <f t="shared" si="1"/>
        <v>5382</v>
      </c>
      <c r="I10" s="54">
        <v>18</v>
      </c>
      <c r="J10" s="57">
        <f t="shared" si="2"/>
        <v>5382</v>
      </c>
      <c r="K10" s="25">
        <v>18</v>
      </c>
      <c r="P10" s="22"/>
      <c r="Q10" s="22"/>
      <c r="R10" s="22"/>
      <c r="S10" s="22"/>
      <c r="T10" s="15"/>
      <c r="U10" s="15"/>
      <c r="V10" s="15"/>
      <c r="W10" s="15"/>
      <c r="X10" s="15"/>
      <c r="Y10" s="15"/>
      <c r="AA10" s="13">
        <v>10</v>
      </c>
      <c r="AB10" s="14">
        <v>2200</v>
      </c>
    </row>
    <row r="11" spans="2:28">
      <c r="B11" s="58" t="s">
        <v>46</v>
      </c>
      <c r="C11" s="52">
        <v>24</v>
      </c>
      <c r="D11" s="53">
        <f t="shared" si="0"/>
        <v>720</v>
      </c>
      <c r="E11" s="54">
        <v>30</v>
      </c>
      <c r="F11" s="55">
        <f t="shared" si="0"/>
        <v>624</v>
      </c>
      <c r="G11" s="54">
        <v>26</v>
      </c>
      <c r="H11" s="56">
        <f t="shared" si="1"/>
        <v>384</v>
      </c>
      <c r="I11" s="54">
        <v>16</v>
      </c>
      <c r="J11" s="57">
        <f t="shared" si="2"/>
        <v>384</v>
      </c>
      <c r="K11" s="25">
        <v>16</v>
      </c>
      <c r="L11" s="30"/>
      <c r="M11" s="30"/>
      <c r="N11" s="31"/>
      <c r="O11" s="30"/>
      <c r="P11" s="30"/>
      <c r="Q11" s="30"/>
      <c r="R11" s="30"/>
      <c r="S11" s="30"/>
      <c r="T11" s="15"/>
      <c r="U11" s="15"/>
      <c r="V11" s="15"/>
      <c r="W11" s="15"/>
      <c r="X11" s="15"/>
      <c r="Y11" s="15"/>
      <c r="AA11" s="13">
        <v>11</v>
      </c>
      <c r="AB11" s="14">
        <v>3000</v>
      </c>
    </row>
    <row r="12" spans="2:28">
      <c r="C12" s="58"/>
      <c r="D12" s="59">
        <f>SUM(D5:D11)</f>
        <v>102860</v>
      </c>
      <c r="E12" s="59"/>
      <c r="F12" s="59">
        <f>SUM(F5:F11)</f>
        <v>117784</v>
      </c>
      <c r="G12" s="59"/>
      <c r="H12" s="59">
        <f>SUM(H5:H11)</f>
        <v>139766</v>
      </c>
      <c r="I12" s="59"/>
      <c r="J12" s="59">
        <f>SUM(J5:J11)</f>
        <v>163196</v>
      </c>
      <c r="L12" s="30"/>
      <c r="M12" s="30"/>
      <c r="N12" s="30"/>
      <c r="O12" s="51" t="s">
        <v>53</v>
      </c>
      <c r="P12" s="30"/>
      <c r="Q12" s="30"/>
      <c r="R12" s="30"/>
      <c r="S12" s="30"/>
      <c r="T12" s="15"/>
      <c r="U12" s="15"/>
      <c r="V12" s="15"/>
      <c r="W12" s="15"/>
      <c r="X12" s="15"/>
      <c r="Y12" s="15"/>
      <c r="AA12" s="13">
        <v>12</v>
      </c>
      <c r="AB12" s="14">
        <v>3900</v>
      </c>
    </row>
    <row r="13" spans="2:28" ht="22.15" customHeight="1">
      <c r="C13" s="32" t="s">
        <v>48</v>
      </c>
      <c r="D13" s="90" t="str">
        <f>IF(OR(MIN(D12:F12)*1.45&lt;MAX(H12:J12),MIN(J12,H12)-MIN(D12,F12)&gt;450000),"Be preferrin' the pirates and mercs on this one!",IF(J12&lt;H12,"This be a job for the armada","Ye may want to send in the fleet first"))</f>
        <v>Be preferrin' the pirates and mercs on this one!</v>
      </c>
      <c r="E13" s="89"/>
      <c r="F13" s="89"/>
      <c r="G13" s="89"/>
      <c r="H13" s="89"/>
      <c r="I13" s="89"/>
      <c r="J13" s="89"/>
      <c r="L13" s="30"/>
      <c r="M13" s="33"/>
      <c r="N13" s="30"/>
      <c r="O13" s="30"/>
      <c r="P13" s="30"/>
      <c r="Q13" s="34" t="s">
        <v>32</v>
      </c>
      <c r="R13" s="30"/>
      <c r="S13" s="30"/>
      <c r="T13" s="15"/>
      <c r="U13" s="15"/>
      <c r="V13" s="15"/>
      <c r="W13" s="15"/>
      <c r="X13" s="15"/>
      <c r="Y13" s="15"/>
      <c r="AA13" s="13">
        <v>13</v>
      </c>
      <c r="AB13" s="14">
        <v>4800</v>
      </c>
    </row>
    <row r="14" spans="2:28">
      <c r="C14" s="35" t="s">
        <v>47</v>
      </c>
      <c r="D14" s="76">
        <v>68.400000000000006</v>
      </c>
      <c r="E14" s="58"/>
      <c r="F14" s="77" t="s">
        <v>50</v>
      </c>
      <c r="G14" s="78"/>
      <c r="H14" s="59">
        <f>+D12/D14</f>
        <v>1503.8011695906432</v>
      </c>
      <c r="I14" s="18"/>
      <c r="L14" s="30"/>
      <c r="M14" s="30"/>
      <c r="N14" s="82" t="s">
        <v>31</v>
      </c>
      <c r="O14" s="68" t="s">
        <v>33</v>
      </c>
      <c r="P14" s="65" t="s">
        <v>34</v>
      </c>
      <c r="Q14" s="83" t="s">
        <v>0</v>
      </c>
      <c r="R14" s="67" t="s">
        <v>35</v>
      </c>
      <c r="S14" s="30"/>
      <c r="T14" s="15"/>
      <c r="U14" s="15"/>
      <c r="V14" s="15"/>
      <c r="W14" s="15"/>
      <c r="X14" s="15"/>
      <c r="Y14" s="15"/>
      <c r="AA14" s="13">
        <v>14</v>
      </c>
      <c r="AB14" s="14">
        <v>6200</v>
      </c>
    </row>
    <row r="15" spans="2:28">
      <c r="D15" s="58"/>
      <c r="E15" s="58"/>
      <c r="F15" s="77" t="s">
        <v>52</v>
      </c>
      <c r="G15" s="58"/>
      <c r="H15" s="79">
        <f>+H14*160/60/60/24</f>
        <v>2.7848169807234133</v>
      </c>
      <c r="J15" s="16" t="s">
        <v>51</v>
      </c>
      <c r="L15" s="30"/>
      <c r="M15" s="36" t="s">
        <v>58</v>
      </c>
      <c r="N15" s="60">
        <v>983</v>
      </c>
      <c r="O15" s="53">
        <f>+N15*80</f>
        <v>78640</v>
      </c>
      <c r="P15" s="55">
        <f>+N15*80</f>
        <v>78640</v>
      </c>
      <c r="Q15" s="61">
        <f>+N15*80</f>
        <v>78640</v>
      </c>
      <c r="R15" s="57">
        <f>+N15*240</f>
        <v>235920</v>
      </c>
      <c r="S15" s="30"/>
      <c r="T15" s="15"/>
      <c r="U15" s="15"/>
      <c r="V15" s="15"/>
      <c r="W15" s="15"/>
      <c r="X15" s="15"/>
      <c r="Y15" s="15"/>
      <c r="AA15" s="13">
        <v>15</v>
      </c>
      <c r="AB15" s="14">
        <v>7700</v>
      </c>
    </row>
    <row r="16" spans="2:28">
      <c r="E16" s="18"/>
      <c r="F16" s="18"/>
      <c r="G16" s="18"/>
      <c r="I16" s="18"/>
      <c r="L16" s="30"/>
      <c r="M16" s="36" t="s">
        <v>59</v>
      </c>
      <c r="N16" s="60">
        <v>1264</v>
      </c>
      <c r="O16" s="53">
        <f>+N16*60</f>
        <v>75840</v>
      </c>
      <c r="P16" s="55">
        <f>+N16*20</f>
        <v>25280</v>
      </c>
      <c r="Q16" s="61">
        <f>+N16*20</f>
        <v>25280</v>
      </c>
      <c r="R16" s="57">
        <f>+N16*20</f>
        <v>25280</v>
      </c>
      <c r="S16" s="30"/>
      <c r="T16" s="15"/>
      <c r="U16" s="15"/>
      <c r="V16" s="15"/>
      <c r="W16" s="15"/>
      <c r="X16" s="15"/>
      <c r="Y16" s="15"/>
      <c r="AA16" s="13">
        <v>16</v>
      </c>
      <c r="AB16" s="14">
        <v>9500</v>
      </c>
    </row>
    <row r="17" spans="1:30">
      <c r="B17" s="91" t="s">
        <v>36</v>
      </c>
      <c r="C17" s="91"/>
      <c r="D17" s="63">
        <v>2858421</v>
      </c>
      <c r="E17" s="64"/>
      <c r="F17" s="65">
        <f>+F12*(1-D21)</f>
        <v>-3155366.4867198132</v>
      </c>
      <c r="G17" s="64"/>
      <c r="H17" s="66">
        <f>+H12*(1-D21)</f>
        <v>-3744251.7861753837</v>
      </c>
      <c r="I17" s="64">
        <f>1000*73</f>
        <v>73000</v>
      </c>
      <c r="J17" s="67">
        <f>+J12*(1-D21)</f>
        <v>-4371928.1835115692</v>
      </c>
      <c r="L17" s="30"/>
      <c r="M17" s="36" t="s">
        <v>60</v>
      </c>
      <c r="N17" s="60">
        <v>106</v>
      </c>
      <c r="O17" s="53">
        <f>+N17*40</f>
        <v>4240</v>
      </c>
      <c r="P17" s="55">
        <f>+N17*120</f>
        <v>12720</v>
      </c>
      <c r="Q17" s="61">
        <f>+N17*40</f>
        <v>4240</v>
      </c>
      <c r="R17" s="57">
        <f>+N17*40</f>
        <v>4240</v>
      </c>
      <c r="S17" s="30"/>
      <c r="T17" s="15"/>
      <c r="U17" s="15"/>
      <c r="V17" s="15"/>
      <c r="W17" s="15"/>
      <c r="X17" s="15"/>
      <c r="Y17" s="15"/>
      <c r="AA17" s="13">
        <v>19</v>
      </c>
      <c r="AB17" s="14">
        <v>16000</v>
      </c>
    </row>
    <row r="18" spans="1:30">
      <c r="B18" s="91" t="s">
        <v>37</v>
      </c>
      <c r="C18" s="91"/>
      <c r="D18" s="68">
        <f>+D12*(1-F21)</f>
        <v>-770433.48638185149</v>
      </c>
      <c r="E18" s="64"/>
      <c r="F18" s="63">
        <v>1000000</v>
      </c>
      <c r="G18" s="64"/>
      <c r="H18" s="66">
        <f>+H12*(1-F21)</f>
        <v>-1046863.7629559193</v>
      </c>
      <c r="I18" s="64">
        <f>100*440</f>
        <v>44000</v>
      </c>
      <c r="J18" s="67">
        <f>+J12*(1-F21)</f>
        <v>-1222357.2160565101</v>
      </c>
      <c r="L18" s="37"/>
      <c r="M18" s="36" t="s">
        <v>61</v>
      </c>
      <c r="N18" s="60">
        <v>157</v>
      </c>
      <c r="O18" s="53">
        <f>+N18*60</f>
        <v>9420</v>
      </c>
      <c r="P18" s="55">
        <f>+N18*60</f>
        <v>9420</v>
      </c>
      <c r="Q18" s="61">
        <f>+N18*180</f>
        <v>28260</v>
      </c>
      <c r="R18" s="57">
        <f>+N18*60</f>
        <v>9420</v>
      </c>
      <c r="S18" s="30"/>
      <c r="T18" s="15"/>
      <c r="U18" s="15"/>
      <c r="V18" s="15"/>
      <c r="W18" s="15"/>
      <c r="X18" s="15"/>
      <c r="Y18" s="15"/>
      <c r="AA18" s="13">
        <v>20</v>
      </c>
      <c r="AB18" s="14">
        <v>18000</v>
      </c>
    </row>
    <row r="19" spans="1:30">
      <c r="B19" s="91" t="s">
        <v>38</v>
      </c>
      <c r="C19" s="91"/>
      <c r="D19" s="68">
        <f>+D12*(1-H21)</f>
        <v>-19837.380335703958</v>
      </c>
      <c r="E19" s="64">
        <f>+E13*(1-G22)</f>
        <v>0</v>
      </c>
      <c r="F19" s="65">
        <f>+F12*(1-H21)</f>
        <v>-22715.594064364719</v>
      </c>
      <c r="G19" s="64"/>
      <c r="H19" s="63">
        <v>166721</v>
      </c>
      <c r="I19" s="64">
        <f>25*1324.8</f>
        <v>33120</v>
      </c>
      <c r="J19" s="67">
        <f>+J12*(1-H21)</f>
        <v>-31473.66441051471</v>
      </c>
      <c r="L19" s="37"/>
      <c r="M19" s="30"/>
      <c r="N19" s="62"/>
      <c r="O19" s="59">
        <f>SUM(O15:O18)</f>
        <v>168140</v>
      </c>
      <c r="P19" s="59">
        <f>SUM(P15:P18)</f>
        <v>126060</v>
      </c>
      <c r="Q19" s="59">
        <f>SUM(Q15:Q18)</f>
        <v>136420</v>
      </c>
      <c r="R19" s="59">
        <f>SUM(R15:R18)</f>
        <v>274860</v>
      </c>
      <c r="S19" s="30"/>
      <c r="T19" s="15"/>
      <c r="U19" s="15"/>
      <c r="V19" s="15"/>
      <c r="W19" s="15"/>
      <c r="X19" s="15"/>
      <c r="Y19" s="15"/>
      <c r="AA19" s="13">
        <v>21</v>
      </c>
      <c r="AB19" s="14">
        <v>21000</v>
      </c>
    </row>
    <row r="20" spans="1:30">
      <c r="B20" s="91" t="s">
        <v>39</v>
      </c>
      <c r="C20" s="91"/>
      <c r="D20" s="53">
        <f>+D12*(1-J21)</f>
        <v>-950790.67955096939</v>
      </c>
      <c r="E20" s="54">
        <f>+E14*(1-G23)</f>
        <v>0</v>
      </c>
      <c r="F20" s="55">
        <f>+F12*(1-J21)</f>
        <v>-1088741.2930218878</v>
      </c>
      <c r="G20" s="54"/>
      <c r="H20" s="56">
        <f>+H12*(1-J21)</f>
        <v>-1291932.8224588837</v>
      </c>
      <c r="I20" s="54"/>
      <c r="J20" s="69">
        <v>1671705</v>
      </c>
      <c r="L20" s="37"/>
      <c r="M20" s="30"/>
      <c r="N20" s="38" t="s">
        <v>48</v>
      </c>
      <c r="O20" s="88" t="str">
        <f>IF(O19&gt;2*MIN(P19:R19),"Yer Bonnies will perish!",IF(MAX(O19:R19)&gt;(2*MIN(O19:R19)),"Bad place for " &amp; LOOKUP(MAX(N19:R19),(N19:R19),(N14:R14)),LOOKUP(MIN(O19:R19),O19:R19,O14:R14) &amp;" have the advantage"))</f>
        <v>Bad place for Armada</v>
      </c>
      <c r="P20" s="89"/>
      <c r="Q20" s="89"/>
      <c r="R20" s="89"/>
      <c r="S20" s="30"/>
      <c r="T20" s="15"/>
      <c r="U20" s="15"/>
      <c r="V20" s="15"/>
      <c r="W20" s="15"/>
      <c r="X20" s="15"/>
      <c r="Y20" s="15"/>
      <c r="AA20" s="13">
        <v>22</v>
      </c>
      <c r="AB20" s="14">
        <v>25000</v>
      </c>
    </row>
    <row r="21" spans="1:30" hidden="1">
      <c r="B21" s="18"/>
      <c r="C21" s="18"/>
      <c r="D21" s="18">
        <f>+D17/D12</f>
        <v>27.789432237993388</v>
      </c>
      <c r="E21" s="18"/>
      <c r="F21" s="18">
        <f>+F18/F12</f>
        <v>8.4901175032262444</v>
      </c>
      <c r="G21" s="18"/>
      <c r="H21" s="18">
        <f>+H19/H12</f>
        <v>1.1928580627620451</v>
      </c>
      <c r="I21" s="18"/>
      <c r="J21" s="18">
        <f>+J20/J12</f>
        <v>10.243541508370303</v>
      </c>
      <c r="L21" s="39"/>
      <c r="M21" s="40"/>
      <c r="N21" s="41"/>
      <c r="S21" s="30"/>
      <c r="T21" s="15"/>
      <c r="U21" s="15"/>
      <c r="V21" s="15"/>
      <c r="W21" s="15"/>
      <c r="X21" s="15"/>
      <c r="Y21" s="15"/>
      <c r="AA21" s="13">
        <v>23</v>
      </c>
      <c r="AB21" s="14">
        <v>27000</v>
      </c>
    </row>
    <row r="22" spans="1:30">
      <c r="L22" s="30"/>
      <c r="M22" s="37"/>
      <c r="N22" s="31"/>
      <c r="O22" s="30"/>
      <c r="P22" s="30"/>
      <c r="Q22" s="30"/>
      <c r="R22" s="33"/>
      <c r="S22" s="30"/>
      <c r="T22" s="15"/>
      <c r="U22" s="15"/>
      <c r="V22" s="15"/>
      <c r="W22" s="15"/>
      <c r="X22" s="15"/>
      <c r="Y22" s="15"/>
      <c r="AA22" s="13">
        <v>24</v>
      </c>
      <c r="AB22" s="14">
        <v>32000</v>
      </c>
    </row>
    <row r="23" spans="1:30" ht="33" customHeight="1">
      <c r="B23" s="43" t="s">
        <v>62</v>
      </c>
      <c r="C23" s="15"/>
      <c r="D23" s="44"/>
      <c r="E23" s="44"/>
      <c r="F23" s="44"/>
      <c r="G23" s="44"/>
      <c r="H23" s="44"/>
      <c r="I23" s="44"/>
      <c r="J23" s="44"/>
      <c r="K23" s="15"/>
      <c r="L23" s="15"/>
      <c r="M23" s="45"/>
      <c r="N23" s="46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AA23" s="13">
        <v>25</v>
      </c>
      <c r="AB23" s="14">
        <v>36000</v>
      </c>
    </row>
    <row r="24" spans="1:30" s="48" customFormat="1">
      <c r="A24" s="10"/>
      <c r="B24" s="10"/>
      <c r="C24" s="10"/>
      <c r="D24" s="10"/>
      <c r="E24" s="10"/>
      <c r="F24" s="10"/>
      <c r="G24" s="10"/>
      <c r="H24" s="10"/>
      <c r="I24" s="10"/>
      <c r="J24" s="11"/>
      <c r="K24" s="10"/>
      <c r="L24" s="11"/>
      <c r="M24" s="47"/>
      <c r="N24" s="12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3">
        <v>26</v>
      </c>
      <c r="AB24" s="14">
        <v>40000</v>
      </c>
      <c r="AC24" s="10"/>
      <c r="AD24" s="10"/>
    </row>
    <row r="25" spans="1:30" s="15" customFormat="1">
      <c r="J25" s="44"/>
      <c r="M25" s="45"/>
      <c r="N25" s="46"/>
      <c r="AA25" s="13">
        <v>27</v>
      </c>
      <c r="AB25" s="14">
        <v>47000</v>
      </c>
    </row>
    <row r="26" spans="1:30" s="15" customFormat="1">
      <c r="J26" s="44"/>
      <c r="L26" s="44"/>
      <c r="M26" s="45"/>
      <c r="N26" s="46"/>
      <c r="AA26" s="13">
        <v>28</v>
      </c>
      <c r="AB26" s="14">
        <v>53000</v>
      </c>
    </row>
    <row r="27" spans="1:30" s="15" customFormat="1">
      <c r="J27" s="44"/>
      <c r="AA27" s="13">
        <v>29</v>
      </c>
      <c r="AB27" s="14">
        <v>59000</v>
      </c>
    </row>
    <row r="28" spans="1:30" s="15" customFormat="1">
      <c r="J28" s="44"/>
      <c r="AA28" s="13">
        <v>30</v>
      </c>
      <c r="AB28" s="14">
        <v>67000</v>
      </c>
    </row>
    <row r="29" spans="1:30" s="15" customFormat="1">
      <c r="J29" s="44"/>
      <c r="AA29" s="13">
        <v>31</v>
      </c>
      <c r="AB29" s="14">
        <v>74000</v>
      </c>
    </row>
    <row r="30" spans="1:30" s="15" customFormat="1">
      <c r="J30" s="44"/>
      <c r="M30" s="45"/>
      <c r="N30" s="46"/>
      <c r="AA30" s="13">
        <v>32</v>
      </c>
      <c r="AB30" s="14">
        <v>81000</v>
      </c>
    </row>
    <row r="31" spans="1:30" s="15" customFormat="1">
      <c r="J31" s="44"/>
      <c r="M31" s="45"/>
      <c r="N31" s="46"/>
      <c r="AA31" s="13">
        <v>33</v>
      </c>
      <c r="AB31" s="14">
        <v>88000</v>
      </c>
    </row>
    <row r="32" spans="1:30" s="15" customFormat="1">
      <c r="J32" s="44"/>
      <c r="N32" s="46"/>
      <c r="AA32" s="13">
        <v>34</v>
      </c>
      <c r="AB32" s="14">
        <v>98000</v>
      </c>
    </row>
    <row r="33" spans="8:28" s="15" customFormat="1">
      <c r="J33" s="44"/>
      <c r="N33" s="46"/>
      <c r="AA33" s="13">
        <v>35</v>
      </c>
      <c r="AB33" s="14">
        <v>106000</v>
      </c>
    </row>
    <row r="34" spans="8:28" s="15" customFormat="1">
      <c r="J34" s="44"/>
      <c r="N34" s="46"/>
      <c r="AA34" s="13">
        <v>36</v>
      </c>
      <c r="AB34" s="14">
        <v>115000</v>
      </c>
    </row>
    <row r="35" spans="8:28" s="15" customFormat="1">
      <c r="J35" s="44"/>
      <c r="N35" s="46"/>
      <c r="AA35" s="13">
        <v>37</v>
      </c>
      <c r="AB35" s="14">
        <v>126000</v>
      </c>
    </row>
    <row r="36" spans="8:28" s="15" customFormat="1">
      <c r="J36" s="44"/>
      <c r="N36" s="46"/>
      <c r="AA36" s="13">
        <v>38</v>
      </c>
      <c r="AB36" s="14">
        <v>138000</v>
      </c>
    </row>
    <row r="37" spans="8:28" s="15" customFormat="1">
      <c r="J37" s="44"/>
      <c r="N37" s="46"/>
      <c r="AA37" s="13">
        <v>39</v>
      </c>
      <c r="AB37" s="14">
        <v>150000</v>
      </c>
    </row>
    <row r="38" spans="8:28" s="15" customFormat="1">
      <c r="J38" s="44"/>
      <c r="N38" s="46"/>
      <c r="AA38" s="13">
        <v>40</v>
      </c>
      <c r="AB38" s="14">
        <v>160000</v>
      </c>
    </row>
    <row r="39" spans="8:28" s="15" customFormat="1">
      <c r="H39" s="45"/>
      <c r="J39" s="44"/>
      <c r="N39" s="46"/>
      <c r="AA39" s="13">
        <v>41</v>
      </c>
      <c r="AB39" s="14">
        <v>180000</v>
      </c>
    </row>
    <row r="40" spans="8:28" s="15" customFormat="1">
      <c r="J40" s="44"/>
      <c r="N40" s="46"/>
      <c r="AA40" s="13">
        <v>42</v>
      </c>
      <c r="AB40" s="14">
        <v>189000</v>
      </c>
    </row>
    <row r="41" spans="8:28" s="15" customFormat="1">
      <c r="J41" s="44"/>
      <c r="N41" s="46"/>
      <c r="AA41" s="13">
        <v>43</v>
      </c>
      <c r="AB41" s="14">
        <v>202000</v>
      </c>
    </row>
    <row r="42" spans="8:28" s="15" customFormat="1">
      <c r="J42" s="44"/>
      <c r="N42" s="46"/>
      <c r="AA42" s="13">
        <v>44</v>
      </c>
      <c r="AB42" s="14">
        <v>215000</v>
      </c>
    </row>
    <row r="43" spans="8:28" s="15" customFormat="1">
      <c r="J43" s="44"/>
      <c r="N43" s="46"/>
      <c r="AA43" s="13">
        <v>45</v>
      </c>
      <c r="AB43" s="14">
        <v>232000</v>
      </c>
    </row>
    <row r="44" spans="8:28" s="15" customFormat="1">
      <c r="J44" s="44"/>
      <c r="N44" s="46"/>
      <c r="AA44" s="13">
        <v>46</v>
      </c>
      <c r="AB44" s="14">
        <v>250000</v>
      </c>
    </row>
    <row r="45" spans="8:28" s="15" customFormat="1">
      <c r="J45" s="44"/>
      <c r="N45" s="46"/>
      <c r="AA45" s="13">
        <v>47</v>
      </c>
      <c r="AB45" s="14">
        <v>265000</v>
      </c>
    </row>
    <row r="46" spans="8:28" s="15" customFormat="1">
      <c r="J46" s="44"/>
      <c r="N46" s="46"/>
      <c r="AA46" s="13">
        <v>48</v>
      </c>
      <c r="AB46" s="14">
        <v>285000</v>
      </c>
    </row>
    <row r="47" spans="8:28" s="15" customFormat="1">
      <c r="J47" s="44"/>
      <c r="N47" s="46"/>
      <c r="AA47" s="13">
        <v>49</v>
      </c>
      <c r="AB47" s="14">
        <v>302000</v>
      </c>
    </row>
    <row r="48" spans="8:28" s="15" customFormat="1">
      <c r="J48" s="44"/>
      <c r="N48" s="46"/>
      <c r="AA48" s="13">
        <v>50</v>
      </c>
      <c r="AB48" s="14">
        <v>330000</v>
      </c>
    </row>
    <row r="49" spans="10:28" s="15" customFormat="1">
      <c r="J49" s="44"/>
      <c r="N49" s="46"/>
      <c r="AA49" s="13">
        <v>51</v>
      </c>
      <c r="AB49" s="14">
        <v>346000</v>
      </c>
    </row>
    <row r="50" spans="10:28" s="15" customFormat="1">
      <c r="J50" s="44"/>
      <c r="N50" s="46"/>
      <c r="AA50" s="13">
        <v>52</v>
      </c>
      <c r="AB50" s="14">
        <v>367000</v>
      </c>
    </row>
    <row r="51" spans="10:28" s="15" customFormat="1">
      <c r="J51" s="44"/>
      <c r="N51" s="46"/>
      <c r="AA51" s="13">
        <v>53</v>
      </c>
      <c r="AB51" s="14">
        <v>390000</v>
      </c>
    </row>
    <row r="52" spans="10:28" s="15" customFormat="1">
      <c r="J52" s="44"/>
      <c r="N52" s="46"/>
      <c r="AA52" s="13">
        <v>54</v>
      </c>
      <c r="AB52" s="14">
        <v>412000</v>
      </c>
    </row>
    <row r="53" spans="10:28" s="15" customFormat="1">
      <c r="J53" s="44"/>
      <c r="N53" s="46"/>
      <c r="AA53" s="13">
        <v>55</v>
      </c>
      <c r="AB53" s="14">
        <v>436000</v>
      </c>
    </row>
    <row r="54" spans="10:28" s="15" customFormat="1">
      <c r="J54" s="44"/>
      <c r="N54" s="46"/>
      <c r="AA54" s="13">
        <v>56</v>
      </c>
      <c r="AB54" s="14">
        <v>460000</v>
      </c>
    </row>
    <row r="55" spans="10:28" s="15" customFormat="1">
      <c r="J55" s="44"/>
      <c r="N55" s="46"/>
      <c r="AA55" s="13">
        <v>57</v>
      </c>
      <c r="AB55" s="14">
        <v>490000</v>
      </c>
    </row>
    <row r="56" spans="10:28" s="15" customFormat="1">
      <c r="J56" s="44"/>
      <c r="N56" s="46"/>
      <c r="AA56" s="13">
        <v>58</v>
      </c>
      <c r="AB56" s="14">
        <v>514000</v>
      </c>
    </row>
    <row r="57" spans="10:28" s="15" customFormat="1">
      <c r="J57" s="44"/>
      <c r="N57" s="46"/>
      <c r="AA57" s="13">
        <v>59</v>
      </c>
      <c r="AB57" s="14">
        <v>544000</v>
      </c>
    </row>
    <row r="58" spans="10:28" s="15" customFormat="1">
      <c r="J58" s="44"/>
      <c r="N58" s="46"/>
      <c r="AA58" s="13">
        <v>60</v>
      </c>
      <c r="AB58" s="14">
        <v>575000</v>
      </c>
    </row>
    <row r="59" spans="10:28" s="15" customFormat="1">
      <c r="J59" s="44"/>
      <c r="N59" s="46"/>
      <c r="AA59" s="13">
        <v>61</v>
      </c>
      <c r="AB59" s="14">
        <v>605000</v>
      </c>
    </row>
    <row r="60" spans="10:28" s="15" customFormat="1">
      <c r="J60" s="44"/>
      <c r="N60" s="46"/>
      <c r="AA60" s="13">
        <v>62</v>
      </c>
      <c r="AB60" s="14">
        <v>635000</v>
      </c>
    </row>
    <row r="61" spans="10:28" s="15" customFormat="1">
      <c r="J61" s="44"/>
      <c r="N61" s="46"/>
      <c r="AA61" s="13">
        <v>63</v>
      </c>
      <c r="AB61" s="14">
        <v>675000</v>
      </c>
    </row>
    <row r="62" spans="10:28" s="15" customFormat="1">
      <c r="J62" s="44"/>
      <c r="N62" s="46"/>
      <c r="AA62" s="13">
        <v>64</v>
      </c>
      <c r="AB62" s="14">
        <v>710000</v>
      </c>
    </row>
    <row r="63" spans="10:28" s="15" customFormat="1">
      <c r="J63" s="44"/>
      <c r="N63" s="46"/>
      <c r="AA63" s="13">
        <v>65</v>
      </c>
      <c r="AB63" s="14">
        <v>740000</v>
      </c>
    </row>
    <row r="64" spans="10:28" s="15" customFormat="1">
      <c r="J64" s="44"/>
      <c r="N64" s="46"/>
      <c r="AA64" s="13">
        <v>66</v>
      </c>
      <c r="AB64" s="14">
        <v>780000</v>
      </c>
    </row>
    <row r="65" spans="10:28" s="15" customFormat="1">
      <c r="J65" s="44"/>
      <c r="N65" s="46"/>
      <c r="AA65" s="13">
        <v>67</v>
      </c>
      <c r="AB65" s="14">
        <v>820000</v>
      </c>
    </row>
    <row r="66" spans="10:28" s="15" customFormat="1">
      <c r="J66" s="44"/>
      <c r="N66" s="46"/>
      <c r="AA66" s="13">
        <v>68</v>
      </c>
      <c r="AB66" s="14">
        <v>860000</v>
      </c>
    </row>
    <row r="67" spans="10:28" s="15" customFormat="1">
      <c r="J67" s="44"/>
      <c r="N67" s="46"/>
      <c r="AA67" s="13">
        <v>69</v>
      </c>
      <c r="AB67" s="14">
        <v>900000</v>
      </c>
    </row>
    <row r="68" spans="10:28" s="15" customFormat="1">
      <c r="J68" s="44"/>
      <c r="N68" s="46"/>
      <c r="AA68" s="13">
        <v>70</v>
      </c>
      <c r="AB68" s="14">
        <v>940000</v>
      </c>
    </row>
    <row r="69" spans="10:28" s="15" customFormat="1">
      <c r="J69" s="44"/>
      <c r="N69" s="46"/>
      <c r="AA69" s="13">
        <v>71</v>
      </c>
      <c r="AB69" s="14">
        <v>980000</v>
      </c>
    </row>
    <row r="70" spans="10:28" s="15" customFormat="1">
      <c r="J70" s="44"/>
      <c r="N70" s="46"/>
      <c r="AA70" s="13">
        <v>72</v>
      </c>
      <c r="AB70" s="14">
        <v>1025000</v>
      </c>
    </row>
    <row r="71" spans="10:28" s="15" customFormat="1">
      <c r="J71" s="44"/>
      <c r="N71" s="46"/>
      <c r="AA71" s="13">
        <v>73</v>
      </c>
      <c r="AB71" s="14">
        <v>1075000</v>
      </c>
    </row>
    <row r="72" spans="10:28" s="15" customFormat="1">
      <c r="J72" s="44"/>
      <c r="N72" s="46"/>
      <c r="AA72" s="13">
        <v>74</v>
      </c>
      <c r="AB72" s="14">
        <v>1120000</v>
      </c>
    </row>
    <row r="73" spans="10:28" s="15" customFormat="1">
      <c r="J73" s="44"/>
      <c r="N73" s="46"/>
      <c r="AA73" s="13">
        <v>75</v>
      </c>
      <c r="AB73" s="14">
        <v>1170000</v>
      </c>
    </row>
    <row r="74" spans="10:28" s="15" customFormat="1">
      <c r="J74" s="44"/>
      <c r="N74" s="46"/>
      <c r="AA74" s="13">
        <v>76</v>
      </c>
      <c r="AB74" s="14">
        <v>1220000</v>
      </c>
    </row>
    <row r="75" spans="10:28" s="15" customFormat="1">
      <c r="J75" s="44"/>
      <c r="N75" s="46"/>
      <c r="AA75" s="13">
        <v>77</v>
      </c>
      <c r="AB75" s="14">
        <v>1270000</v>
      </c>
    </row>
    <row r="76" spans="10:28" s="15" customFormat="1">
      <c r="J76" s="44"/>
      <c r="N76" s="46"/>
      <c r="AA76" s="13">
        <v>78</v>
      </c>
      <c r="AB76" s="14">
        <v>1325000</v>
      </c>
    </row>
    <row r="77" spans="10:28" s="15" customFormat="1">
      <c r="J77" s="44"/>
      <c r="N77" s="46"/>
      <c r="AA77" s="13">
        <v>79</v>
      </c>
      <c r="AB77" s="14">
        <v>1380000</v>
      </c>
    </row>
    <row r="78" spans="10:28" s="15" customFormat="1">
      <c r="J78" s="44"/>
      <c r="N78" s="46"/>
      <c r="AA78" s="13">
        <v>80</v>
      </c>
      <c r="AB78" s="14">
        <v>1435000</v>
      </c>
    </row>
    <row r="79" spans="10:28" s="15" customFormat="1">
      <c r="J79" s="44"/>
      <c r="N79" s="46"/>
      <c r="AA79" s="13">
        <v>81</v>
      </c>
      <c r="AB79" s="14">
        <v>1500000</v>
      </c>
    </row>
    <row r="80" spans="10:28" s="15" customFormat="1">
      <c r="J80" s="44"/>
      <c r="N80" s="46"/>
      <c r="AA80" s="13">
        <v>82</v>
      </c>
      <c r="AB80" s="14">
        <v>1560000</v>
      </c>
    </row>
    <row r="81" spans="10:28" s="15" customFormat="1">
      <c r="J81" s="44"/>
      <c r="N81" s="46"/>
      <c r="AA81" s="13">
        <v>83</v>
      </c>
      <c r="AB81" s="14">
        <v>1630000</v>
      </c>
    </row>
    <row r="82" spans="10:28" s="15" customFormat="1">
      <c r="J82" s="44"/>
      <c r="N82" s="46"/>
      <c r="AA82" s="13">
        <v>84</v>
      </c>
      <c r="AB82" s="14">
        <v>1690000</v>
      </c>
    </row>
    <row r="83" spans="10:28" s="15" customFormat="1">
      <c r="J83" s="44"/>
      <c r="N83" s="46"/>
      <c r="AA83" s="13">
        <v>85</v>
      </c>
      <c r="AB83" s="14">
        <v>1750000</v>
      </c>
    </row>
    <row r="84" spans="10:28" s="15" customFormat="1">
      <c r="J84" s="44"/>
      <c r="N84" s="46"/>
      <c r="AA84" s="13">
        <v>86</v>
      </c>
      <c r="AB84" s="14">
        <v>1810000</v>
      </c>
    </row>
    <row r="85" spans="10:28" s="15" customFormat="1">
      <c r="J85" s="44"/>
      <c r="N85" s="46"/>
      <c r="AA85" s="13">
        <v>87</v>
      </c>
      <c r="AB85" s="14">
        <v>1880000</v>
      </c>
    </row>
    <row r="86" spans="10:28" s="15" customFormat="1">
      <c r="J86" s="44"/>
      <c r="N86" s="46"/>
      <c r="AA86" s="13">
        <v>88</v>
      </c>
      <c r="AB86" s="14">
        <v>1950000</v>
      </c>
    </row>
    <row r="87" spans="10:28" s="15" customFormat="1">
      <c r="J87" s="44"/>
      <c r="N87" s="46"/>
      <c r="AA87" s="13">
        <v>89</v>
      </c>
      <c r="AB87" s="14">
        <v>2020000</v>
      </c>
    </row>
    <row r="88" spans="10:28" s="15" customFormat="1">
      <c r="J88" s="44"/>
      <c r="N88" s="46"/>
      <c r="AA88" s="13">
        <v>90</v>
      </c>
      <c r="AB88" s="14">
        <v>2100000</v>
      </c>
    </row>
    <row r="89" spans="10:28" s="15" customFormat="1">
      <c r="J89" s="44"/>
      <c r="N89" s="46"/>
      <c r="AA89" s="13">
        <v>91</v>
      </c>
      <c r="AB89" s="14">
        <v>2180000</v>
      </c>
    </row>
    <row r="90" spans="10:28" s="15" customFormat="1">
      <c r="J90" s="44"/>
      <c r="N90" s="46"/>
      <c r="AA90" s="13">
        <v>92</v>
      </c>
      <c r="AB90" s="14">
        <v>2250000</v>
      </c>
    </row>
    <row r="91" spans="10:28" s="15" customFormat="1">
      <c r="J91" s="44"/>
      <c r="N91" s="46"/>
      <c r="AA91" s="13">
        <v>93</v>
      </c>
      <c r="AB91" s="14">
        <v>2340000</v>
      </c>
    </row>
    <row r="92" spans="10:28" s="15" customFormat="1">
      <c r="J92" s="44"/>
      <c r="N92" s="46"/>
      <c r="AA92" s="13">
        <v>94</v>
      </c>
      <c r="AB92" s="14">
        <v>2425000</v>
      </c>
    </row>
    <row r="93" spans="10:28" s="15" customFormat="1">
      <c r="J93" s="44"/>
      <c r="N93" s="46"/>
      <c r="AA93" s="13">
        <v>95</v>
      </c>
      <c r="AB93" s="14">
        <v>2500000</v>
      </c>
    </row>
    <row r="94" spans="10:28" s="15" customFormat="1">
      <c r="J94" s="44"/>
      <c r="N94" s="46"/>
      <c r="AA94" s="13">
        <v>96</v>
      </c>
      <c r="AB94" s="14">
        <v>2590000</v>
      </c>
    </row>
    <row r="95" spans="10:28" s="15" customFormat="1">
      <c r="J95" s="44"/>
      <c r="N95" s="46"/>
      <c r="AA95" s="13">
        <v>97</v>
      </c>
      <c r="AB95" s="14">
        <v>2680000</v>
      </c>
    </row>
    <row r="96" spans="10:28" s="15" customFormat="1">
      <c r="J96" s="44"/>
      <c r="N96" s="46"/>
      <c r="AA96" s="13">
        <v>98</v>
      </c>
      <c r="AB96" s="14">
        <v>2800000</v>
      </c>
    </row>
    <row r="97" spans="10:28" s="15" customFormat="1">
      <c r="J97" s="44"/>
      <c r="N97" s="46"/>
      <c r="AA97" s="13">
        <v>99</v>
      </c>
      <c r="AB97" s="14">
        <v>2900000</v>
      </c>
    </row>
    <row r="98" spans="10:28" s="15" customFormat="1">
      <c r="J98" s="44"/>
      <c r="N98" s="46"/>
      <c r="AA98" s="13">
        <v>100</v>
      </c>
      <c r="AB98" s="14">
        <v>3000000</v>
      </c>
    </row>
    <row r="99" spans="10:28" s="15" customFormat="1">
      <c r="J99" s="44"/>
      <c r="N99" s="46"/>
      <c r="AA99" s="13">
        <v>101</v>
      </c>
      <c r="AB99" s="14">
        <v>3055000</v>
      </c>
    </row>
    <row r="100" spans="10:28" s="15" customFormat="1">
      <c r="J100" s="44"/>
      <c r="N100" s="46"/>
      <c r="AA100" s="13">
        <v>102</v>
      </c>
      <c r="AB100" s="14">
        <v>3095000</v>
      </c>
    </row>
    <row r="101" spans="10:28" s="15" customFormat="1">
      <c r="J101" s="44"/>
      <c r="N101" s="46"/>
      <c r="AA101" s="13">
        <v>103</v>
      </c>
      <c r="AB101" s="14">
        <v>3190000</v>
      </c>
    </row>
    <row r="102" spans="10:28" s="15" customFormat="1">
      <c r="J102" s="44"/>
      <c r="N102" s="46"/>
      <c r="AA102" s="13">
        <v>104</v>
      </c>
      <c r="AB102" s="14">
        <v>3280000</v>
      </c>
    </row>
    <row r="103" spans="10:28" s="15" customFormat="1">
      <c r="J103" s="44"/>
      <c r="N103" s="46"/>
      <c r="AA103" s="13">
        <v>105</v>
      </c>
      <c r="AB103" s="14">
        <v>3370000</v>
      </c>
    </row>
    <row r="104" spans="10:28" s="15" customFormat="1">
      <c r="J104" s="44"/>
      <c r="N104" s="46"/>
      <c r="AA104" s="13">
        <v>106</v>
      </c>
      <c r="AB104" s="14">
        <v>3460000</v>
      </c>
    </row>
    <row r="105" spans="10:28" s="15" customFormat="1">
      <c r="J105" s="44"/>
      <c r="N105" s="46"/>
      <c r="AA105" s="13">
        <v>107</v>
      </c>
      <c r="AB105" s="14">
        <v>3550000</v>
      </c>
    </row>
    <row r="106" spans="10:28" s="15" customFormat="1">
      <c r="J106" s="44"/>
      <c r="N106" s="46"/>
      <c r="AA106" s="13">
        <v>108</v>
      </c>
      <c r="AB106" s="14">
        <v>3640000</v>
      </c>
    </row>
    <row r="107" spans="10:28" s="15" customFormat="1">
      <c r="J107" s="44"/>
      <c r="N107" s="46"/>
      <c r="AA107" s="13">
        <v>109</v>
      </c>
      <c r="AB107" s="14">
        <v>3730000</v>
      </c>
    </row>
    <row r="108" spans="10:28" s="15" customFormat="1">
      <c r="J108" s="44"/>
      <c r="N108" s="46"/>
      <c r="AA108" s="13">
        <v>110</v>
      </c>
      <c r="AB108" s="14">
        <v>3820000</v>
      </c>
    </row>
    <row r="109" spans="10:28" s="15" customFormat="1">
      <c r="J109" s="44"/>
      <c r="N109" s="46"/>
      <c r="AA109" s="13">
        <v>111</v>
      </c>
      <c r="AB109" s="14">
        <v>3920000</v>
      </c>
    </row>
    <row r="110" spans="10:28" s="15" customFormat="1">
      <c r="J110" s="44"/>
      <c r="N110" s="46"/>
      <c r="AA110" s="13">
        <v>112</v>
      </c>
      <c r="AB110" s="14">
        <v>4000000</v>
      </c>
    </row>
    <row r="111" spans="10:28" s="15" customFormat="1">
      <c r="J111" s="44"/>
      <c r="N111" s="46"/>
      <c r="AA111" s="13">
        <v>113</v>
      </c>
      <c r="AB111" s="14">
        <v>4100000</v>
      </c>
    </row>
    <row r="112" spans="10:28" s="15" customFormat="1">
      <c r="J112" s="44"/>
      <c r="N112" s="46"/>
      <c r="AA112" s="13">
        <v>114</v>
      </c>
      <c r="AB112" s="14">
        <v>4190000</v>
      </c>
    </row>
    <row r="113" spans="10:28" s="15" customFormat="1">
      <c r="J113" s="44"/>
      <c r="N113" s="46"/>
      <c r="AA113" s="13">
        <v>115</v>
      </c>
      <c r="AB113" s="14">
        <v>4275000</v>
      </c>
    </row>
    <row r="114" spans="10:28" s="15" customFormat="1">
      <c r="J114" s="44"/>
      <c r="N114" s="46"/>
      <c r="AA114" s="13">
        <v>116</v>
      </c>
      <c r="AB114" s="14">
        <v>4365000</v>
      </c>
    </row>
    <row r="115" spans="10:28" s="15" customFormat="1">
      <c r="J115" s="44"/>
      <c r="N115" s="46"/>
      <c r="AA115" s="13">
        <v>117</v>
      </c>
      <c r="AB115" s="14">
        <v>4455000</v>
      </c>
    </row>
    <row r="116" spans="10:28" s="15" customFormat="1">
      <c r="J116" s="44"/>
      <c r="N116" s="46"/>
      <c r="AA116" s="13">
        <v>118</v>
      </c>
      <c r="AB116" s="14">
        <v>4550000</v>
      </c>
    </row>
    <row r="117" spans="10:28" s="15" customFormat="1">
      <c r="J117" s="44"/>
      <c r="N117" s="46"/>
      <c r="AA117" s="13">
        <v>119</v>
      </c>
      <c r="AB117" s="14">
        <v>4640000</v>
      </c>
    </row>
    <row r="118" spans="10:28" s="15" customFormat="1">
      <c r="J118" s="44"/>
      <c r="N118" s="46"/>
      <c r="AA118" s="13">
        <v>120</v>
      </c>
      <c r="AB118" s="14">
        <v>4730000</v>
      </c>
    </row>
    <row r="119" spans="10:28" s="15" customFormat="1">
      <c r="J119" s="44"/>
      <c r="N119" s="46"/>
      <c r="AA119" s="13">
        <v>121</v>
      </c>
      <c r="AB119" s="14">
        <v>4820000</v>
      </c>
    </row>
    <row r="120" spans="10:28" s="15" customFormat="1">
      <c r="J120" s="44"/>
      <c r="N120" s="46"/>
      <c r="AA120" s="13">
        <v>122</v>
      </c>
      <c r="AB120" s="14">
        <v>4910000</v>
      </c>
    </row>
    <row r="121" spans="10:28" s="15" customFormat="1">
      <c r="J121" s="44"/>
      <c r="N121" s="46"/>
      <c r="AA121" s="13">
        <v>123</v>
      </c>
      <c r="AB121" s="14">
        <v>5000000</v>
      </c>
    </row>
    <row r="122" spans="10:28" s="15" customFormat="1">
      <c r="J122" s="44"/>
      <c r="N122" s="46"/>
      <c r="AA122" s="13">
        <v>124</v>
      </c>
      <c r="AB122" s="14">
        <v>5100000</v>
      </c>
    </row>
    <row r="123" spans="10:28" s="15" customFormat="1">
      <c r="J123" s="44"/>
      <c r="N123" s="46"/>
      <c r="AA123" s="13">
        <v>125</v>
      </c>
      <c r="AB123" s="14">
        <v>5200000</v>
      </c>
    </row>
    <row r="124" spans="10:28" s="15" customFormat="1">
      <c r="J124" s="44"/>
      <c r="N124" s="46"/>
      <c r="AA124" s="13">
        <v>126</v>
      </c>
      <c r="AB124" s="14">
        <f t="shared" ref="AB124:AB152" si="3">+AB125-90000</f>
        <v>5300000</v>
      </c>
    </row>
    <row r="125" spans="10:28" s="15" customFormat="1">
      <c r="J125" s="44"/>
      <c r="N125" s="46"/>
      <c r="AA125" s="13">
        <v>127</v>
      </c>
      <c r="AB125" s="14">
        <f t="shared" si="3"/>
        <v>5390000</v>
      </c>
    </row>
    <row r="126" spans="10:28" s="15" customFormat="1">
      <c r="J126" s="44"/>
      <c r="N126" s="46"/>
      <c r="AA126" s="13">
        <v>128</v>
      </c>
      <c r="AB126" s="14">
        <f t="shared" si="3"/>
        <v>5480000</v>
      </c>
    </row>
    <row r="127" spans="10:28" s="15" customFormat="1">
      <c r="J127" s="44"/>
      <c r="N127" s="46"/>
      <c r="AA127" s="13">
        <v>129</v>
      </c>
      <c r="AB127" s="14">
        <f t="shared" si="3"/>
        <v>5570000</v>
      </c>
    </row>
    <row r="128" spans="10:28" s="15" customFormat="1">
      <c r="J128" s="44"/>
      <c r="N128" s="46"/>
      <c r="AA128" s="13">
        <v>130</v>
      </c>
      <c r="AB128" s="14">
        <f t="shared" si="3"/>
        <v>5660000</v>
      </c>
    </row>
    <row r="129" spans="10:28" s="15" customFormat="1">
      <c r="J129" s="44"/>
      <c r="N129" s="46"/>
      <c r="AA129" s="13">
        <v>131</v>
      </c>
      <c r="AB129" s="14">
        <f t="shared" si="3"/>
        <v>5750000</v>
      </c>
    </row>
    <row r="130" spans="10:28" s="15" customFormat="1">
      <c r="J130" s="44"/>
      <c r="N130" s="46"/>
      <c r="AA130" s="13">
        <v>132</v>
      </c>
      <c r="AB130" s="14">
        <f t="shared" si="3"/>
        <v>5840000</v>
      </c>
    </row>
    <row r="131" spans="10:28" s="15" customFormat="1">
      <c r="J131" s="44"/>
      <c r="N131" s="46"/>
      <c r="AA131" s="13">
        <v>133</v>
      </c>
      <c r="AB131" s="14">
        <f t="shared" si="3"/>
        <v>5930000</v>
      </c>
    </row>
    <row r="132" spans="10:28" s="15" customFormat="1">
      <c r="J132" s="44"/>
      <c r="N132" s="46"/>
      <c r="AA132" s="13">
        <v>134</v>
      </c>
      <c r="AB132" s="14">
        <f t="shared" si="3"/>
        <v>6020000</v>
      </c>
    </row>
    <row r="133" spans="10:28" s="15" customFormat="1">
      <c r="J133" s="44"/>
      <c r="N133" s="46"/>
      <c r="AA133" s="13">
        <v>135</v>
      </c>
      <c r="AB133" s="14">
        <f t="shared" si="3"/>
        <v>6110000</v>
      </c>
    </row>
    <row r="134" spans="10:28" s="15" customFormat="1">
      <c r="J134" s="44"/>
      <c r="N134" s="46"/>
      <c r="AA134" s="13">
        <v>136</v>
      </c>
      <c r="AB134" s="14">
        <f t="shared" si="3"/>
        <v>6200000</v>
      </c>
    </row>
    <row r="135" spans="10:28" s="15" customFormat="1">
      <c r="J135" s="44"/>
      <c r="N135" s="46"/>
      <c r="AA135" s="13">
        <v>137</v>
      </c>
      <c r="AB135" s="14">
        <f t="shared" si="3"/>
        <v>6290000</v>
      </c>
    </row>
    <row r="136" spans="10:28" s="15" customFormat="1">
      <c r="J136" s="44"/>
      <c r="N136" s="46"/>
      <c r="AA136" s="13">
        <v>138</v>
      </c>
      <c r="AB136" s="14">
        <f t="shared" si="3"/>
        <v>6380000</v>
      </c>
    </row>
    <row r="137" spans="10:28" s="15" customFormat="1">
      <c r="J137" s="44"/>
      <c r="N137" s="46"/>
      <c r="AA137" s="13">
        <v>139</v>
      </c>
      <c r="AB137" s="14">
        <f t="shared" si="3"/>
        <v>6470000</v>
      </c>
    </row>
    <row r="138" spans="10:28" s="15" customFormat="1">
      <c r="J138" s="44"/>
      <c r="N138" s="46"/>
      <c r="AA138" s="13">
        <v>140</v>
      </c>
      <c r="AB138" s="14">
        <f t="shared" si="3"/>
        <v>6560000</v>
      </c>
    </row>
    <row r="139" spans="10:28" s="15" customFormat="1">
      <c r="J139" s="44"/>
      <c r="N139" s="46"/>
      <c r="AA139" s="13">
        <v>141</v>
      </c>
      <c r="AB139" s="14">
        <f t="shared" si="3"/>
        <v>6650000</v>
      </c>
    </row>
    <row r="140" spans="10:28" s="15" customFormat="1">
      <c r="J140" s="44"/>
      <c r="N140" s="46"/>
      <c r="AA140" s="13">
        <v>142</v>
      </c>
      <c r="AB140" s="14">
        <f t="shared" si="3"/>
        <v>6740000</v>
      </c>
    </row>
    <row r="141" spans="10:28" s="15" customFormat="1">
      <c r="J141" s="44"/>
      <c r="N141" s="46"/>
      <c r="AA141" s="13">
        <v>143</v>
      </c>
      <c r="AB141" s="14">
        <f t="shared" si="3"/>
        <v>6830000</v>
      </c>
    </row>
    <row r="142" spans="10:28" s="15" customFormat="1">
      <c r="J142" s="44"/>
      <c r="N142" s="46"/>
      <c r="AA142" s="13">
        <v>144</v>
      </c>
      <c r="AB142" s="14">
        <f t="shared" si="3"/>
        <v>6920000</v>
      </c>
    </row>
    <row r="143" spans="10:28" s="15" customFormat="1">
      <c r="J143" s="44"/>
      <c r="N143" s="46"/>
      <c r="AA143" s="13">
        <v>145</v>
      </c>
      <c r="AB143" s="14">
        <f t="shared" si="3"/>
        <v>7010000</v>
      </c>
    </row>
    <row r="144" spans="10:28" s="15" customFormat="1">
      <c r="J144" s="44"/>
      <c r="N144" s="46"/>
      <c r="AA144" s="13">
        <v>146</v>
      </c>
      <c r="AB144" s="14">
        <f t="shared" si="3"/>
        <v>7100000</v>
      </c>
    </row>
    <row r="145" spans="10:28" s="15" customFormat="1">
      <c r="J145" s="44"/>
      <c r="N145" s="46"/>
      <c r="AA145" s="13">
        <v>147</v>
      </c>
      <c r="AB145" s="14">
        <f t="shared" si="3"/>
        <v>7190000</v>
      </c>
    </row>
    <row r="146" spans="10:28" s="15" customFormat="1">
      <c r="J146" s="44"/>
      <c r="N146" s="46"/>
      <c r="AA146" s="13">
        <v>148</v>
      </c>
      <c r="AB146" s="14">
        <f t="shared" si="3"/>
        <v>7280000</v>
      </c>
    </row>
    <row r="147" spans="10:28" s="15" customFormat="1">
      <c r="J147" s="44"/>
      <c r="N147" s="46"/>
      <c r="AA147" s="13">
        <v>149</v>
      </c>
      <c r="AB147" s="14">
        <f t="shared" si="3"/>
        <v>7370000</v>
      </c>
    </row>
    <row r="148" spans="10:28" s="15" customFormat="1">
      <c r="J148" s="44"/>
      <c r="N148" s="46"/>
      <c r="AA148" s="13">
        <v>150</v>
      </c>
      <c r="AB148" s="14">
        <f t="shared" si="3"/>
        <v>7460000</v>
      </c>
    </row>
    <row r="149" spans="10:28" s="15" customFormat="1">
      <c r="J149" s="44"/>
      <c r="N149" s="46"/>
      <c r="AA149" s="13">
        <v>151</v>
      </c>
      <c r="AB149" s="14">
        <f t="shared" si="3"/>
        <v>7550000</v>
      </c>
    </row>
    <row r="150" spans="10:28" s="15" customFormat="1">
      <c r="J150" s="44"/>
      <c r="N150" s="46"/>
      <c r="AA150" s="13">
        <v>152</v>
      </c>
      <c r="AB150" s="14">
        <f t="shared" si="3"/>
        <v>7640000</v>
      </c>
    </row>
    <row r="151" spans="10:28" s="15" customFormat="1">
      <c r="J151" s="44"/>
      <c r="N151" s="46"/>
      <c r="AA151" s="13">
        <v>153</v>
      </c>
      <c r="AB151" s="14">
        <f t="shared" si="3"/>
        <v>7730000</v>
      </c>
    </row>
    <row r="152" spans="10:28" s="15" customFormat="1">
      <c r="J152" s="44"/>
      <c r="N152" s="46"/>
      <c r="AA152" s="13">
        <v>154</v>
      </c>
      <c r="AB152" s="14">
        <f t="shared" si="3"/>
        <v>7820000</v>
      </c>
    </row>
    <row r="153" spans="10:28" s="15" customFormat="1">
      <c r="J153" s="44"/>
      <c r="N153" s="46"/>
      <c r="AA153" s="13">
        <v>155</v>
      </c>
      <c r="AB153" s="14">
        <f>+AB154-90000</f>
        <v>7910000</v>
      </c>
    </row>
    <row r="154" spans="10:28" s="15" customFormat="1">
      <c r="J154" s="44"/>
      <c r="N154" s="46"/>
      <c r="AA154" s="13">
        <v>156</v>
      </c>
      <c r="AB154" s="14">
        <v>8000000</v>
      </c>
    </row>
    <row r="155" spans="10:28" s="15" customFormat="1">
      <c r="J155" s="44"/>
      <c r="N155" s="46"/>
      <c r="AA155" s="13">
        <v>157</v>
      </c>
      <c r="AB155" s="14">
        <f>+AVERAGE(AB154,AB156)</f>
        <v>8090000</v>
      </c>
    </row>
    <row r="156" spans="10:28" s="15" customFormat="1">
      <c r="J156" s="44"/>
      <c r="N156" s="46"/>
      <c r="AA156" s="13">
        <v>158</v>
      </c>
      <c r="AB156" s="14">
        <v>8180000</v>
      </c>
    </row>
    <row r="157" spans="10:28" s="15" customFormat="1">
      <c r="J157" s="44"/>
      <c r="N157" s="46"/>
      <c r="AA157" s="13">
        <v>159</v>
      </c>
      <c r="AB157" s="14">
        <f>+AVERAGE(AB156,AB158)</f>
        <v>8277500</v>
      </c>
    </row>
    <row r="158" spans="10:28" s="15" customFormat="1">
      <c r="J158" s="44"/>
      <c r="N158" s="46"/>
      <c r="AA158" s="13">
        <v>160</v>
      </c>
      <c r="AB158" s="14">
        <v>8375000</v>
      </c>
    </row>
    <row r="159" spans="10:28" s="15" customFormat="1">
      <c r="J159" s="44"/>
      <c r="N159" s="46"/>
      <c r="AA159" s="13">
        <v>161</v>
      </c>
      <c r="AB159" s="14">
        <f>+AVERAGE(AB158,AB160)</f>
        <v>8467500</v>
      </c>
    </row>
    <row r="160" spans="10:28" s="15" customFormat="1">
      <c r="J160" s="44"/>
      <c r="N160" s="46"/>
      <c r="AA160" s="13">
        <v>162</v>
      </c>
      <c r="AB160" s="14">
        <v>8560000</v>
      </c>
    </row>
    <row r="161" spans="10:28" s="15" customFormat="1">
      <c r="J161" s="44"/>
      <c r="N161" s="46"/>
      <c r="AA161" s="13">
        <v>163</v>
      </c>
      <c r="AB161" s="14">
        <f>+AVERAGE(AB160,AB162)</f>
        <v>8635000</v>
      </c>
    </row>
    <row r="162" spans="10:28" s="15" customFormat="1">
      <c r="J162" s="44"/>
      <c r="N162" s="46"/>
      <c r="AA162" s="13">
        <v>164</v>
      </c>
      <c r="AB162" s="14">
        <v>8710000</v>
      </c>
    </row>
    <row r="163" spans="10:28" s="15" customFormat="1">
      <c r="J163" s="44"/>
      <c r="N163" s="46"/>
      <c r="AA163" s="13">
        <v>165</v>
      </c>
      <c r="AB163" s="14">
        <f>+AVERAGE(AB162,AB164)</f>
        <v>8805000</v>
      </c>
    </row>
    <row r="164" spans="10:28" s="15" customFormat="1">
      <c r="J164" s="44"/>
      <c r="N164" s="46"/>
      <c r="AA164" s="13">
        <v>166</v>
      </c>
      <c r="AB164" s="14">
        <v>8900000</v>
      </c>
    </row>
    <row r="165" spans="10:28" s="15" customFormat="1">
      <c r="J165" s="44"/>
      <c r="N165" s="46"/>
      <c r="AA165" s="13">
        <v>167</v>
      </c>
      <c r="AB165" s="14">
        <f>+AVERAGE(AB164,AB166)</f>
        <v>8985000</v>
      </c>
    </row>
    <row r="166" spans="10:28" s="15" customFormat="1">
      <c r="J166" s="44"/>
      <c r="N166" s="46"/>
      <c r="AA166" s="13">
        <v>168</v>
      </c>
      <c r="AB166" s="14">
        <v>9070000</v>
      </c>
    </row>
    <row r="167" spans="10:28" s="15" customFormat="1">
      <c r="J167" s="44"/>
      <c r="N167" s="46"/>
      <c r="AA167" s="13">
        <v>169</v>
      </c>
      <c r="AB167" s="14">
        <f>+AVERAGE(AB166,AB168)</f>
        <v>9162500</v>
      </c>
    </row>
    <row r="168" spans="10:28" s="15" customFormat="1">
      <c r="J168" s="44"/>
      <c r="N168" s="46"/>
      <c r="AA168" s="13">
        <v>170</v>
      </c>
      <c r="AB168" s="14">
        <v>9255000</v>
      </c>
    </row>
    <row r="169" spans="10:28" s="15" customFormat="1">
      <c r="J169" s="44"/>
      <c r="N169" s="46"/>
      <c r="AA169" s="13">
        <v>171</v>
      </c>
      <c r="AB169" s="14">
        <f>+AVERAGE(AB168,AB170)</f>
        <v>9347500</v>
      </c>
    </row>
    <row r="170" spans="10:28" s="15" customFormat="1">
      <c r="J170" s="44"/>
      <c r="N170" s="46"/>
      <c r="AA170" s="13">
        <v>172</v>
      </c>
      <c r="AB170" s="14">
        <v>9440000</v>
      </c>
    </row>
    <row r="171" spans="10:28" s="15" customFormat="1">
      <c r="J171" s="44"/>
      <c r="N171" s="46"/>
      <c r="AA171" s="13">
        <v>173</v>
      </c>
      <c r="AB171" s="14">
        <f>+AVERAGE(AB170,AB172)</f>
        <v>9535000</v>
      </c>
    </row>
    <row r="172" spans="10:28" s="15" customFormat="1">
      <c r="J172" s="44"/>
      <c r="N172" s="46"/>
      <c r="AA172" s="13">
        <v>174</v>
      </c>
      <c r="AB172" s="14">
        <v>9630000</v>
      </c>
    </row>
    <row r="173" spans="10:28" s="15" customFormat="1">
      <c r="J173" s="44"/>
      <c r="N173" s="46"/>
      <c r="AA173" s="13">
        <v>175</v>
      </c>
      <c r="AB173" s="14">
        <f>+AVERAGE(AB172,AB174)</f>
        <v>9705000</v>
      </c>
    </row>
    <row r="174" spans="10:28" s="15" customFormat="1">
      <c r="J174" s="44"/>
      <c r="N174" s="46"/>
      <c r="AA174" s="13">
        <v>176</v>
      </c>
      <c r="AB174" s="14">
        <v>9780000</v>
      </c>
    </row>
    <row r="175" spans="10:28" s="15" customFormat="1">
      <c r="J175" s="44"/>
      <c r="N175" s="46"/>
      <c r="AA175" s="13">
        <v>177</v>
      </c>
      <c r="AB175" s="14">
        <f>+AVERAGE(AB174,AB176)</f>
        <v>9873750</v>
      </c>
    </row>
    <row r="176" spans="10:28" s="15" customFormat="1">
      <c r="J176" s="44"/>
      <c r="N176" s="46"/>
      <c r="AA176" s="13">
        <v>178</v>
      </c>
      <c r="AB176" s="14">
        <f>+AVERAGE(AB174,AB178)</f>
        <v>9967500</v>
      </c>
    </row>
    <row r="177" spans="10:28" s="15" customFormat="1">
      <c r="J177" s="44"/>
      <c r="N177" s="46"/>
      <c r="AA177" s="13">
        <v>179</v>
      </c>
      <c r="AB177" s="14">
        <f>+AVERAGE(AB176,AB178)</f>
        <v>10061250</v>
      </c>
    </row>
    <row r="178" spans="10:28" s="15" customFormat="1">
      <c r="J178" s="44"/>
      <c r="N178" s="46"/>
      <c r="AA178" s="13">
        <v>180</v>
      </c>
      <c r="AB178" s="14">
        <f>+AVERAGE(AB174,AB182)</f>
        <v>10155000</v>
      </c>
    </row>
    <row r="179" spans="10:28" s="15" customFormat="1">
      <c r="J179" s="44"/>
      <c r="N179" s="46"/>
      <c r="AA179" s="13">
        <v>181</v>
      </c>
      <c r="AB179" s="14">
        <f>+AVERAGE(AB178,AB180)</f>
        <v>10248750</v>
      </c>
    </row>
    <row r="180" spans="10:28" s="15" customFormat="1">
      <c r="J180" s="44"/>
      <c r="N180" s="46"/>
      <c r="AA180" s="13">
        <v>182</v>
      </c>
      <c r="AB180" s="14">
        <f>+AVERAGE(AB178,AB182)</f>
        <v>10342500</v>
      </c>
    </row>
    <row r="181" spans="10:28" s="15" customFormat="1">
      <c r="J181" s="44"/>
      <c r="N181" s="46"/>
      <c r="AA181" s="13">
        <v>183</v>
      </c>
      <c r="AB181" s="14">
        <f>+AVERAGE(AB180,AB182)</f>
        <v>10436250</v>
      </c>
    </row>
    <row r="182" spans="10:28" s="15" customFormat="1">
      <c r="J182" s="44"/>
      <c r="N182" s="46"/>
      <c r="AA182" s="13">
        <v>184</v>
      </c>
      <c r="AB182" s="14">
        <v>10530000</v>
      </c>
    </row>
    <row r="183" spans="10:28" s="15" customFormat="1">
      <c r="J183" s="44"/>
      <c r="N183" s="46"/>
      <c r="AA183" s="13">
        <v>185</v>
      </c>
      <c r="AB183" s="14">
        <f>+AVERAGE(AB182,AB184)</f>
        <v>10590000</v>
      </c>
    </row>
    <row r="184" spans="10:28" s="15" customFormat="1">
      <c r="J184" s="44"/>
      <c r="N184" s="46"/>
      <c r="AA184" s="13">
        <v>186</v>
      </c>
      <c r="AB184" s="14">
        <v>10650000</v>
      </c>
    </row>
    <row r="185" spans="10:28" s="15" customFormat="1">
      <c r="J185" s="44"/>
      <c r="N185" s="46"/>
      <c r="AA185" s="13">
        <v>187</v>
      </c>
      <c r="AB185" s="14">
        <f>+AVERAGE(AB184,AB186)</f>
        <v>10762500</v>
      </c>
    </row>
    <row r="186" spans="10:28" s="15" customFormat="1">
      <c r="J186" s="44"/>
      <c r="N186" s="46"/>
      <c r="AA186" s="13">
        <v>188</v>
      </c>
      <c r="AB186" s="14">
        <v>10875000</v>
      </c>
    </row>
    <row r="187" spans="10:28" s="15" customFormat="1">
      <c r="J187" s="44"/>
      <c r="N187" s="46"/>
      <c r="AA187" s="13">
        <v>189</v>
      </c>
      <c r="AB187" s="14">
        <f>+AVERAGE(AB186,AB188)</f>
        <v>10962500</v>
      </c>
    </row>
    <row r="188" spans="10:28" s="15" customFormat="1">
      <c r="J188" s="44"/>
      <c r="N188" s="46"/>
      <c r="AA188" s="13">
        <v>190</v>
      </c>
      <c r="AB188" s="14">
        <v>11050000</v>
      </c>
    </row>
    <row r="189" spans="10:28" s="15" customFormat="1">
      <c r="J189" s="44"/>
      <c r="N189" s="46"/>
      <c r="AA189" s="13">
        <v>191</v>
      </c>
      <c r="AB189" s="14">
        <f>+AVERAGE(AB188,AB190)</f>
        <v>11150000</v>
      </c>
    </row>
    <row r="190" spans="10:28" s="15" customFormat="1">
      <c r="J190" s="44"/>
      <c r="N190" s="46"/>
      <c r="AA190" s="13">
        <v>192</v>
      </c>
      <c r="AB190" s="14">
        <v>11250000</v>
      </c>
    </row>
    <row r="191" spans="10:28" s="15" customFormat="1">
      <c r="J191" s="44"/>
      <c r="N191" s="46"/>
      <c r="AA191" s="13">
        <v>193</v>
      </c>
      <c r="AB191" s="14">
        <f>+AVERAGE(AB190,AB192)</f>
        <v>11342500</v>
      </c>
    </row>
    <row r="192" spans="10:28" s="15" customFormat="1">
      <c r="J192" s="44"/>
      <c r="N192" s="46"/>
      <c r="AA192" s="13">
        <v>194</v>
      </c>
      <c r="AB192" s="14">
        <v>11435000</v>
      </c>
    </row>
    <row r="193" spans="10:28" s="15" customFormat="1">
      <c r="J193" s="44"/>
      <c r="N193" s="46"/>
      <c r="AA193" s="13">
        <v>195</v>
      </c>
      <c r="AB193" s="14">
        <f>+AVERAGE(AB192,AB194)</f>
        <v>11492500</v>
      </c>
    </row>
    <row r="194" spans="10:28" s="15" customFormat="1">
      <c r="J194" s="44"/>
      <c r="N194" s="46"/>
      <c r="AA194" s="13">
        <v>196</v>
      </c>
      <c r="AB194" s="14">
        <v>11550000</v>
      </c>
    </row>
    <row r="195" spans="10:28" s="15" customFormat="1">
      <c r="J195" s="44"/>
      <c r="N195" s="46"/>
      <c r="AA195" s="13">
        <v>197</v>
      </c>
      <c r="AB195" s="14">
        <f>+AVERAGE(AB194,AB196)</f>
        <v>11637500</v>
      </c>
    </row>
    <row r="196" spans="10:28" s="15" customFormat="1">
      <c r="J196" s="44"/>
      <c r="N196" s="46"/>
      <c r="AA196" s="13">
        <v>198</v>
      </c>
      <c r="AB196" s="14">
        <f>+AVERAGE(AB194,AB198)</f>
        <v>11725000</v>
      </c>
    </row>
    <row r="197" spans="10:28" s="15" customFormat="1">
      <c r="J197" s="44"/>
      <c r="N197" s="46"/>
      <c r="AA197" s="13">
        <v>199</v>
      </c>
      <c r="AB197" s="14">
        <f>+AVERAGE(AB196,AB198)</f>
        <v>11812500</v>
      </c>
    </row>
    <row r="198" spans="10:28" s="15" customFormat="1">
      <c r="J198" s="44"/>
      <c r="N198" s="46"/>
      <c r="AA198" s="13">
        <v>200</v>
      </c>
      <c r="AB198" s="14">
        <v>11900000</v>
      </c>
    </row>
    <row r="199" spans="10:28" s="15" customFormat="1">
      <c r="J199" s="44"/>
      <c r="N199" s="46"/>
      <c r="AA199" s="13"/>
      <c r="AB199" s="14"/>
    </row>
    <row r="200" spans="10:28" s="15" customFormat="1">
      <c r="J200" s="44"/>
      <c r="N200" s="46"/>
      <c r="AA200" s="13"/>
      <c r="AB200" s="14"/>
    </row>
    <row r="201" spans="10:28" s="15" customFormat="1">
      <c r="J201" s="44"/>
      <c r="N201" s="46"/>
      <c r="AA201" s="13"/>
      <c r="AB201" s="14"/>
    </row>
    <row r="202" spans="10:28" s="15" customFormat="1">
      <c r="J202" s="44"/>
      <c r="N202" s="46"/>
      <c r="AA202" s="13"/>
      <c r="AB202" s="14"/>
    </row>
    <row r="203" spans="10:28" s="15" customFormat="1">
      <c r="J203" s="44"/>
      <c r="N203" s="46"/>
      <c r="AA203" s="13"/>
      <c r="AB203" s="14"/>
    </row>
    <row r="204" spans="10:28" s="15" customFormat="1">
      <c r="J204" s="44"/>
      <c r="N204" s="46"/>
      <c r="AA204" s="13"/>
      <c r="AB204" s="14"/>
    </row>
    <row r="205" spans="10:28">
      <c r="AB205" s="14">
        <v>2610000</v>
      </c>
    </row>
    <row r="206" spans="10:28">
      <c r="AB206" s="14">
        <f>+AB205*1.2</f>
        <v>3132000</v>
      </c>
    </row>
  </sheetData>
  <sheetProtection password="80C7" sheet="1" objects="1" scenarios="1" selectLockedCells="1"/>
  <mergeCells count="6">
    <mergeCell ref="O20:R20"/>
    <mergeCell ref="D13:J13"/>
    <mergeCell ref="B17:C17"/>
    <mergeCell ref="B18:C18"/>
    <mergeCell ref="B19:C19"/>
    <mergeCell ref="B20:C20"/>
  </mergeCells>
  <conditionalFormatting sqref="H26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0" verticalDpi="0" r:id="rId1"/>
  <ignoredErrors>
    <ignoredError sqref="O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H15" sqref="H15"/>
    </sheetView>
  </sheetViews>
  <sheetFormatPr defaultRowHeight="15"/>
  <cols>
    <col min="2" max="2" width="10.85546875" style="7" customWidth="1"/>
    <col min="3" max="3" width="12" style="2" bestFit="1" customWidth="1"/>
    <col min="4" max="4" width="12" style="6" bestFit="1" customWidth="1"/>
    <col min="5" max="5" width="11.28515625" style="4" bestFit="1" customWidth="1"/>
    <col min="6" max="6" width="8.42578125" style="4" bestFit="1" customWidth="1"/>
  </cols>
  <sheetData>
    <row r="1" spans="1:6">
      <c r="B1" s="7" t="s">
        <v>9</v>
      </c>
      <c r="C1" s="2" t="s">
        <v>10</v>
      </c>
      <c r="D1" s="2" t="s">
        <v>11</v>
      </c>
      <c r="E1" s="3" t="s">
        <v>27</v>
      </c>
      <c r="F1" s="3" t="s">
        <v>26</v>
      </c>
    </row>
    <row r="2" spans="1:6">
      <c r="A2" t="s">
        <v>12</v>
      </c>
      <c r="B2" s="7">
        <f>3700+2300+1500</f>
        <v>7500</v>
      </c>
      <c r="C2" s="2">
        <v>120</v>
      </c>
      <c r="D2" s="2">
        <f t="shared" ref="D2:D22" si="0">+B2/C2</f>
        <v>62.5</v>
      </c>
      <c r="E2" s="4">
        <v>587.5</v>
      </c>
      <c r="F2" s="3">
        <f t="shared" ref="F2:F22" si="1">+B2/E2</f>
        <v>12.76595744680851</v>
      </c>
    </row>
    <row r="3" spans="1:6">
      <c r="A3" t="s">
        <v>1</v>
      </c>
      <c r="B3" s="7">
        <f>2500+1500+1000</f>
        <v>5000</v>
      </c>
      <c r="C3" s="2">
        <v>80</v>
      </c>
      <c r="D3" s="2">
        <f t="shared" si="0"/>
        <v>62.5</v>
      </c>
      <c r="E3" s="4">
        <v>400</v>
      </c>
      <c r="F3" s="3">
        <f t="shared" si="1"/>
        <v>12.5</v>
      </c>
    </row>
    <row r="4" spans="1:6">
      <c r="A4" t="s">
        <v>13</v>
      </c>
      <c r="B4" s="7">
        <f>2700+1000+1600</f>
        <v>5300</v>
      </c>
      <c r="C4" s="2">
        <v>100</v>
      </c>
      <c r="D4" s="2">
        <f t="shared" si="0"/>
        <v>53</v>
      </c>
      <c r="E4" s="4">
        <f>1660/4</f>
        <v>415</v>
      </c>
      <c r="F4" s="3">
        <f t="shared" si="1"/>
        <v>12.771084337349398</v>
      </c>
    </row>
    <row r="5" spans="1:6">
      <c r="A5" t="s">
        <v>2</v>
      </c>
      <c r="B5" s="7">
        <f>880+530+350</f>
        <v>1760</v>
      </c>
      <c r="C5" s="2">
        <v>40</v>
      </c>
      <c r="D5" s="2">
        <f t="shared" si="0"/>
        <v>44</v>
      </c>
      <c r="E5" s="4">
        <f>600/4</f>
        <v>150</v>
      </c>
      <c r="F5" s="3">
        <f t="shared" si="1"/>
        <v>11.733333333333333</v>
      </c>
    </row>
    <row r="6" spans="1:6">
      <c r="A6" t="s">
        <v>3</v>
      </c>
      <c r="B6" s="7">
        <f>950+380+570</f>
        <v>1900</v>
      </c>
      <c r="C6" s="2">
        <v>50</v>
      </c>
      <c r="D6" s="2">
        <f t="shared" si="0"/>
        <v>38</v>
      </c>
      <c r="E6" s="4">
        <v>150</v>
      </c>
      <c r="F6" s="3">
        <f t="shared" si="1"/>
        <v>12.666666666666666</v>
      </c>
    </row>
    <row r="7" spans="1:6">
      <c r="A7" t="s">
        <v>30</v>
      </c>
      <c r="B7" s="7">
        <f>200+200+120</f>
        <v>520</v>
      </c>
      <c r="C7" s="2">
        <v>15</v>
      </c>
      <c r="D7" s="2">
        <f t="shared" si="0"/>
        <v>34.666666666666664</v>
      </c>
      <c r="E7" s="4">
        <v>30</v>
      </c>
      <c r="F7" s="85">
        <f t="shared" si="1"/>
        <v>17.333333333333332</v>
      </c>
    </row>
    <row r="8" spans="1:6">
      <c r="A8" t="s">
        <v>28</v>
      </c>
      <c r="B8" s="7">
        <f>140+90+200</f>
        <v>430</v>
      </c>
      <c r="C8" s="2">
        <v>15</v>
      </c>
      <c r="D8" s="2">
        <f t="shared" si="0"/>
        <v>28.666666666666668</v>
      </c>
      <c r="E8" s="4">
        <f>120/4</f>
        <v>30</v>
      </c>
      <c r="F8" s="85">
        <f t="shared" si="1"/>
        <v>14.333333333333334</v>
      </c>
    </row>
    <row r="9" spans="1:6">
      <c r="A9" t="s">
        <v>29</v>
      </c>
      <c r="B9" s="7">
        <f>280+400+180</f>
        <v>860</v>
      </c>
      <c r="C9" s="2">
        <v>30</v>
      </c>
      <c r="D9" s="2">
        <f t="shared" si="0"/>
        <v>28.666666666666668</v>
      </c>
      <c r="E9" s="4">
        <f>240/4</f>
        <v>60</v>
      </c>
      <c r="F9" s="85">
        <f t="shared" si="1"/>
        <v>14.333333333333334</v>
      </c>
    </row>
    <row r="10" spans="1:6">
      <c r="A10" s="1" t="s">
        <v>14</v>
      </c>
      <c r="B10" s="8">
        <f>4200+7000+7000</f>
        <v>18200</v>
      </c>
      <c r="C10" s="5">
        <v>900</v>
      </c>
      <c r="D10" s="5">
        <f t="shared" si="0"/>
        <v>20.222222222222221</v>
      </c>
      <c r="E10" s="4">
        <v>100</v>
      </c>
      <c r="F10" s="3">
        <f t="shared" si="1"/>
        <v>182</v>
      </c>
    </row>
    <row r="11" spans="1:6">
      <c r="A11" s="1" t="s">
        <v>15</v>
      </c>
      <c r="B11" s="8">
        <f>300+500+500</f>
        <v>1300</v>
      </c>
      <c r="C11" s="5">
        <v>75</v>
      </c>
      <c r="D11" s="5">
        <f t="shared" si="0"/>
        <v>17.333333333333332</v>
      </c>
      <c r="E11" s="4">
        <v>14</v>
      </c>
      <c r="F11" s="3">
        <f t="shared" si="1"/>
        <v>92.857142857142861</v>
      </c>
    </row>
    <row r="12" spans="1:6">
      <c r="A12" s="1" t="s">
        <v>16</v>
      </c>
      <c r="B12" s="8">
        <f>1200+2100+2100</f>
        <v>5400</v>
      </c>
      <c r="C12" s="5">
        <v>360</v>
      </c>
      <c r="D12" s="5">
        <f t="shared" si="0"/>
        <v>15</v>
      </c>
      <c r="E12" s="4">
        <v>37.5</v>
      </c>
      <c r="F12" s="3">
        <f t="shared" si="1"/>
        <v>144</v>
      </c>
    </row>
    <row r="13" spans="1:6">
      <c r="A13" t="s">
        <v>17</v>
      </c>
      <c r="B13" s="7">
        <f>5000+7000+12277</f>
        <v>24277</v>
      </c>
      <c r="C13" s="2">
        <v>1680</v>
      </c>
      <c r="D13" s="2">
        <f t="shared" si="0"/>
        <v>14.450595238095238</v>
      </c>
      <c r="E13" s="4">
        <v>93.5</v>
      </c>
      <c r="F13" s="3">
        <f t="shared" si="1"/>
        <v>259.64705882352939</v>
      </c>
    </row>
    <row r="14" spans="1:6">
      <c r="A14" t="s">
        <v>18</v>
      </c>
      <c r="B14" s="7">
        <f>5700+3800+9500</f>
        <v>19000</v>
      </c>
      <c r="C14" s="2">
        <v>1440</v>
      </c>
      <c r="D14" s="2">
        <f t="shared" si="0"/>
        <v>13.194444444444445</v>
      </c>
      <c r="E14" s="4">
        <v>93.5</v>
      </c>
      <c r="F14" s="3">
        <f t="shared" si="1"/>
        <v>203.20855614973263</v>
      </c>
    </row>
    <row r="15" spans="1:6">
      <c r="A15" t="s">
        <v>19</v>
      </c>
      <c r="B15" s="7">
        <f>90+42+60</f>
        <v>192</v>
      </c>
      <c r="C15" s="2">
        <v>15</v>
      </c>
      <c r="D15" s="2">
        <f t="shared" si="0"/>
        <v>12.8</v>
      </c>
      <c r="E15" s="4">
        <v>22</v>
      </c>
      <c r="F15" s="3">
        <f t="shared" si="1"/>
        <v>8.7272727272727266</v>
      </c>
    </row>
    <row r="16" spans="1:6">
      <c r="A16" t="s">
        <v>4</v>
      </c>
      <c r="B16" s="7">
        <f>75+15+30</f>
        <v>120</v>
      </c>
      <c r="C16" s="2">
        <v>10</v>
      </c>
      <c r="D16" s="2">
        <f t="shared" si="0"/>
        <v>12</v>
      </c>
      <c r="E16" s="4">
        <v>19</v>
      </c>
      <c r="F16" s="87">
        <f t="shared" si="1"/>
        <v>6.3157894736842106</v>
      </c>
    </row>
    <row r="17" spans="1:6">
      <c r="A17" t="s">
        <v>20</v>
      </c>
      <c r="B17" s="7">
        <f>2175+3000+5435</f>
        <v>10610</v>
      </c>
      <c r="C17" s="2">
        <v>900</v>
      </c>
      <c r="D17" s="2">
        <f t="shared" si="0"/>
        <v>11.78888888888889</v>
      </c>
      <c r="E17" s="4">
        <v>90</v>
      </c>
      <c r="F17" s="3">
        <f t="shared" si="1"/>
        <v>117.88888888888889</v>
      </c>
    </row>
    <row r="18" spans="1:6">
      <c r="A18" t="s">
        <v>21</v>
      </c>
      <c r="B18" s="7">
        <f>2370+1500+3953</f>
        <v>7823</v>
      </c>
      <c r="C18" s="2">
        <v>720</v>
      </c>
      <c r="D18" s="2">
        <f t="shared" si="0"/>
        <v>10.865277777777777</v>
      </c>
      <c r="E18" s="4">
        <v>90</v>
      </c>
      <c r="F18" s="3">
        <f t="shared" si="1"/>
        <v>86.922222222222217</v>
      </c>
    </row>
    <row r="19" spans="1:6">
      <c r="A19" t="s">
        <v>22</v>
      </c>
      <c r="B19" s="7">
        <f>720+1000+1800</f>
        <v>3520</v>
      </c>
      <c r="C19" s="2">
        <v>360</v>
      </c>
      <c r="D19" s="2">
        <f t="shared" si="0"/>
        <v>9.7777777777777786</v>
      </c>
      <c r="E19" s="4">
        <v>42.5</v>
      </c>
      <c r="F19" s="3">
        <f t="shared" si="1"/>
        <v>82.82352941176471</v>
      </c>
    </row>
    <row r="20" spans="1:6">
      <c r="A20" t="s">
        <v>23</v>
      </c>
      <c r="B20" s="7">
        <f>650+436+1080</f>
        <v>2166</v>
      </c>
      <c r="C20" s="2">
        <v>240</v>
      </c>
      <c r="D20" s="2">
        <f t="shared" si="0"/>
        <v>9.0250000000000004</v>
      </c>
      <c r="E20" s="4">
        <v>42.5</v>
      </c>
      <c r="F20" s="3">
        <f t="shared" si="1"/>
        <v>50.964705882352938</v>
      </c>
    </row>
    <row r="21" spans="1:6">
      <c r="A21" t="s">
        <v>24</v>
      </c>
      <c r="B21" s="7">
        <f>100+150+250</f>
        <v>500</v>
      </c>
      <c r="C21" s="2">
        <v>60</v>
      </c>
      <c r="D21" s="2">
        <f t="shared" si="0"/>
        <v>8.3333333333333339</v>
      </c>
      <c r="E21" s="4">
        <v>10</v>
      </c>
      <c r="F21" s="3">
        <f t="shared" si="1"/>
        <v>50</v>
      </c>
    </row>
    <row r="22" spans="1:6">
      <c r="A22" t="s">
        <v>25</v>
      </c>
      <c r="B22" s="7">
        <f>90+60+150</f>
        <v>300</v>
      </c>
      <c r="C22" s="2">
        <v>40</v>
      </c>
      <c r="D22" s="2">
        <f t="shared" si="0"/>
        <v>7.5</v>
      </c>
      <c r="E22" s="4">
        <v>6.75</v>
      </c>
      <c r="F22" s="3">
        <f t="shared" si="1"/>
        <v>44.444444444444443</v>
      </c>
    </row>
  </sheetData>
  <sortState ref="A2:F23">
    <sortCondition descending="1" ref="D2:D23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H21"/>
  <sheetViews>
    <sheetView workbookViewId="0">
      <selection activeCell="D19" sqref="D19"/>
    </sheetView>
  </sheetViews>
  <sheetFormatPr defaultColWidth="8.85546875" defaultRowHeight="15"/>
  <cols>
    <col min="1" max="2" width="8.85546875" style="84"/>
    <col min="3" max="3" width="8.85546875" style="86"/>
    <col min="4" max="4" width="12.42578125" style="86" bestFit="1" customWidth="1"/>
    <col min="5" max="5" width="8.85546875" style="86"/>
    <col min="6" max="6" width="15" style="84" bestFit="1" customWidth="1"/>
    <col min="7" max="16384" width="8.85546875" style="84"/>
  </cols>
  <sheetData>
    <row r="10" spans="4:8">
      <c r="F10" s="84">
        <v>5193895</v>
      </c>
    </row>
    <row r="11" spans="4:8">
      <c r="F11" s="84">
        <f>+F10*1.2</f>
        <v>6232674</v>
      </c>
      <c r="G11" s="84">
        <f>+F10*1.5</f>
        <v>7790842.5</v>
      </c>
    </row>
    <row r="14" spans="4:8">
      <c r="H14" s="84">
        <v>3678992</v>
      </c>
    </row>
    <row r="16" spans="4:8">
      <c r="D16" s="86">
        <v>1.3432835820895522E-2</v>
      </c>
      <c r="H16" s="84">
        <v>4390379</v>
      </c>
    </row>
    <row r="17" spans="4:8">
      <c r="F17" s="84">
        <f>140*50000000</f>
        <v>7000000000</v>
      </c>
      <c r="H17" s="84">
        <f>+H16-H14</f>
        <v>711387</v>
      </c>
    </row>
    <row r="18" spans="4:8">
      <c r="D18" s="86">
        <v>91120</v>
      </c>
    </row>
    <row r="19" spans="4:8">
      <c r="D19" s="86">
        <f>+D18/D16</f>
        <v>6783377.777777778</v>
      </c>
    </row>
    <row r="21" spans="4:8">
      <c r="G21" s="84">
        <f>1340*68</f>
        <v>91120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Lighthouse Calculator</vt:lpstr>
      <vt:lpstr>Lighthouse Bank Analyzer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Swedlow</dc:creator>
  <cp:lastModifiedBy>Pat HP2</cp:lastModifiedBy>
  <dcterms:created xsi:type="dcterms:W3CDTF">2019-01-09T04:11:32Z</dcterms:created>
  <dcterms:modified xsi:type="dcterms:W3CDTF">2019-12-09T04:38:28Z</dcterms:modified>
</cp:coreProperties>
</file>