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arctc\Downloads\"/>
    </mc:Choice>
  </mc:AlternateContent>
  <xr:revisionPtr revIDLastSave="0" documentId="13_ncr:1_{32E2F044-C511-415C-BD23-69500656D102}" xr6:coauthVersionLast="47" xr6:coauthVersionMax="47" xr10:uidLastSave="{00000000-0000-0000-0000-000000000000}"/>
  <bookViews>
    <workbookView xWindow="-21720" yWindow="-120" windowWidth="21840" windowHeight="13140" firstSheet="9" activeTab="9" xr2:uid="{00000000-000D-0000-FFFF-FFFF00000000}"/>
  </bookViews>
  <sheets>
    <sheet name="Eleot Longitudinal" sheetId="18" r:id="rId1"/>
    <sheet name="FY25 ELEOT PrePost" sheetId="19" r:id="rId2"/>
    <sheet name="FY25 Teacher Prof Practice" sheetId="16" r:id="rId3"/>
    <sheet name="FY25 Student Achievement" sheetId="4" r:id="rId4"/>
    <sheet name="Longitud. Student Achievement" sheetId="15" r:id="rId5"/>
    <sheet name="FY25Culture and Climate" sheetId="6" r:id="rId6"/>
    <sheet name="Longitud Culture and climate" sheetId="14" r:id="rId7"/>
    <sheet name="NWEA" sheetId="7" r:id="rId8"/>
    <sheet name="Accountability" sheetId="8" r:id="rId9"/>
    <sheet name="ACT Data" sheetId="9" r:id="rId10"/>
    <sheet name="ACT ASPIRE Data" sheetId="10" r:id="rId11"/>
    <sheet name="Staff Survey" sheetId="12" r:id="rId12"/>
    <sheet name="Parent and Student Surveys" sheetId="11" r:id="rId13"/>
    <sheet name="CNA Input" sheetId="13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9" l="1"/>
  <c r="P37" i="19"/>
  <c r="L37" i="19"/>
  <c r="H37" i="19"/>
  <c r="D37" i="19"/>
  <c r="C37" i="19"/>
  <c r="E37" i="19"/>
  <c r="F37" i="19"/>
  <c r="G37" i="19"/>
  <c r="I37" i="19"/>
  <c r="J37" i="19"/>
  <c r="K37" i="19"/>
  <c r="M37" i="19"/>
  <c r="N37" i="19"/>
  <c r="O37" i="19"/>
  <c r="B37" i="19"/>
  <c r="P3" i="19"/>
  <c r="P4" i="19"/>
  <c r="P5" i="19"/>
  <c r="P6" i="19"/>
  <c r="P7" i="19"/>
  <c r="P8" i="19"/>
  <c r="P9" i="19"/>
  <c r="P10" i="19"/>
  <c r="P11" i="19"/>
  <c r="P12" i="19"/>
  <c r="P13" i="19"/>
  <c r="P14" i="19"/>
  <c r="P15" i="19"/>
  <c r="P16" i="19"/>
  <c r="P17" i="19"/>
  <c r="P18" i="19"/>
  <c r="P19" i="19"/>
  <c r="P20" i="19"/>
  <c r="P21" i="19"/>
  <c r="P22" i="19"/>
  <c r="P23" i="19"/>
  <c r="P24" i="19"/>
  <c r="P25" i="19"/>
  <c r="P26" i="19"/>
  <c r="P27" i="19"/>
  <c r="P28" i="19"/>
  <c r="P29" i="19"/>
  <c r="P30" i="19"/>
  <c r="P31" i="19"/>
  <c r="P32" i="19"/>
  <c r="P33" i="19"/>
  <c r="P34" i="19"/>
  <c r="P35" i="19"/>
  <c r="P36" i="19"/>
  <c r="P2" i="19"/>
  <c r="L3" i="19"/>
  <c r="L4" i="19"/>
  <c r="L5" i="19"/>
  <c r="L6" i="19"/>
  <c r="L7" i="19"/>
  <c r="L8" i="19"/>
  <c r="L9" i="19"/>
  <c r="L10" i="19"/>
  <c r="L11" i="19"/>
  <c r="L12" i="19"/>
  <c r="L13" i="19"/>
  <c r="L14" i="19"/>
  <c r="L15" i="19"/>
  <c r="L16" i="19"/>
  <c r="L17" i="19"/>
  <c r="L18" i="19"/>
  <c r="L19" i="19"/>
  <c r="L20" i="19"/>
  <c r="L21" i="19"/>
  <c r="L22" i="19"/>
  <c r="L23" i="19"/>
  <c r="L24" i="19"/>
  <c r="L25" i="19"/>
  <c r="L26" i="19"/>
  <c r="L27" i="19"/>
  <c r="L28" i="19"/>
  <c r="L29" i="19"/>
  <c r="L30" i="19"/>
  <c r="L31" i="19"/>
  <c r="L32" i="19"/>
  <c r="L33" i="19"/>
  <c r="L34" i="19"/>
  <c r="L35" i="19"/>
  <c r="L36" i="19"/>
  <c r="L2" i="19"/>
  <c r="H3" i="19"/>
  <c r="H4" i="19"/>
  <c r="H5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36" i="19"/>
  <c r="H2" i="19"/>
  <c r="D4" i="19"/>
  <c r="D5" i="19"/>
  <c r="D6" i="19"/>
  <c r="D7" i="19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" i="19"/>
  <c r="F18" i="19"/>
  <c r="B33" i="19"/>
  <c r="C33" i="19"/>
  <c r="F33" i="19"/>
  <c r="G33" i="19"/>
  <c r="J33" i="19"/>
  <c r="K33" i="19"/>
  <c r="N33" i="19"/>
  <c r="O33" i="19"/>
  <c r="C28" i="19"/>
  <c r="F28" i="19"/>
  <c r="G28" i="19"/>
  <c r="J28" i="19"/>
  <c r="K28" i="19"/>
  <c r="N28" i="19"/>
  <c r="O28" i="19"/>
  <c r="C23" i="19"/>
  <c r="F23" i="19"/>
  <c r="G23" i="19"/>
  <c r="J23" i="19"/>
  <c r="K23" i="19"/>
  <c r="N23" i="19"/>
  <c r="O23" i="19"/>
  <c r="C18" i="19"/>
  <c r="G18" i="19"/>
  <c r="J18" i="19"/>
  <c r="K18" i="19"/>
  <c r="N18" i="19"/>
  <c r="O18" i="19"/>
  <c r="C13" i="19"/>
  <c r="F13" i="19"/>
  <c r="G13" i="19"/>
  <c r="J13" i="19"/>
  <c r="K13" i="19"/>
  <c r="N13" i="19"/>
  <c r="O13" i="19"/>
  <c r="C7" i="19"/>
  <c r="F7" i="19"/>
  <c r="G7" i="19"/>
  <c r="J7" i="19"/>
  <c r="K7" i="19"/>
  <c r="N7" i="19"/>
  <c r="O7" i="19"/>
  <c r="C2" i="19"/>
  <c r="F2" i="19"/>
  <c r="G2" i="19"/>
  <c r="J2" i="19"/>
  <c r="K2" i="19"/>
  <c r="N2" i="19"/>
  <c r="O2" i="19"/>
  <c r="B28" i="19"/>
  <c r="B23" i="19"/>
  <c r="B18" i="19"/>
  <c r="B13" i="19"/>
  <c r="B7" i="19"/>
  <c r="B2" i="19"/>
  <c r="F28" i="16"/>
  <c r="F16" i="16"/>
  <c r="F10" i="16"/>
  <c r="F4" i="16"/>
  <c r="E3" i="16"/>
  <c r="E5" i="16"/>
  <c r="E6" i="16"/>
  <c r="E8" i="16"/>
  <c r="E9" i="16"/>
  <c r="E10" i="16"/>
  <c r="E11" i="16"/>
  <c r="E12" i="16"/>
  <c r="E14" i="16"/>
  <c r="E15" i="16"/>
  <c r="E16" i="16"/>
  <c r="E17" i="16"/>
  <c r="E18" i="16"/>
  <c r="E20" i="16"/>
  <c r="E21" i="16"/>
  <c r="F22" i="16" s="1"/>
  <c r="E22" i="16"/>
  <c r="E23" i="16"/>
  <c r="E24" i="16"/>
  <c r="E26" i="16"/>
  <c r="E27" i="16"/>
  <c r="E28" i="16"/>
  <c r="E29" i="16"/>
  <c r="E30" i="16"/>
  <c r="E2" i="16"/>
  <c r="M4" i="14"/>
  <c r="L4" i="14"/>
  <c r="K4" i="14"/>
  <c r="M3" i="14"/>
  <c r="L3" i="14"/>
  <c r="K3" i="14"/>
  <c r="I6" i="4"/>
  <c r="I9" i="4"/>
  <c r="G67" i="12"/>
  <c r="J41" i="11"/>
  <c r="T44" i="11"/>
  <c r="D31" i="9"/>
  <c r="E30" i="9"/>
  <c r="D30" i="9"/>
  <c r="C30" i="9"/>
  <c r="E29" i="9"/>
  <c r="C29" i="9"/>
  <c r="E27" i="9"/>
  <c r="E26" i="9"/>
  <c r="E25" i="9"/>
  <c r="E23" i="9"/>
  <c r="E22" i="9"/>
  <c r="E19" i="9"/>
  <c r="E17" i="9"/>
  <c r="E15" i="9"/>
  <c r="E14" i="9"/>
  <c r="E11" i="9"/>
  <c r="E10" i="9"/>
  <c r="F9" i="9"/>
  <c r="E9" i="9"/>
  <c r="F7" i="9"/>
  <c r="E7" i="9"/>
  <c r="F6" i="9"/>
  <c r="E6" i="9"/>
  <c r="F5" i="9"/>
  <c r="E5" i="9"/>
  <c r="E3" i="9"/>
  <c r="E2" i="9"/>
  <c r="E1" i="9"/>
  <c r="F8" i="10"/>
  <c r="F5" i="10"/>
  <c r="F3" i="10"/>
  <c r="C3" i="10"/>
  <c r="F2" i="10"/>
  <c r="W10" i="9"/>
  <c r="V10" i="9"/>
  <c r="U10" i="9"/>
  <c r="T10" i="9"/>
  <c r="S10" i="9"/>
  <c r="Q10" i="9"/>
  <c r="P10" i="9"/>
  <c r="O10" i="9"/>
  <c r="N10" i="9"/>
  <c r="M10" i="9"/>
  <c r="L10" i="9"/>
  <c r="U9" i="9"/>
  <c r="O9" i="9"/>
  <c r="L9" i="9"/>
  <c r="W4" i="9"/>
  <c r="V4" i="9"/>
  <c r="T4" i="9"/>
  <c r="S4" i="9"/>
  <c r="Q4" i="9"/>
  <c r="P4" i="9"/>
  <c r="N4" i="9"/>
  <c r="M4" i="9"/>
  <c r="L4" i="9"/>
  <c r="U3" i="9"/>
  <c r="R3" i="9"/>
  <c r="Q3" i="9"/>
  <c r="P3" i="9"/>
  <c r="O3" i="9"/>
  <c r="L3" i="9"/>
  <c r="R44" i="11"/>
  <c r="S44" i="11"/>
  <c r="S46" i="11" s="1"/>
  <c r="E41" i="11"/>
  <c r="F41" i="11"/>
  <c r="G41" i="11"/>
  <c r="H41" i="11"/>
  <c r="I41" i="11"/>
  <c r="D41" i="11"/>
  <c r="G43" i="11" l="1"/>
  <c r="I12" i="11" l="1"/>
  <c r="Q42" i="11"/>
  <c r="Q41" i="11"/>
  <c r="P41" i="11"/>
  <c r="Q40" i="11"/>
  <c r="P40" i="11"/>
  <c r="Q39" i="11"/>
  <c r="P39" i="11"/>
  <c r="Q37" i="11"/>
  <c r="P37" i="11"/>
  <c r="Q36" i="11"/>
  <c r="P36" i="11"/>
  <c r="Q35" i="11"/>
  <c r="P35" i="11"/>
  <c r="Q34" i="11"/>
  <c r="Q33" i="11"/>
  <c r="P33" i="11"/>
  <c r="Q31" i="11"/>
  <c r="Q30" i="11"/>
  <c r="P30" i="11"/>
  <c r="Q29" i="11"/>
  <c r="P29" i="11"/>
  <c r="Q28" i="11"/>
  <c r="Q27" i="11"/>
  <c r="P27" i="11"/>
  <c r="Q25" i="11"/>
  <c r="P25" i="11"/>
  <c r="Q24" i="11"/>
  <c r="P24" i="11"/>
  <c r="Q23" i="11"/>
  <c r="P23" i="11"/>
  <c r="Q22" i="11"/>
  <c r="Q21" i="11"/>
  <c r="Q19" i="11"/>
  <c r="P19" i="11"/>
  <c r="Q18" i="11"/>
  <c r="P18" i="11"/>
  <c r="Q17" i="11"/>
  <c r="Q16" i="11"/>
  <c r="P16" i="11"/>
  <c r="Q15" i="11"/>
  <c r="P15" i="11"/>
  <c r="Q13" i="11"/>
  <c r="Q12" i="11"/>
  <c r="P12" i="11"/>
  <c r="Q11" i="11"/>
  <c r="P11" i="11"/>
  <c r="Q10" i="11"/>
  <c r="Q9" i="11"/>
  <c r="P9" i="11"/>
  <c r="Q7" i="11"/>
  <c r="P7" i="11"/>
  <c r="Q6" i="11"/>
  <c r="P6" i="11"/>
  <c r="Q5" i="11"/>
  <c r="P5" i="11"/>
  <c r="Q4" i="11"/>
  <c r="P4" i="11"/>
</calcChain>
</file>

<file path=xl/sharedStrings.xml><?xml version="1.0" encoding="utf-8"?>
<sst xmlns="http://schemas.openxmlformats.org/spreadsheetml/2006/main" count="1764" uniqueCount="554">
  <si>
    <t>What Data Are Needed</t>
  </si>
  <si>
    <t>Where are the data located</t>
  </si>
  <si>
    <t>How will the data be collected</t>
  </si>
  <si>
    <t xml:space="preserve">Who will collect the data </t>
  </si>
  <si>
    <t>When will the data be collected</t>
  </si>
  <si>
    <t>T1</t>
  </si>
  <si>
    <t>T2</t>
  </si>
  <si>
    <t>T3</t>
  </si>
  <si>
    <t>NWEA Scores</t>
  </si>
  <si>
    <t>NWEA site</t>
  </si>
  <si>
    <t>Capture data from the NWEA site</t>
  </si>
  <si>
    <t>Executive Director</t>
  </si>
  <si>
    <t>Every trimester</t>
  </si>
  <si>
    <t>ACT Scores</t>
  </si>
  <si>
    <t>ACT Site</t>
  </si>
  <si>
    <t>Capture data from ACT site</t>
  </si>
  <si>
    <t>once per year</t>
  </si>
  <si>
    <t>every trimester</t>
  </si>
  <si>
    <t>Tyler SIS</t>
  </si>
  <si>
    <t>download trimester reports from Tyler SIS</t>
  </si>
  <si>
    <t>every Trimester</t>
  </si>
  <si>
    <t>download from SIS</t>
  </si>
  <si>
    <t>Student Assignment and attendance sheets</t>
  </si>
  <si>
    <t>student attendance to staycation</t>
  </si>
  <si>
    <t>Campus Manager</t>
  </si>
  <si>
    <t>Every Trimester</t>
  </si>
  <si>
    <t>5 year Graduation Rate</t>
  </si>
  <si>
    <t>ADE Accountability</t>
  </si>
  <si>
    <t>Gather from ADE site</t>
  </si>
  <si>
    <t>Edgenuity Site</t>
  </si>
  <si>
    <t>Download from Edgenuity dashboard</t>
  </si>
  <si>
    <t>Calculate at the end of each trimester</t>
  </si>
  <si>
    <t xml:space="preserve">track every trimester </t>
  </si>
  <si>
    <t>Percentage of Seniors transitioning to Employment or college</t>
  </si>
  <si>
    <t>Data Folder</t>
  </si>
  <si>
    <t>Survey graduated seniors</t>
  </si>
  <si>
    <t>Student Survey</t>
  </si>
  <si>
    <t>Student Climate Survey</t>
  </si>
  <si>
    <t>Google Drive</t>
  </si>
  <si>
    <t>Students complete survey online or paper based</t>
  </si>
  <si>
    <t>end of year</t>
  </si>
  <si>
    <t>Parent Climate Survey</t>
  </si>
  <si>
    <t>Parents complete survey online or paper based</t>
  </si>
  <si>
    <t>Staff Survey</t>
  </si>
  <si>
    <t>Staff complete online or paper based</t>
  </si>
  <si>
    <t>Front Office</t>
  </si>
  <si>
    <t>Using sign in sheets</t>
  </si>
  <si>
    <t>Using calendar</t>
  </si>
  <si>
    <t>40 students participated in 8 Community Activities/Events</t>
  </si>
  <si>
    <t>92 students participated in 6 community events</t>
  </si>
  <si>
    <t>49 students participated in 6 community events</t>
  </si>
  <si>
    <t>NSLP Breakfast Participation Rate</t>
  </si>
  <si>
    <t>CNP Web</t>
  </si>
  <si>
    <t>Pull reports from CNP web and save in Data Folder</t>
  </si>
  <si>
    <t>Executive Assistant</t>
  </si>
  <si>
    <t>Every Month/Compile for year</t>
  </si>
  <si>
    <t>NSLP Lunch Participation Rate</t>
  </si>
  <si>
    <t>2022-2023 Open Campus Attendance</t>
  </si>
  <si>
    <t>2022-2023 Community Activities/Events</t>
  </si>
  <si>
    <t>2023-2024 Open Campus Attendance</t>
  </si>
  <si>
    <t>2023-2024 Community Activities/Events</t>
  </si>
  <si>
    <t>Term</t>
  </si>
  <si>
    <t>Fall 2020</t>
  </si>
  <si>
    <t>Winter 2020</t>
  </si>
  <si>
    <t>Spring 2021</t>
  </si>
  <si>
    <t>Fall 2021</t>
  </si>
  <si>
    <t>Winter 2022</t>
  </si>
  <si>
    <t>Fall 2022</t>
  </si>
  <si>
    <t>Spring 2023</t>
  </si>
  <si>
    <t>Schoolwide</t>
  </si>
  <si>
    <t>Average</t>
  </si>
  <si>
    <t>Reading</t>
  </si>
  <si>
    <t xml:space="preserve">Math </t>
  </si>
  <si>
    <t>Science</t>
  </si>
  <si>
    <t>AT</t>
  </si>
  <si>
    <t>Approach</t>
  </si>
  <si>
    <t>FFB</t>
  </si>
  <si>
    <t>Math</t>
  </si>
  <si>
    <t>Grade</t>
  </si>
  <si>
    <t>Returning</t>
  </si>
  <si>
    <t>SPED</t>
  </si>
  <si>
    <t>Gen Ed</t>
  </si>
  <si>
    <t>Five Year Graduation Rate</t>
  </si>
  <si>
    <t>Persistance Rate</t>
  </si>
  <si>
    <t>Dropout Rate</t>
  </si>
  <si>
    <t>Year</t>
  </si>
  <si>
    <t>Rate</t>
  </si>
  <si>
    <t>TEST</t>
  </si>
  <si>
    <t>Performance Level</t>
  </si>
  <si>
    <t>2021/22</t>
  </si>
  <si>
    <t>2022/23</t>
  </si>
  <si>
    <t>Composite</t>
  </si>
  <si>
    <t>Proficient</t>
  </si>
  <si>
    <t>Partially Proficient</t>
  </si>
  <si>
    <t>Minimally Proficient</t>
  </si>
  <si>
    <t>average</t>
  </si>
  <si>
    <t>STEM</t>
  </si>
  <si>
    <t>English</t>
  </si>
  <si>
    <t>ELA</t>
  </si>
  <si>
    <t>Climate Survey</t>
  </si>
  <si>
    <t>% agree or agree strongly</t>
  </si>
  <si>
    <t>% Agree or strongly agree</t>
  </si>
  <si>
    <t>Question</t>
  </si>
  <si>
    <t>2018-19</t>
  </si>
  <si>
    <t>2019-20</t>
  </si>
  <si>
    <t>2020-2021</t>
  </si>
  <si>
    <t>2021-2022</t>
  </si>
  <si>
    <t>2022-2023</t>
  </si>
  <si>
    <t>Questions</t>
  </si>
  <si>
    <t>2020-21</t>
  </si>
  <si>
    <t>My student is getting better at…</t>
  </si>
  <si>
    <t>I am getting better at</t>
  </si>
  <si>
    <t>Reading and Writing</t>
  </si>
  <si>
    <t>Writing</t>
  </si>
  <si>
    <t>Social Studies</t>
  </si>
  <si>
    <t>Computers</t>
  </si>
  <si>
    <t>My teachers…</t>
  </si>
  <si>
    <t>Use a variety of activities</t>
  </si>
  <si>
    <t>My student is connecting studies to daily life</t>
  </si>
  <si>
    <t>Challenge me to do my best</t>
  </si>
  <si>
    <t>School helps my student be aware of what is going on in the world</t>
  </si>
  <si>
    <t>Give an amount of work so I can learn</t>
  </si>
  <si>
    <t>I discuss things studied at school with my student</t>
  </si>
  <si>
    <t>Keep me aware of what is going on in the world</t>
  </si>
  <si>
    <t>Teachers give students extra help</t>
  </si>
  <si>
    <t>Give me help when I need it</t>
  </si>
  <si>
    <t>At school…</t>
  </si>
  <si>
    <t>Communications on student's progress are clear</t>
  </si>
  <si>
    <t>student are recognized for achievements</t>
  </si>
  <si>
    <t>Teachers are available if needed</t>
  </si>
  <si>
    <t>I can talk to an adult</t>
  </si>
  <si>
    <t>Teachers treat students fairly</t>
  </si>
  <si>
    <t>I am given guidance for my future</t>
  </si>
  <si>
    <t>There is mutual respect between staff and students</t>
  </si>
  <si>
    <t>I am encouraged to use outside resources to help me learn</t>
  </si>
  <si>
    <t>my teachers treat me fairly</t>
  </si>
  <si>
    <t>School rules are applied fairly</t>
  </si>
  <si>
    <t>Cheating is discouraged</t>
  </si>
  <si>
    <t>The teachers and staff at school care about the students</t>
  </si>
  <si>
    <t>I like to read for pleasure or interest</t>
  </si>
  <si>
    <t>I encourage my student to get Cs or better</t>
  </si>
  <si>
    <t>The students treat each other with respect</t>
  </si>
  <si>
    <t>I discuss life after high school with my student</t>
  </si>
  <si>
    <t>Most students care about their achievement</t>
  </si>
  <si>
    <t>I am satisfied with my ability to discuss my student's life after high school with them</t>
  </si>
  <si>
    <t>My student is not bullied or picked on at school</t>
  </si>
  <si>
    <t>drugs and alcohol are not a problem</t>
  </si>
  <si>
    <t>School facilities and resources are adequate to support my student</t>
  </si>
  <si>
    <t>I feel safe</t>
  </si>
  <si>
    <t>the students treat staff with respect</t>
  </si>
  <si>
    <t>The school effectively deals with drug and alcohol problems</t>
  </si>
  <si>
    <t>there are not bullying problems</t>
  </si>
  <si>
    <t>Safety measures are adequate</t>
  </si>
  <si>
    <t>I think its important to do well</t>
  </si>
  <si>
    <t>Parent opinions are considered</t>
  </si>
  <si>
    <t>There are sufficient opportunities for parent involvement</t>
  </si>
  <si>
    <t>I discuss things studied at school with adults at home</t>
  </si>
  <si>
    <t>I am encouraged to achieve Cs or better by the adults at home</t>
  </si>
  <si>
    <t>School rules are clearly communicated to the parent</t>
  </si>
  <si>
    <t>I like to read outside the school for pleasure or interest</t>
  </si>
  <si>
    <t>I feel welcome at the school</t>
  </si>
  <si>
    <t>Students help plan our school activities</t>
  </si>
  <si>
    <t>My student is being adequately prepared for life</t>
  </si>
  <si>
    <t>I have an opportunity to participate in activities that interest</t>
  </si>
  <si>
    <t>I am satisfied with our school</t>
  </si>
  <si>
    <t>School rules are clearly communicated</t>
  </si>
  <si>
    <t>My family members feel welcome</t>
  </si>
  <si>
    <t>Respondants</t>
  </si>
  <si>
    <t>School is preparing me for my next step in life</t>
  </si>
  <si>
    <t>5: Strongly Agree</t>
  </si>
  <si>
    <t>4: Agree</t>
  </si>
  <si>
    <t>3: Neutral</t>
  </si>
  <si>
    <t>2: Disagree</t>
  </si>
  <si>
    <t>1: Strongly Disagree</t>
  </si>
  <si>
    <t>Meets Standards</t>
  </si>
  <si>
    <t>Approaches Standards</t>
  </si>
  <si>
    <t>Doesn't met standards</t>
  </si>
  <si>
    <t>Average 2020/21</t>
  </si>
  <si>
    <t>Average 2021/22</t>
  </si>
  <si>
    <t>Average 2022/23</t>
  </si>
  <si>
    <t>Purpose and Direction [Our school’s purpose statement is clearly focused on student success.]</t>
  </si>
  <si>
    <t>Purpose and Direction [Our school’s purposed statement is formally reviewed and revised with involvement from stakeholders.]</t>
  </si>
  <si>
    <t>Purpose and Direction [Our school’s purpose statement is based on shared values and beliefs that guide decision-making.]</t>
  </si>
  <si>
    <t>Purpose and Direction [Our school’s purpose statement is supported by the policies and practices adopted by the school board.]</t>
  </si>
  <si>
    <t>Purpose and Direction [Our school has a continuous improvement process based on data, goals, actions, and measures for growth.]</t>
  </si>
  <si>
    <t>Governance and Leadership [Our school’s school board complies with all policies, procedures, laws, and regulations.]</t>
  </si>
  <si>
    <t>Governance and Leadership [Our school’s school board maintains a distinction between its roles and responsibilities and those of school leadership.]</t>
  </si>
  <si>
    <t>Governance and Leadership [Our school’s leaders support an innovative and collaborative culture.]</t>
  </si>
  <si>
    <t>Governance and Leadership [Our school’s leaders expect staff members to hold all students to high academic standards.]</t>
  </si>
  <si>
    <t>Governance and Leadership [Our school’s leaders hold themselves accountable for student learning.]</t>
  </si>
  <si>
    <t>Governance and Leadership [Our school’s leaders hold all staff members accountable for student learning.]</t>
  </si>
  <si>
    <t>Governance and Leadership [Our school’s leaders regularly evaluate staff members on criteria designed to improve teaching and learning.]</t>
  </si>
  <si>
    <t>Governance and Leadership [Our school’s leaders ensure all staff members use supervisory feedback to improve student learning.]</t>
  </si>
  <si>
    <t>Governance and Leadership [Our school’s leaders engage effectively with all stakeholders about the school’s purpose and direction.]</t>
  </si>
  <si>
    <t>Governance and Leadership [Our school’s leaders provide opportunities for stakeholders to be involved in the school.]</t>
  </si>
  <si>
    <t>Teaching and Assessing for Learning [All teachers in our school monitor and adjust curriculum, instruction, and assessment based on data from student assessments and examination of professional practices.]</t>
  </si>
  <si>
    <t>Teaching and Assessing for Learning [All teachers in our school personalize instructional strategies and interventions to address individual learning needs of students.]</t>
  </si>
  <si>
    <t>Teaching and Assessing for Learning [All teachers in our school regularly use instructional strategies that require student collaboration, self-reflection, and development of critical thinking skills.]</t>
  </si>
  <si>
    <t>Teaching and Assessing for Learning [All teachers in our school use a variety of technologies as instructional resources.]</t>
  </si>
  <si>
    <t>Teaching and Assessing for Learning [All teachers in our school use a process to inform students of their learning expectations and standards of performance.]</t>
  </si>
  <si>
    <t>Teaching and Assessing for Learning [All teachers in our school provide students with specific and timely feedback about their learning.]</t>
  </si>
  <si>
    <t>Teaching and Assessing for Learning [All teachers in our school use multiple types of assessments to modify instruction and to revise the curriculum.]</t>
  </si>
  <si>
    <t>Teaching and Assessing for Learning [All teachers in our school use consistent common grading and reporting policies across grade levels and courses based on clearly defined criteria.]</t>
  </si>
  <si>
    <t>Teaching and Assessing for Learning [All teachers in our school participate in collaborative learning communities that meet both informally and formally across grade levels and content areas.]</t>
  </si>
  <si>
    <t>Teaching and Assessing for Learning [All teachers in our school have been trained to implement a formal process that promotes cussion about student learning (e.g., action research, examination of student work, reflection, study teams, and peer coaching).]</t>
  </si>
  <si>
    <t>Teaching and Assessing for Learning [In our school, challenging curriculum and learning experiences provide equity for all students in the development of learning, thinking, and life skills.]</t>
  </si>
  <si>
    <t>Teaching and Assessing for Learning [In our school, related learning support services are provided for all students based on their needs.]</t>
  </si>
  <si>
    <t>Teaching and Assessing for Learning [In our school, a formal structure exists so that each student is well known by at least one adult advocate in the school who supports that student’s educational experience.]</t>
  </si>
  <si>
    <t>Teaching and Assessing for Learning [In our school, all staff members use student data to address the unique learning needs of all students.]</t>
  </si>
  <si>
    <t>Teaching and Assessing for Learning [In our school, staff members provide peer coaching to teachers.]</t>
  </si>
  <si>
    <t>Teaching and Assessing for Learning [In our school, a formal process is in place to support new staff members in their professional practice.]</t>
  </si>
  <si>
    <t>Teaching and Assessing for Learning [In our school, all staff members participate in continuous professional learning based on identified needs of the school.]</t>
  </si>
  <si>
    <t>Teaching and Assessing for Learning [In our school, a professional learning program is designed to build capacity among all professional and support staff members.]</t>
  </si>
  <si>
    <t>Teaching and Assessing for Learning [In our school, all school personnel regularly engage families in their children’s learning process.]</t>
  </si>
  <si>
    <t>Teaching and Assessing for Learning [In our school, all stakeholders are informed of policies, processes, and procedures related to grading and reporting.]</t>
  </si>
  <si>
    <t>Resources and Support Services [Our school provides qualified staff members to support student learning.]</t>
  </si>
  <si>
    <t>Resources and Support Services [Our school provides instructional time and resources to support our school’s goals and priorities.]</t>
  </si>
  <si>
    <t>Resources and Support Services [Our school provides sufficient material resources to meet student needs.]</t>
  </si>
  <si>
    <t>Resources and Support Services [Our school provides protected instructional time.]</t>
  </si>
  <si>
    <t>Resources and Support Services [Our school provides a variety of information resources to support student learning.]</t>
  </si>
  <si>
    <t>Resources and Support Services [Our school provides a plan for the acquisition and support of technology to support student learning.]</t>
  </si>
  <si>
    <t>Resources and Support Services [Our school provides a plan for the acquisition and support of technology to support the school’s operational needs.]</t>
  </si>
  <si>
    <t>Resources and Support Services [Our school provides high quality student support services (e.g., counseling, referrals, educational, and career planning).]</t>
  </si>
  <si>
    <t>Resources and Support Services [Our school provides opportunities for students to participate in activities that interest them.]</t>
  </si>
  <si>
    <t>Resources and Support Services [Our school maintains facilities that support student learning.]</t>
  </si>
  <si>
    <t>Resources and Support Services [Our school maintains facilities that contribute to a safe environment.]</t>
  </si>
  <si>
    <t>Using Results for Continuous Improvement [. Our school uses multiple assessment measures to determine student learning and school performance.]</t>
  </si>
  <si>
    <t>Using Results for Continuous Improvement [Our school employs consistent assessment measures across classrooms and courses.]</t>
  </si>
  <si>
    <t>Using Results for Continuous Improvement [Our school has a systematic process for collecting, analyzing, and using data.]</t>
  </si>
  <si>
    <t>Using Results for Continuous Improvement [Our school ensures all staff members are trained in the evaluation, interpretation, and use of data.]</t>
  </si>
  <si>
    <t>Using Results for Continuous Improvement [Our school uses data to monitor student readiness and success at the next level]</t>
  </si>
  <si>
    <t>Using Results for Continuous Improvement [Our school leaders monitor data related to student achievement.]</t>
  </si>
  <si>
    <t>Using Results for Continuous Improvement [Our school leaders monitor data related to school continuous improvement goals.]</t>
  </si>
  <si>
    <t>2023-2024</t>
  </si>
  <si>
    <t>123 students participated in 11 Community Activities/events</t>
  </si>
  <si>
    <t>Fall 2023</t>
  </si>
  <si>
    <t>SPED Continuing</t>
  </si>
  <si>
    <t>SPED New</t>
  </si>
  <si>
    <t>2023/24</t>
  </si>
  <si>
    <t>Teacher Participation IEP Meetings</t>
  </si>
  <si>
    <t>IEP Paperwork and Notes</t>
  </si>
  <si>
    <t>Gather data based on signature files</t>
  </si>
  <si>
    <t>SPED Teacher</t>
  </si>
  <si>
    <t>75% of meetings were scheduled during times teachers could easily attend, 67% of meetings had teacher attendance</t>
  </si>
  <si>
    <t>Once per trimester: Baseline data 27% of meetings were scheduled during times teachers could easily attend, 40% of meetings had teacher attendance</t>
  </si>
  <si>
    <t>Average 2023/24</t>
  </si>
  <si>
    <t xml:space="preserve">Meets </t>
  </si>
  <si>
    <t>85 and up</t>
  </si>
  <si>
    <t>Approaches</t>
  </si>
  <si>
    <t>75-84</t>
  </si>
  <si>
    <t>&lt;75</t>
  </si>
  <si>
    <t>Likes</t>
  </si>
  <si>
    <t>Dislikes</t>
  </si>
  <si>
    <t>Suggestions</t>
  </si>
  <si>
    <t>Basketball court</t>
  </si>
  <si>
    <t>Winter 2024</t>
  </si>
  <si>
    <t>57% of meetings scheduled when teachers could attend and 57% of meetings had teacher attendence</t>
  </si>
  <si>
    <t>Cohort</t>
  </si>
  <si>
    <t>4 year</t>
  </si>
  <si>
    <t>5 year</t>
  </si>
  <si>
    <t>6 year</t>
  </si>
  <si>
    <t>7 year</t>
  </si>
  <si>
    <t>Spring 2024</t>
  </si>
  <si>
    <t>N/A</t>
  </si>
  <si>
    <t>28 students participated in 3 service projects</t>
  </si>
  <si>
    <t>89% completed 4.5 credits</t>
  </si>
  <si>
    <t>45 students participated in 5 service projects</t>
  </si>
  <si>
    <t>2024-2025 Guidance Reports</t>
  </si>
  <si>
    <t>2024-2025 attendance reports</t>
  </si>
  <si>
    <t>Staycation Attendance 2024-25</t>
  </si>
  <si>
    <t>Google Attendance sheet</t>
  </si>
  <si>
    <t>Every Staycation, summery each trimester</t>
  </si>
  <si>
    <t>See Accountability tab</t>
  </si>
  <si>
    <t>Download from APEX dashboard</t>
  </si>
  <si>
    <t>APEX Site</t>
  </si>
  <si>
    <t>2024-2025 APEX Credit Completion</t>
  </si>
  <si>
    <t>2024-25 Trimester Pass rates</t>
  </si>
  <si>
    <t>2024-25 Freshman Completion of 4.5 credits</t>
  </si>
  <si>
    <t>2024-25 Schoolwide Completion of 4.5 credits</t>
  </si>
  <si>
    <t>Lunch Tutoring Attendance</t>
  </si>
  <si>
    <t>Assignment sheets</t>
  </si>
  <si>
    <t>Gathered Daily during lunch tutoring</t>
  </si>
  <si>
    <t>Gathered Weekly, tracked each trimester</t>
  </si>
  <si>
    <t>2024-25 Open Campus Attendance</t>
  </si>
  <si>
    <t>2024-2025 Community Activities/Events</t>
  </si>
  <si>
    <t>Using calendar and permission slips</t>
  </si>
  <si>
    <t>Pull from daily edit sheets</t>
  </si>
  <si>
    <t>pull from daily edit sheets</t>
  </si>
  <si>
    <t>Fall 2024</t>
  </si>
  <si>
    <t>Complete, see NWEA page</t>
  </si>
  <si>
    <t>91.3% pass rate, 85.8% with a C minus or better. This is an impovement of 1% for overall and 2.8% for C minus or better</t>
  </si>
  <si>
    <t>68 referrals, which is statistically the same as last year.  CM is recording actions taken and consequesnces much more thoroughly than last year (51 vs 10)</t>
  </si>
  <si>
    <t>Scheduled when teachers could attend: 75%  Teacher attendance: 100%</t>
  </si>
  <si>
    <t>84.6% on track,  15.4% at risk</t>
  </si>
  <si>
    <t>93% on track,  7% at risk</t>
  </si>
  <si>
    <t>78% attendance rate</t>
  </si>
  <si>
    <t>59.5% attendance rate, significantly lower than FY24 T1 Students just do not come to school</t>
  </si>
  <si>
    <t>90.58% Attendance rate, statistically the same as FY24T1</t>
  </si>
  <si>
    <t>90% Pass Rate, statistically the same as FY24 T1</t>
  </si>
  <si>
    <t>20 students represented, 31.7%</t>
  </si>
  <si>
    <t>22 parents representing 23 students, 33.8%</t>
  </si>
  <si>
    <t>17 parents representing 20 students, 29.4%</t>
  </si>
  <si>
    <t>14 students represented, 23% of students represented</t>
  </si>
  <si>
    <t>8 community service activities with an average attendance of 14 students</t>
  </si>
  <si>
    <t>Winter 2025</t>
  </si>
  <si>
    <t>89.1% Pass rate, highest pass rate for T2 in 3 years</t>
  </si>
  <si>
    <t>91.3% pass rate, 83.4% with a C or better Highest 2nd trimester pass rate in 3 years  in both categories</t>
  </si>
  <si>
    <t>90.8% on track, 9.2% at risk</t>
  </si>
  <si>
    <t>63% on track, 37% at rick</t>
  </si>
  <si>
    <t>90.69% Attendance rate, highest in 3 years for T2</t>
  </si>
  <si>
    <t>113 referrals, higher referral rate from previous year, CM is recording actions taken and consequesnces much more thoroughly than last year (90 vs 42)</t>
  </si>
  <si>
    <t>81.8% attendance rate, same as FY24 T2</t>
  </si>
  <si>
    <t>62% attendance rate</t>
  </si>
  <si>
    <t>2024-2025</t>
  </si>
  <si>
    <t>Average 2024/25</t>
  </si>
  <si>
    <t>SS</t>
  </si>
  <si>
    <t>Teachers 43%</t>
  </si>
  <si>
    <t>Staff 21%</t>
  </si>
  <si>
    <t>Atmosphere 33%</t>
  </si>
  <si>
    <t>Other students 21%</t>
  </si>
  <si>
    <t>The rules  10%</t>
  </si>
  <si>
    <t>Music/Art Electives</t>
  </si>
  <si>
    <t>Better Breakfasts</t>
  </si>
  <si>
    <t>Positive Comments</t>
  </si>
  <si>
    <t>Service to students</t>
  </si>
  <si>
    <t>Staff help each other</t>
  </si>
  <si>
    <t>Negative Comments</t>
  </si>
  <si>
    <t>Common area needed</t>
  </si>
  <si>
    <t>Communication</t>
  </si>
  <si>
    <t>Better PA</t>
  </si>
  <si>
    <t>Bus</t>
  </si>
  <si>
    <t>No students until 9am</t>
  </si>
  <si>
    <t>Changes FY25</t>
  </si>
  <si>
    <t>My student has at least one adult advocate at the school</t>
  </si>
  <si>
    <t>Our school's mission statement is clearly focused on student success</t>
  </si>
  <si>
    <t>Removed</t>
  </si>
  <si>
    <t>I am satisfied with the quality of my student's education at NAA</t>
  </si>
  <si>
    <t>Is the school’s mission and vision for student success widely known and shared by stakeholders?</t>
  </si>
  <si>
    <t>Do school structures and systems (bell schedules, calendar, common planning time, professional development, expanded opportunities, etc.) maximize student success?</t>
  </si>
  <si>
    <t>Do teachers, administrators, parents, and students have a common understanding of what we want students to know and be able to do?</t>
  </si>
  <si>
    <t>Do assessments and benchmarks align to standards and accurately predict state assessment results?</t>
  </si>
  <si>
    <t>Do teachers use aligned instructional practices that achieve the best student achievement results?</t>
  </si>
  <si>
    <t>Is effective intervention provided when students have not demonstrated mastery of required content/skills?</t>
  </si>
  <si>
    <t>Is effective enrichment provided when students have demonstrated mastery of required content/skills?</t>
  </si>
  <si>
    <t>Is there an effective and efficient system used to improve, catalog, and save teacher work (scope &amp; sequence, assessments, etc.)?</t>
  </si>
  <si>
    <t>2024/25</t>
  </si>
  <si>
    <t>ACT Participants New Enrollments vs Continuing</t>
  </si>
  <si>
    <t>FY25</t>
  </si>
  <si>
    <t>Math Proficient</t>
  </si>
  <si>
    <t>Reading Proficient</t>
  </si>
  <si>
    <t>FY24</t>
  </si>
  <si>
    <t>FY23</t>
  </si>
  <si>
    <t>FY22</t>
  </si>
  <si>
    <t>New</t>
  </si>
  <si>
    <t>Continuing</t>
  </si>
  <si>
    <t xml:space="preserve">Gen Ed </t>
  </si>
  <si>
    <t>2019/20</t>
  </si>
  <si>
    <t>2020/21</t>
  </si>
  <si>
    <t>Baseline: 321</t>
  </si>
  <si>
    <t>127, 60% reduction</t>
  </si>
  <si>
    <t>119, 6% reduction</t>
  </si>
  <si>
    <t>116, 3% reduction</t>
  </si>
  <si>
    <t>Referrals</t>
  </si>
  <si>
    <t>Attendance</t>
  </si>
  <si>
    <t>download reports from SIS</t>
  </si>
  <si>
    <t>Staycation attendance</t>
  </si>
  <si>
    <t>Face to Face Class Pass rates</t>
  </si>
  <si>
    <t>Edgenuity Credit Completion</t>
  </si>
  <si>
    <t>87.5% completed 4.5 credits</t>
  </si>
  <si>
    <t>Freshman Completion of 4.5 credits</t>
  </si>
  <si>
    <t>Attendance by grade</t>
  </si>
  <si>
    <t>Attendance Gen Ed vs SPED</t>
  </si>
  <si>
    <t>SIS</t>
  </si>
  <si>
    <t>9th: 87.1% 10th: 87.4% 11th: 88.4 12th: 79.3%</t>
  </si>
  <si>
    <t>8th: 87.6% 9th: 86.4% 10th: 87% 11th:86.6%  12th: 91.4%</t>
  </si>
  <si>
    <t>8th: 91.8% 9th: 90.3% 10th: 89% 11th:92.1%  12th: 91.1%</t>
  </si>
  <si>
    <t>87.1% vs 80.5%</t>
  </si>
  <si>
    <t>86.7% vs 87%</t>
  </si>
  <si>
    <t>89.3% vs 90.6%</t>
  </si>
  <si>
    <t>Lowest attendance rate</t>
  </si>
  <si>
    <t>Stable acrross all demographics P&gt;5</t>
  </si>
  <si>
    <t>IEP Students 80.5%</t>
  </si>
  <si>
    <t>All Students Completion of 4.5 credits</t>
  </si>
  <si>
    <t>78.6% completed 4.5 cedits</t>
  </si>
  <si>
    <t>Spring 2025</t>
  </si>
  <si>
    <t>NA</t>
  </si>
  <si>
    <t>ACT Participants SPED vs Gen Ed</t>
  </si>
  <si>
    <t>91.35% vs 90.63%</t>
  </si>
  <si>
    <t>8th: 88.5% 9th: 92.78% 10th:92.83% 11th:90.2%  12th: 90%</t>
  </si>
  <si>
    <t>Hispanic 88.08% vs non Hispanic 91.66</t>
  </si>
  <si>
    <t>93% Pass Rate</t>
  </si>
  <si>
    <t>State Average 24/25</t>
  </si>
  <si>
    <t>Exceeding or Ready</t>
  </si>
  <si>
    <t>Close or Needs Support</t>
  </si>
  <si>
    <t>Name, Last</t>
  </si>
  <si>
    <t>Name, First</t>
  </si>
  <si>
    <t>ACT Aspire FY23</t>
  </si>
  <si>
    <t>Percentile</t>
  </si>
  <si>
    <t>ACT FY25</t>
  </si>
  <si>
    <t xml:space="preserve">Percentile </t>
  </si>
  <si>
    <t>Logan</t>
  </si>
  <si>
    <t>Camron</t>
  </si>
  <si>
    <t>Tanner</t>
  </si>
  <si>
    <t>Victoria</t>
  </si>
  <si>
    <t>Santino</t>
  </si>
  <si>
    <t>ACT Aspire FY22</t>
  </si>
  <si>
    <t>ACT FY24</t>
  </si>
  <si>
    <t>Amado</t>
  </si>
  <si>
    <t>Alexis</t>
  </si>
  <si>
    <t>Kilihana</t>
  </si>
  <si>
    <t>80.1% C or better     90.1% D or better</t>
  </si>
  <si>
    <t>CCRI Points</t>
  </si>
  <si>
    <t>Avg Points</t>
  </si>
  <si>
    <t>6 community service activities with average attendance of 14 students</t>
  </si>
  <si>
    <t>5 community service activitis, average attendance of 11 students</t>
  </si>
  <si>
    <t>Scheduled when teachers could attend 80% Teacher attendance 100%</t>
  </si>
  <si>
    <t>2019: 5.4  2020: 10.4  2021:14.8   2022: 28.2 2023: 33.9 2024: 31.18 2025:24.39</t>
  </si>
  <si>
    <t>2019:19.3  2020:22.7  2021: 15.9   2022: 31.4  2023: 34 2024: 33.26 2025:31.05</t>
  </si>
  <si>
    <t>9 students represented, 17%</t>
  </si>
  <si>
    <t>Open Campus Students represented</t>
  </si>
  <si>
    <t>17 parents representing 27 students, 39.7%</t>
  </si>
  <si>
    <t>13 parents representing 13 students, 20%</t>
  </si>
  <si>
    <t>3 parents representing 5 srudents 7.7%</t>
  </si>
  <si>
    <t>15 parents representing 17 students, 25%</t>
  </si>
  <si>
    <t>NSLP Participation Breakfast</t>
  </si>
  <si>
    <t>NSLP Participation Lunch</t>
  </si>
  <si>
    <t>Teacher Participation IEPs</t>
  </si>
  <si>
    <t>27% scheduled when teachers could attend. 40% had teacher attendance</t>
  </si>
  <si>
    <t>66% scheduled when teachers could attend. 62% had teacher attendance</t>
  </si>
  <si>
    <t>complete see Parent and Student Survey tab</t>
  </si>
  <si>
    <t>complete see Staff Survey tab</t>
  </si>
  <si>
    <t>Timely submission of lesson plans and grading</t>
  </si>
  <si>
    <t>Interventions</t>
  </si>
  <si>
    <t>Positive Contacts</t>
  </si>
  <si>
    <t>Reliability and Puncutality in duties</t>
  </si>
  <si>
    <t>Teacher: LH</t>
  </si>
  <si>
    <t>Teacher: NW</t>
  </si>
  <si>
    <t>Teacher: CC</t>
  </si>
  <si>
    <t>Teacher: KA</t>
  </si>
  <si>
    <t>Teacher: JL</t>
  </si>
  <si>
    <t>PLC/Staff meeting participation</t>
  </si>
  <si>
    <t>Overall Average</t>
  </si>
  <si>
    <t>A. Equitable Learning</t>
  </si>
  <si>
    <t>1. Learners engage in differentiated learning opportunities and/or activities that meet their needs</t>
  </si>
  <si>
    <t>2. Learners have equal access to classroom discussions, activities, resources, technology, and support</t>
  </si>
  <si>
    <t xml:space="preserve">3. Learners are treated in a fair, clear and consistent manner         </t>
  </si>
  <si>
    <t>4. Learners demonstrate and/or have opportunities to develop empathy/respect/appreciation for differences in abilities, aptitudes, backgrounds, cultures, and/or other human characteristics, conditions and dispositions</t>
  </si>
  <si>
    <t xml:space="preserve">B. High Expectations    </t>
  </si>
  <si>
    <t>1. Learners strive to meet or are able to articulate the high expectations established by themselves and/or the teacher</t>
  </si>
  <si>
    <t>2. Learners engage in activities and learning that are challenging but attainable</t>
  </si>
  <si>
    <t xml:space="preserve">3. Learners demonstrate and/or are able to describe high quality work  </t>
  </si>
  <si>
    <t xml:space="preserve">4. Learners engage in rigorous coursework, discussions, and/or tasks that require the use of higher order thinking </t>
  </si>
  <si>
    <t xml:space="preserve">5. Learners take responsibility for and are self-directed in their learning  </t>
  </si>
  <si>
    <t xml:space="preserve">C. Supportive Learning     </t>
  </si>
  <si>
    <t>1. Learners demonstrate a sense of community that is positive, cohesive, engaged, and purposeful</t>
  </si>
  <si>
    <t xml:space="preserve">2. Learners take risks in learning (without fear of negative feedback)  </t>
  </si>
  <si>
    <t>3. Learners are supported by the teacher, their peers and/or other resources to understand content and accomplish tasks</t>
  </si>
  <si>
    <t>4. Learners demonstrate a congenial and supportive relationship with their teacher</t>
  </si>
  <si>
    <t xml:space="preserve">D. Active Learning </t>
  </si>
  <si>
    <t>1. Learners' discussions/dialogues/exchanges with each other and the teacher predominate</t>
  </si>
  <si>
    <t xml:space="preserve">2. Learners make connections from content to real-life experiences   </t>
  </si>
  <si>
    <t xml:space="preserve">3. Learners are actively engaged in the learning activities </t>
  </si>
  <si>
    <t>4. Learners collaborate with their peers to accomplish/complete projects, activities, tasks and/or assignments</t>
  </si>
  <si>
    <t xml:space="preserve">E. Progress Monitoring </t>
  </si>
  <si>
    <t>1. Learners monitor their own learning progress or have mechanisms whereby their learning progress is monitored</t>
  </si>
  <si>
    <t>2. Learners receive/respond to feedback (from teachers/peers/other resources) to improve understanding and/or revise work</t>
  </si>
  <si>
    <t xml:space="preserve">3. Learners demonstrate and/or verbalize understanding of the lesson/content </t>
  </si>
  <si>
    <t xml:space="preserve">4. Learners understand and/or are able to explain how their work is assessed    </t>
  </si>
  <si>
    <t xml:space="preserve">F. Well-Managed Learning </t>
  </si>
  <si>
    <t xml:space="preserve">1. Learners speak and interact respectfully with teacher(s) and each other </t>
  </si>
  <si>
    <t>2. Learners demonstrate knowledge of and/or follow classroom rules and behavioral expectations and work well with others</t>
  </si>
  <si>
    <t>3. Learners transition smoothly and efficiently from one activity to another</t>
  </si>
  <si>
    <t xml:space="preserve">4. Learners use class time purposefully with minimal wasted time or disruptions </t>
  </si>
  <si>
    <t xml:space="preserve">G. Digital Learning     </t>
  </si>
  <si>
    <t>1. Learners use digital tools/technology to gather, evaluate, and/or use information for learning</t>
  </si>
  <si>
    <t>2. Learners use digital tools/technology to conduct research, solve problems, and/or create original works for learning</t>
  </si>
  <si>
    <t>3. Learners use digital tools/technology to communicate and/or work collaboratively for learning</t>
  </si>
  <si>
    <t>KA Pre</t>
  </si>
  <si>
    <t>KA Post</t>
  </si>
  <si>
    <t>CC Pre</t>
  </si>
  <si>
    <t>CC Post</t>
  </si>
  <si>
    <t>JL Pre</t>
  </si>
  <si>
    <t>JL Post</t>
  </si>
  <si>
    <t>NW Pre</t>
  </si>
  <si>
    <t>NW Post</t>
  </si>
  <si>
    <t>Change KH</t>
  </si>
  <si>
    <t>Change CC</t>
  </si>
  <si>
    <t>Change JL</t>
  </si>
  <si>
    <t>Change NW</t>
  </si>
  <si>
    <t>Total Points</t>
  </si>
  <si>
    <t>78$ scheduled when teachers could attends, 100% had teacher attendance</t>
  </si>
  <si>
    <t>173, an increase over previous years.  New CM adhered to policy of documenting everything</t>
  </si>
  <si>
    <t>P1Q1</t>
  </si>
  <si>
    <t>P1Q2</t>
  </si>
  <si>
    <t>P1Q3</t>
  </si>
  <si>
    <t>P1Q4</t>
  </si>
  <si>
    <t>P1Q5</t>
  </si>
  <si>
    <t>P2Q1</t>
  </si>
  <si>
    <t>P2Q2</t>
  </si>
  <si>
    <t>P2Q3</t>
  </si>
  <si>
    <t>P2Q4</t>
  </si>
  <si>
    <t>P2Q5</t>
  </si>
  <si>
    <t>P2Q6</t>
  </si>
  <si>
    <t>P2Q7</t>
  </si>
  <si>
    <t>P2Q8</t>
  </si>
  <si>
    <t>P2Q9</t>
  </si>
  <si>
    <t>P2Q10</t>
  </si>
  <si>
    <t>P3Q1</t>
  </si>
  <si>
    <t>P3Q2</t>
  </si>
  <si>
    <t>P3Q3</t>
  </si>
  <si>
    <t>P3Q4</t>
  </si>
  <si>
    <t>P3Q5</t>
  </si>
  <si>
    <t>P3Q6</t>
  </si>
  <si>
    <t>P3Q7</t>
  </si>
  <si>
    <t>P3Q8</t>
  </si>
  <si>
    <t>P3Q9</t>
  </si>
  <si>
    <t>P3Q10</t>
  </si>
  <si>
    <t>P3Q11</t>
  </si>
  <si>
    <t>P3Q12</t>
  </si>
  <si>
    <t>P3Q13</t>
  </si>
  <si>
    <t>P3Q14</t>
  </si>
  <si>
    <t>P3Q15</t>
  </si>
  <si>
    <t>P3Q16</t>
  </si>
  <si>
    <t>P3Q17</t>
  </si>
  <si>
    <t>P3Q18</t>
  </si>
  <si>
    <t>P3Q19</t>
  </si>
  <si>
    <t>P4Q1</t>
  </si>
  <si>
    <t>P4Q2</t>
  </si>
  <si>
    <t>P4Q3</t>
  </si>
  <si>
    <t>P4Q4</t>
  </si>
  <si>
    <t>P4Q5</t>
  </si>
  <si>
    <t>P4Q6</t>
  </si>
  <si>
    <t>P4Q7</t>
  </si>
  <si>
    <t>P4Q8</t>
  </si>
  <si>
    <t>P4Q9</t>
  </si>
  <si>
    <t>P4Q10</t>
  </si>
  <si>
    <t>P4Q11</t>
  </si>
  <si>
    <t>P4Q12</t>
  </si>
  <si>
    <t>P5Q1</t>
  </si>
  <si>
    <t>P5Q2</t>
  </si>
  <si>
    <t>P5Q3</t>
  </si>
  <si>
    <t>P5Q4</t>
  </si>
  <si>
    <t>P5Q5</t>
  </si>
  <si>
    <t>P5Q6</t>
  </si>
  <si>
    <t>P5Q7</t>
  </si>
  <si>
    <t>P6Q1</t>
  </si>
  <si>
    <t>P6Q2</t>
  </si>
  <si>
    <t>P6Q3</t>
  </si>
  <si>
    <t>P6Q4</t>
  </si>
  <si>
    <t>P6Q5</t>
  </si>
  <si>
    <t>P7Q1</t>
  </si>
  <si>
    <t>P7Q2</t>
  </si>
  <si>
    <t>P7Q3</t>
  </si>
  <si>
    <t>P7Q4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</si>
</sst>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59EE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99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8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9" fontId="0" fillId="0" borderId="0" xfId="0" applyNumberFormat="1"/>
    <xf numFmtId="0" fontId="0" fillId="3" borderId="1" xfId="0" applyFill="1" applyBorder="1"/>
    <xf numFmtId="0" fontId="0" fillId="5" borderId="1" xfId="0" applyFill="1" applyBorder="1"/>
    <xf numFmtId="0" fontId="0" fillId="6" borderId="1" xfId="0" applyFill="1" applyBorder="1"/>
    <xf numFmtId="0" fontId="1" fillId="0" borderId="0" xfId="0" applyFont="1"/>
    <xf numFmtId="0" fontId="1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7" borderId="1" xfId="0" applyFill="1" applyBorder="1"/>
    <xf numFmtId="0" fontId="0" fillId="7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4" xfId="0" applyBorder="1"/>
    <xf numFmtId="0" fontId="0" fillId="8" borderId="1" xfId="0" applyFill="1" applyBorder="1"/>
    <xf numFmtId="0" fontId="0" fillId="8" borderId="1" xfId="0" applyFill="1" applyBorder="1" applyAlignment="1">
      <alignment horizontal="center" vertical="center"/>
    </xf>
    <xf numFmtId="0" fontId="0" fillId="8" borderId="4" xfId="0" applyFill="1" applyBorder="1"/>
    <xf numFmtId="0" fontId="0" fillId="8" borderId="1" xfId="0" applyFill="1" applyBorder="1" applyAlignment="1">
      <alignment horizontal="center"/>
    </xf>
    <xf numFmtId="0" fontId="0" fillId="9" borderId="1" xfId="0" applyFill="1" applyBorder="1"/>
    <xf numFmtId="164" fontId="0" fillId="9" borderId="1" xfId="1" applyNumberFormat="1" applyFont="1" applyFill="1" applyBorder="1" applyAlignment="1">
      <alignment horizontal="center" vertical="center"/>
    </xf>
    <xf numFmtId="164" fontId="0" fillId="9" borderId="1" xfId="1" applyNumberFormat="1" applyFont="1" applyFill="1" applyBorder="1" applyAlignment="1">
      <alignment horizontal="center"/>
    </xf>
    <xf numFmtId="164" fontId="0" fillId="9" borderId="4" xfId="1" applyNumberFormat="1" applyFont="1" applyFill="1" applyBorder="1"/>
    <xf numFmtId="9" fontId="0" fillId="9" borderId="1" xfId="0" applyNumberFormat="1" applyFill="1" applyBorder="1"/>
    <xf numFmtId="164" fontId="0" fillId="9" borderId="1" xfId="1" applyNumberFormat="1" applyFont="1" applyFill="1" applyBorder="1"/>
    <xf numFmtId="10" fontId="0" fillId="9" borderId="1" xfId="0" applyNumberFormat="1" applyFill="1" applyBorder="1"/>
    <xf numFmtId="0" fontId="0" fillId="11" borderId="1" xfId="0" applyFill="1" applyBorder="1"/>
    <xf numFmtId="164" fontId="0" fillId="11" borderId="1" xfId="1" applyNumberFormat="1" applyFont="1" applyFill="1" applyBorder="1" applyAlignment="1">
      <alignment horizontal="center" vertical="center"/>
    </xf>
    <xf numFmtId="164" fontId="0" fillId="11" borderId="1" xfId="1" applyNumberFormat="1" applyFont="1" applyFill="1" applyBorder="1" applyAlignment="1">
      <alignment horizontal="center"/>
    </xf>
    <xf numFmtId="164" fontId="0" fillId="11" borderId="1" xfId="1" applyNumberFormat="1" applyFont="1" applyFill="1" applyBorder="1"/>
    <xf numFmtId="164" fontId="0" fillId="11" borderId="4" xfId="1" applyNumberFormat="1" applyFont="1" applyFill="1" applyBorder="1"/>
    <xf numFmtId="0" fontId="0" fillId="12" borderId="1" xfId="0" applyFill="1" applyBorder="1"/>
    <xf numFmtId="164" fontId="0" fillId="13" borderId="1" xfId="1" applyNumberFormat="1" applyFont="1" applyFill="1" applyBorder="1"/>
    <xf numFmtId="0" fontId="0" fillId="15" borderId="1" xfId="0" applyFill="1" applyBorder="1"/>
    <xf numFmtId="0" fontId="0" fillId="5" borderId="1" xfId="0" applyFill="1" applyBorder="1" applyAlignment="1">
      <alignment horizontal="center" vertical="center"/>
    </xf>
    <xf numFmtId="0" fontId="0" fillId="5" borderId="4" xfId="0" applyFill="1" applyBorder="1"/>
    <xf numFmtId="0" fontId="0" fillId="16" borderId="1" xfId="0" applyFill="1" applyBorder="1"/>
    <xf numFmtId="0" fontId="0" fillId="16" borderId="1" xfId="0" applyFill="1" applyBorder="1" applyAlignment="1">
      <alignment horizontal="center" vertical="center"/>
    </xf>
    <xf numFmtId="0" fontId="0" fillId="10" borderId="1" xfId="0" applyFill="1" applyBorder="1"/>
    <xf numFmtId="164" fontId="0" fillId="11" borderId="1" xfId="1" applyNumberFormat="1" applyFont="1" applyFill="1" applyBorder="1" applyAlignment="1">
      <alignment horizontal="center" wrapText="1"/>
    </xf>
    <xf numFmtId="0" fontId="0" fillId="8" borderId="1" xfId="1" applyNumberFormat="1" applyFont="1" applyFill="1" applyBorder="1"/>
    <xf numFmtId="10" fontId="0" fillId="0" borderId="0" xfId="0" applyNumberFormat="1"/>
    <xf numFmtId="9" fontId="0" fillId="0" borderId="0" xfId="1" applyFont="1"/>
    <xf numFmtId="164" fontId="0" fillId="0" borderId="0" xfId="1" applyNumberFormat="1" applyFont="1" applyFill="1"/>
    <xf numFmtId="9" fontId="0" fillId="0" borderId="0" xfId="1" applyFont="1" applyFill="1"/>
    <xf numFmtId="164" fontId="0" fillId="0" borderId="0" xfId="1" applyNumberFormat="1" applyFont="1"/>
    <xf numFmtId="9" fontId="0" fillId="8" borderId="1" xfId="1" applyFont="1" applyFill="1" applyBorder="1"/>
    <xf numFmtId="2" fontId="0" fillId="8" borderId="1" xfId="1" applyNumberFormat="1" applyFont="1" applyFill="1" applyBorder="1"/>
    <xf numFmtId="9" fontId="0" fillId="10" borderId="1" xfId="1" applyFont="1" applyFill="1" applyBorder="1"/>
    <xf numFmtId="2" fontId="0" fillId="10" borderId="1" xfId="1" applyNumberFormat="1" applyFont="1" applyFill="1" applyBorder="1"/>
    <xf numFmtId="9" fontId="0" fillId="5" borderId="1" xfId="1" applyFont="1" applyFill="1" applyBorder="1"/>
    <xf numFmtId="2" fontId="0" fillId="5" borderId="1" xfId="1" applyNumberFormat="1" applyFont="1" applyFill="1" applyBorder="1"/>
    <xf numFmtId="9" fontId="0" fillId="9" borderId="1" xfId="1" applyFont="1" applyFill="1" applyBorder="1"/>
    <xf numFmtId="2" fontId="0" fillId="9" borderId="1" xfId="1" applyNumberFormat="1" applyFont="1" applyFill="1" applyBorder="1"/>
    <xf numFmtId="0" fontId="0" fillId="18" borderId="1" xfId="0" applyFill="1" applyBorder="1"/>
    <xf numFmtId="9" fontId="0" fillId="18" borderId="1" xfId="1" applyFont="1" applyFill="1" applyBorder="1"/>
    <xf numFmtId="2" fontId="0" fillId="18" borderId="1" xfId="1" applyNumberFormat="1" applyFont="1" applyFill="1" applyBorder="1"/>
    <xf numFmtId="9" fontId="0" fillId="3" borderId="1" xfId="1" applyFont="1" applyFill="1" applyBorder="1"/>
    <xf numFmtId="2" fontId="0" fillId="3" borderId="1" xfId="1" applyNumberFormat="1" applyFont="1" applyFill="1" applyBorder="1"/>
    <xf numFmtId="0" fontId="0" fillId="19" borderId="1" xfId="0" applyFill="1" applyBorder="1"/>
    <xf numFmtId="9" fontId="0" fillId="19" borderId="1" xfId="1" applyFont="1" applyFill="1" applyBorder="1"/>
    <xf numFmtId="2" fontId="0" fillId="19" borderId="1" xfId="1" applyNumberFormat="1" applyFont="1" applyFill="1" applyBorder="1"/>
    <xf numFmtId="0" fontId="0" fillId="0" borderId="7" xfId="0" applyBorder="1"/>
    <xf numFmtId="9" fontId="0" fillId="0" borderId="1" xfId="1" applyFont="1" applyBorder="1"/>
    <xf numFmtId="9" fontId="0" fillId="20" borderId="1" xfId="1" applyFont="1" applyFill="1" applyBorder="1"/>
    <xf numFmtId="164" fontId="0" fillId="21" borderId="1" xfId="1" applyNumberFormat="1" applyFont="1" applyFill="1" applyBorder="1"/>
    <xf numFmtId="9" fontId="0" fillId="2" borderId="1" xfId="1" applyFont="1" applyFill="1" applyBorder="1"/>
    <xf numFmtId="9" fontId="0" fillId="21" borderId="1" xfId="1" applyFont="1" applyFill="1" applyBorder="1"/>
    <xf numFmtId="164" fontId="0" fillId="0" borderId="1" xfId="1" applyNumberFormat="1" applyFont="1" applyBorder="1"/>
    <xf numFmtId="164" fontId="0" fillId="2" borderId="1" xfId="1" applyNumberFormat="1" applyFont="1" applyFill="1" applyBorder="1"/>
    <xf numFmtId="9" fontId="0" fillId="21" borderId="1" xfId="1" applyFont="1" applyFill="1" applyBorder="1" applyAlignment="1"/>
    <xf numFmtId="164" fontId="0" fillId="0" borderId="1" xfId="0" applyNumberFormat="1" applyBorder="1"/>
    <xf numFmtId="0" fontId="0" fillId="0" borderId="1" xfId="1" applyNumberFormat="1" applyFont="1" applyBorder="1"/>
    <xf numFmtId="0" fontId="0" fillId="0" borderId="1" xfId="1" applyNumberFormat="1" applyFont="1" applyFill="1" applyBorder="1"/>
    <xf numFmtId="1" fontId="0" fillId="0" borderId="1" xfId="1" applyNumberFormat="1" applyFont="1" applyBorder="1"/>
    <xf numFmtId="0" fontId="0" fillId="21" borderId="0" xfId="0" applyFill="1" applyAlignment="1">
      <alignment wrapText="1"/>
    </xf>
    <xf numFmtId="0" fontId="0" fillId="2" borderId="0" xfId="0" applyFill="1" applyAlignment="1">
      <alignment wrapText="1"/>
    </xf>
    <xf numFmtId="0" fontId="0" fillId="20" borderId="0" xfId="0" applyFill="1" applyAlignment="1">
      <alignment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22" borderId="1" xfId="0" applyFont="1" applyFill="1" applyBorder="1" applyAlignment="1">
      <alignment horizontal="right" wrapText="1"/>
    </xf>
    <xf numFmtId="2" fontId="0" fillId="22" borderId="1" xfId="0" applyNumberFormat="1" applyFill="1" applyBorder="1"/>
    <xf numFmtId="0" fontId="0" fillId="22" borderId="1" xfId="0" applyFill="1" applyBorder="1"/>
    <xf numFmtId="0" fontId="3" fillId="20" borderId="1" xfId="0" applyFont="1" applyFill="1" applyBorder="1" applyAlignment="1">
      <alignment horizontal="right" wrapText="1"/>
    </xf>
    <xf numFmtId="2" fontId="0" fillId="2" borderId="1" xfId="0" applyNumberFormat="1" applyFill="1" applyBorder="1"/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/>
    <xf numFmtId="0" fontId="0" fillId="20" borderId="1" xfId="0" applyFill="1" applyBorder="1"/>
    <xf numFmtId="0" fontId="0" fillId="21" borderId="7" xfId="0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0" fillId="20" borderId="7" xfId="0" applyFill="1" applyBorder="1" applyAlignment="1">
      <alignment wrapText="1"/>
    </xf>
    <xf numFmtId="164" fontId="0" fillId="0" borderId="1" xfId="1" applyNumberFormat="1" applyFont="1" applyFill="1" applyBorder="1"/>
    <xf numFmtId="9" fontId="0" fillId="0" borderId="1" xfId="1" applyFont="1" applyFill="1" applyBorder="1"/>
    <xf numFmtId="0" fontId="0" fillId="14" borderId="1" xfId="0" applyFill="1" applyBorder="1"/>
    <xf numFmtId="0" fontId="0" fillId="23" borderId="1" xfId="0" applyFill="1" applyBorder="1"/>
    <xf numFmtId="10" fontId="0" fillId="0" borderId="0" xfId="1" applyNumberFormat="1" applyFont="1"/>
    <xf numFmtId="9" fontId="0" fillId="17" borderId="1" xfId="1" applyFont="1" applyFill="1" applyBorder="1"/>
    <xf numFmtId="0" fontId="0" fillId="17" borderId="1" xfId="0" applyFill="1" applyBorder="1"/>
    <xf numFmtId="9" fontId="0" fillId="25" borderId="1" xfId="1" applyFont="1" applyFill="1" applyBorder="1"/>
    <xf numFmtId="0" fontId="0" fillId="25" borderId="1" xfId="0" applyFill="1" applyBorder="1"/>
    <xf numFmtId="0" fontId="0" fillId="26" borderId="1" xfId="0" applyFill="1" applyBorder="1"/>
    <xf numFmtId="2" fontId="0" fillId="8" borderId="4" xfId="1" applyNumberFormat="1" applyFont="1" applyFill="1" applyBorder="1"/>
    <xf numFmtId="9" fontId="0" fillId="11" borderId="4" xfId="1" applyFont="1" applyFill="1" applyBorder="1"/>
    <xf numFmtId="9" fontId="0" fillId="0" borderId="4" xfId="1" applyFont="1" applyBorder="1"/>
    <xf numFmtId="10" fontId="0" fillId="0" borderId="1" xfId="0" applyNumberFormat="1" applyBorder="1"/>
    <xf numFmtId="9" fontId="0" fillId="0" borderId="1" xfId="0" applyNumberFormat="1" applyBorder="1" applyAlignment="1">
      <alignment wrapText="1"/>
    </xf>
    <xf numFmtId="22" fontId="0" fillId="0" borderId="1" xfId="0" applyNumberFormat="1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9" fontId="0" fillId="0" borderId="1" xfId="0" applyNumberFormat="1" applyBorder="1"/>
    <xf numFmtId="2" fontId="0" fillId="0" borderId="1" xfId="1" applyNumberFormat="1" applyFont="1" applyFill="1" applyBorder="1"/>
    <xf numFmtId="2" fontId="0" fillId="0" borderId="1" xfId="1" applyNumberFormat="1" applyFont="1" applyBorder="1"/>
    <xf numFmtId="10" fontId="0" fillId="0" borderId="0" xfId="1" applyNumberFormat="1" applyFont="1" applyFill="1"/>
    <xf numFmtId="164" fontId="0" fillId="24" borderId="1" xfId="1" applyNumberFormat="1" applyFont="1" applyFill="1" applyBorder="1"/>
    <xf numFmtId="10" fontId="0" fillId="5" borderId="1" xfId="0" applyNumberFormat="1" applyFill="1" applyBorder="1"/>
    <xf numFmtId="9" fontId="0" fillId="9" borderId="4" xfId="1" applyFont="1" applyFill="1" applyBorder="1"/>
    <xf numFmtId="10" fontId="0" fillId="11" borderId="1" xfId="0" applyNumberFormat="1" applyFill="1" applyBorder="1"/>
    <xf numFmtId="9" fontId="0" fillId="21" borderId="1" xfId="0" applyNumberFormat="1" applyFill="1" applyBorder="1"/>
    <xf numFmtId="9" fontId="0" fillId="20" borderId="1" xfId="0" applyNumberFormat="1" applyFill="1" applyBorder="1"/>
    <xf numFmtId="9" fontId="0" fillId="2" borderId="1" xfId="0" applyNumberFormat="1" applyFill="1" applyBorder="1"/>
    <xf numFmtId="1" fontId="0" fillId="0" borderId="1" xfId="0" applyNumberFormat="1" applyBorder="1"/>
    <xf numFmtId="0" fontId="0" fillId="2" borderId="0" xfId="0" applyFill="1"/>
    <xf numFmtId="0" fontId="0" fillId="22" borderId="7" xfId="0" applyFill="1" applyBorder="1"/>
    <xf numFmtId="0" fontId="0" fillId="22" borderId="0" xfId="0" applyFill="1"/>
    <xf numFmtId="0" fontId="0" fillId="22" borderId="3" xfId="0" applyFill="1" applyBorder="1"/>
    <xf numFmtId="0" fontId="0" fillId="2" borderId="3" xfId="0" applyFill="1" applyBorder="1"/>
    <xf numFmtId="0" fontId="0" fillId="20" borderId="3" xfId="0" applyFill="1" applyBorder="1"/>
    <xf numFmtId="0" fontId="0" fillId="20" borderId="7" xfId="0" applyFill="1" applyBorder="1"/>
    <xf numFmtId="0" fontId="3" fillId="0" borderId="0" xfId="0" applyFont="1" applyAlignment="1">
      <alignment wrapText="1"/>
    </xf>
    <xf numFmtId="0" fontId="0" fillId="0" borderId="5" xfId="0" applyBorder="1"/>
    <xf numFmtId="9" fontId="0" fillId="26" borderId="1" xfId="1" applyFont="1" applyFill="1" applyBorder="1"/>
    <xf numFmtId="1" fontId="0" fillId="0" borderId="0" xfId="1" applyNumberFormat="1" applyFont="1"/>
    <xf numFmtId="9" fontId="0" fillId="4" borderId="1" xfId="1" applyFont="1" applyFill="1" applyBorder="1"/>
    <xf numFmtId="9" fontId="0" fillId="6" borderId="1" xfId="1" applyFont="1" applyFill="1" applyBorder="1"/>
    <xf numFmtId="165" fontId="0" fillId="26" borderId="1" xfId="1" applyNumberFormat="1" applyFont="1" applyFill="1" applyBorder="1"/>
    <xf numFmtId="10" fontId="0" fillId="0" borderId="1" xfId="0" applyNumberFormat="1" applyBorder="1" applyAlignment="1">
      <alignment wrapText="1"/>
    </xf>
    <xf numFmtId="164" fontId="0" fillId="5" borderId="1" xfId="0" applyNumberFormat="1" applyFill="1" applyBorder="1" applyAlignment="1">
      <alignment wrapText="1"/>
    </xf>
    <xf numFmtId="10" fontId="0" fillId="5" borderId="1" xfId="0" applyNumberFormat="1" applyFill="1" applyBorder="1" applyAlignment="1">
      <alignment wrapText="1"/>
    </xf>
    <xf numFmtId="0" fontId="0" fillId="11" borderId="1" xfId="1" applyNumberFormat="1" applyFont="1" applyFill="1" applyBorder="1"/>
    <xf numFmtId="0" fontId="0" fillId="9" borderId="1" xfId="1" applyNumberFormat="1" applyFont="1" applyFill="1" applyBorder="1"/>
    <xf numFmtId="0" fontId="0" fillId="13" borderId="1" xfId="0" applyFill="1" applyBorder="1"/>
    <xf numFmtId="164" fontId="0" fillId="13" borderId="1" xfId="1" applyNumberFormat="1" applyFont="1" applyFill="1" applyBorder="1" applyAlignment="1">
      <alignment horizontal="center" vertical="center"/>
    </xf>
    <xf numFmtId="164" fontId="0" fillId="13" borderId="1" xfId="1" applyNumberFormat="1" applyFont="1" applyFill="1" applyBorder="1" applyAlignment="1">
      <alignment horizontal="center"/>
    </xf>
    <xf numFmtId="164" fontId="0" fillId="13" borderId="4" xfId="1" applyNumberFormat="1" applyFont="1" applyFill="1" applyBorder="1"/>
    <xf numFmtId="10" fontId="0" fillId="13" borderId="1" xfId="0" applyNumberFormat="1" applyFill="1" applyBorder="1"/>
    <xf numFmtId="9" fontId="0" fillId="13" borderId="4" xfId="1" applyFont="1" applyFill="1" applyBorder="1"/>
    <xf numFmtId="0" fontId="0" fillId="13" borderId="1" xfId="1" applyNumberFormat="1" applyFont="1" applyFill="1" applyBorder="1"/>
    <xf numFmtId="10" fontId="0" fillId="5" borderId="7" xfId="0" applyNumberFormat="1" applyFill="1" applyBorder="1"/>
    <xf numFmtId="0" fontId="0" fillId="27" borderId="1" xfId="0" applyFill="1" applyBorder="1"/>
    <xf numFmtId="9" fontId="1" fillId="0" borderId="1" xfId="0" applyNumberFormat="1" applyFont="1" applyBorder="1" applyAlignment="1">
      <alignment wrapText="1"/>
    </xf>
    <xf numFmtId="164" fontId="0" fillId="0" borderId="1" xfId="0" applyNumberFormat="1" applyBorder="1" applyAlignment="1">
      <alignment wrapText="1"/>
    </xf>
    <xf numFmtId="2" fontId="0" fillId="0" borderId="1" xfId="0" applyNumberFormat="1" applyBorder="1"/>
    <xf numFmtId="0" fontId="0" fillId="0" borderId="3" xfId="0" applyBorder="1" applyAlignment="1">
      <alignment wrapText="1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0" fillId="28" borderId="0" xfId="0" applyFill="1"/>
    <xf numFmtId="0" fontId="1" fillId="28" borderId="0" xfId="0" applyFont="1" applyFill="1"/>
    <xf numFmtId="0" fontId="0" fillId="4" borderId="0" xfId="0" applyFill="1"/>
    <xf numFmtId="0" fontId="1" fillId="4" borderId="0" xfId="0" applyFont="1" applyFill="1"/>
    <xf numFmtId="0" fontId="1" fillId="29" borderId="0" xfId="0" applyFont="1" applyFill="1"/>
    <xf numFmtId="0" fontId="0" fillId="14" borderId="1" xfId="0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wrapText="1"/>
    </xf>
    <xf numFmtId="49" fontId="0" fillId="0" borderId="1" xfId="0" applyNumberFormat="1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2" xfId="0" applyBorder="1"/>
    <xf numFmtId="0" fontId="0" fillId="0" borderId="0" xfId="0" applyAlignment="1">
      <alignment horizontal="center"/>
    </xf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99CC"/>
      <color rgb="FFC59EE2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54864</xdr:colOff>
      <xdr:row>6</xdr:row>
      <xdr:rowOff>0</xdr:rowOff>
    </xdr:from>
    <xdr:ext cx="6156325" cy="9525"/>
    <xdr:sp macro="" textlink="">
      <xdr:nvSpPr>
        <xdr:cNvPr id="2" name="Shape 33">
          <a:extLst>
            <a:ext uri="{FF2B5EF4-FFF2-40B4-BE49-F238E27FC236}">
              <a16:creationId xmlns:a16="http://schemas.microsoft.com/office/drawing/2014/main" id="{91E078D2-3519-493B-B8C7-1C2E70D56193}"/>
            </a:ext>
          </a:extLst>
        </xdr:cNvPr>
        <xdr:cNvSpPr/>
      </xdr:nvSpPr>
      <xdr:spPr>
        <a:xfrm>
          <a:off x="54864" y="2276475"/>
          <a:ext cx="6156325" cy="9525"/>
        </a:xfrm>
        <a:custGeom>
          <a:avLst/>
          <a:gdLst/>
          <a:ahLst/>
          <a:cxnLst/>
          <a:rect l="0" t="0" r="0" b="0"/>
          <a:pathLst>
            <a:path w="6156325" h="9525">
              <a:moveTo>
                <a:pt x="6156185" y="0"/>
              </a:moveTo>
              <a:lnTo>
                <a:pt x="5538089" y="0"/>
              </a:lnTo>
              <a:lnTo>
                <a:pt x="4924806" y="0"/>
              </a:lnTo>
              <a:lnTo>
                <a:pt x="2459990" y="0"/>
              </a:lnTo>
              <a:lnTo>
                <a:pt x="0" y="0"/>
              </a:lnTo>
              <a:lnTo>
                <a:pt x="0" y="9525"/>
              </a:lnTo>
              <a:lnTo>
                <a:pt x="2464816" y="9525"/>
              </a:lnTo>
              <a:lnTo>
                <a:pt x="4924806" y="9525"/>
              </a:lnTo>
              <a:lnTo>
                <a:pt x="5542915" y="9525"/>
              </a:lnTo>
              <a:lnTo>
                <a:pt x="6156185" y="9525"/>
              </a:lnTo>
              <a:lnTo>
                <a:pt x="6156185" y="0"/>
              </a:lnTo>
              <a:close/>
            </a:path>
          </a:pathLst>
        </a:custGeom>
        <a:solidFill>
          <a:srgbClr val="E5E5E5"/>
        </a:solidFill>
      </xdr:spPr>
    </xdr:sp>
    <xdr:clientData/>
  </xdr:oneCellAnchor>
  <xdr:oneCellAnchor>
    <xdr:from>
      <xdr:col>0</xdr:col>
      <xdr:colOff>54864</xdr:colOff>
      <xdr:row>6</xdr:row>
      <xdr:rowOff>0</xdr:rowOff>
    </xdr:from>
    <xdr:ext cx="6156325" cy="9525"/>
    <xdr:sp macro="" textlink="">
      <xdr:nvSpPr>
        <xdr:cNvPr id="3" name="Shape 35">
          <a:extLst>
            <a:ext uri="{FF2B5EF4-FFF2-40B4-BE49-F238E27FC236}">
              <a16:creationId xmlns:a16="http://schemas.microsoft.com/office/drawing/2014/main" id="{B6149CA8-5A25-4AE1-B2F3-039E0B5D1201}"/>
            </a:ext>
          </a:extLst>
        </xdr:cNvPr>
        <xdr:cNvSpPr/>
      </xdr:nvSpPr>
      <xdr:spPr>
        <a:xfrm>
          <a:off x="54864" y="2276475"/>
          <a:ext cx="6156325" cy="9525"/>
        </a:xfrm>
        <a:custGeom>
          <a:avLst/>
          <a:gdLst/>
          <a:ahLst/>
          <a:cxnLst/>
          <a:rect l="0" t="0" r="0" b="0"/>
          <a:pathLst>
            <a:path w="6156325" h="9525">
              <a:moveTo>
                <a:pt x="6156185" y="0"/>
              </a:moveTo>
              <a:lnTo>
                <a:pt x="5538089" y="0"/>
              </a:lnTo>
              <a:lnTo>
                <a:pt x="4924806" y="0"/>
              </a:lnTo>
              <a:lnTo>
                <a:pt x="2459990" y="0"/>
              </a:lnTo>
              <a:lnTo>
                <a:pt x="0" y="0"/>
              </a:lnTo>
              <a:lnTo>
                <a:pt x="0" y="9525"/>
              </a:lnTo>
              <a:lnTo>
                <a:pt x="2464816" y="9525"/>
              </a:lnTo>
              <a:lnTo>
                <a:pt x="4924806" y="9525"/>
              </a:lnTo>
              <a:lnTo>
                <a:pt x="5542915" y="9525"/>
              </a:lnTo>
              <a:lnTo>
                <a:pt x="6156185" y="9525"/>
              </a:lnTo>
              <a:lnTo>
                <a:pt x="6156185" y="0"/>
              </a:lnTo>
              <a:close/>
            </a:path>
          </a:pathLst>
        </a:custGeom>
        <a:solidFill>
          <a:srgbClr val="E5E5E5"/>
        </a:solidFill>
      </xdr:spPr>
    </xdr:sp>
    <xdr:clientData/>
  </xdr:oneCellAnchor>
  <xdr:oneCellAnchor>
    <xdr:from>
      <xdr:col>0</xdr:col>
      <xdr:colOff>54864</xdr:colOff>
      <xdr:row>6</xdr:row>
      <xdr:rowOff>0</xdr:rowOff>
    </xdr:from>
    <xdr:ext cx="6156325" cy="9525"/>
    <xdr:sp macro="" textlink="">
      <xdr:nvSpPr>
        <xdr:cNvPr id="4" name="Shape 36">
          <a:extLst>
            <a:ext uri="{FF2B5EF4-FFF2-40B4-BE49-F238E27FC236}">
              <a16:creationId xmlns:a16="http://schemas.microsoft.com/office/drawing/2014/main" id="{0294AD6D-BDB3-40C2-BE03-8C04D6B97BB3}"/>
            </a:ext>
          </a:extLst>
        </xdr:cNvPr>
        <xdr:cNvSpPr/>
      </xdr:nvSpPr>
      <xdr:spPr>
        <a:xfrm>
          <a:off x="54864" y="2276475"/>
          <a:ext cx="6156325" cy="9525"/>
        </a:xfrm>
        <a:custGeom>
          <a:avLst/>
          <a:gdLst/>
          <a:ahLst/>
          <a:cxnLst/>
          <a:rect l="0" t="0" r="0" b="0"/>
          <a:pathLst>
            <a:path w="6156325" h="9525">
              <a:moveTo>
                <a:pt x="6156185" y="0"/>
              </a:moveTo>
              <a:lnTo>
                <a:pt x="5538089" y="0"/>
              </a:lnTo>
              <a:lnTo>
                <a:pt x="4924806" y="0"/>
              </a:lnTo>
              <a:lnTo>
                <a:pt x="2459990" y="0"/>
              </a:lnTo>
              <a:lnTo>
                <a:pt x="0" y="0"/>
              </a:lnTo>
              <a:lnTo>
                <a:pt x="0" y="9525"/>
              </a:lnTo>
              <a:lnTo>
                <a:pt x="2464816" y="9525"/>
              </a:lnTo>
              <a:lnTo>
                <a:pt x="4924806" y="9525"/>
              </a:lnTo>
              <a:lnTo>
                <a:pt x="5542915" y="9525"/>
              </a:lnTo>
              <a:lnTo>
                <a:pt x="6156185" y="9525"/>
              </a:lnTo>
              <a:lnTo>
                <a:pt x="6156185" y="0"/>
              </a:lnTo>
              <a:close/>
            </a:path>
          </a:pathLst>
        </a:custGeom>
        <a:solidFill>
          <a:srgbClr val="E5E5E5"/>
        </a:solidFill>
      </xdr:spPr>
    </xdr:sp>
    <xdr:clientData/>
  </xdr:oneCellAnchor>
  <xdr:oneCellAnchor>
    <xdr:from>
      <xdr:col>0</xdr:col>
      <xdr:colOff>54864</xdr:colOff>
      <xdr:row>12</xdr:row>
      <xdr:rowOff>0</xdr:rowOff>
    </xdr:from>
    <xdr:ext cx="6156325" cy="9525"/>
    <xdr:sp macro="" textlink="">
      <xdr:nvSpPr>
        <xdr:cNvPr id="5" name="Shape 38">
          <a:extLst>
            <a:ext uri="{FF2B5EF4-FFF2-40B4-BE49-F238E27FC236}">
              <a16:creationId xmlns:a16="http://schemas.microsoft.com/office/drawing/2014/main" id="{F548EFB8-739D-4200-BA34-995AD430753A}"/>
            </a:ext>
          </a:extLst>
        </xdr:cNvPr>
        <xdr:cNvSpPr/>
      </xdr:nvSpPr>
      <xdr:spPr>
        <a:xfrm>
          <a:off x="54864" y="4562475"/>
          <a:ext cx="6156325" cy="9525"/>
        </a:xfrm>
        <a:custGeom>
          <a:avLst/>
          <a:gdLst/>
          <a:ahLst/>
          <a:cxnLst/>
          <a:rect l="0" t="0" r="0" b="0"/>
          <a:pathLst>
            <a:path w="6156325" h="9525">
              <a:moveTo>
                <a:pt x="6156185" y="0"/>
              </a:moveTo>
              <a:lnTo>
                <a:pt x="5538089" y="0"/>
              </a:lnTo>
              <a:lnTo>
                <a:pt x="4924806" y="0"/>
              </a:lnTo>
              <a:lnTo>
                <a:pt x="2459990" y="0"/>
              </a:lnTo>
              <a:lnTo>
                <a:pt x="0" y="0"/>
              </a:lnTo>
              <a:lnTo>
                <a:pt x="0" y="9525"/>
              </a:lnTo>
              <a:lnTo>
                <a:pt x="2464816" y="9525"/>
              </a:lnTo>
              <a:lnTo>
                <a:pt x="4924806" y="9525"/>
              </a:lnTo>
              <a:lnTo>
                <a:pt x="5542915" y="9525"/>
              </a:lnTo>
              <a:lnTo>
                <a:pt x="6156185" y="9525"/>
              </a:lnTo>
              <a:lnTo>
                <a:pt x="6156185" y="0"/>
              </a:lnTo>
              <a:close/>
            </a:path>
          </a:pathLst>
        </a:custGeom>
        <a:solidFill>
          <a:srgbClr val="E5E5E5"/>
        </a:solidFill>
      </xdr:spPr>
    </xdr:sp>
    <xdr:clientData/>
  </xdr:oneCellAnchor>
  <xdr:oneCellAnchor>
    <xdr:from>
      <xdr:col>0</xdr:col>
      <xdr:colOff>0</xdr:colOff>
      <xdr:row>12</xdr:row>
      <xdr:rowOff>0</xdr:rowOff>
    </xdr:from>
    <xdr:ext cx="6156325" cy="9525"/>
    <xdr:sp macro="" textlink="">
      <xdr:nvSpPr>
        <xdr:cNvPr id="6" name="Shape 40">
          <a:extLst>
            <a:ext uri="{FF2B5EF4-FFF2-40B4-BE49-F238E27FC236}">
              <a16:creationId xmlns:a16="http://schemas.microsoft.com/office/drawing/2014/main" id="{2BFDD218-0C33-4872-9ABD-BCDBFA2CDEE6}"/>
            </a:ext>
          </a:extLst>
        </xdr:cNvPr>
        <xdr:cNvSpPr/>
      </xdr:nvSpPr>
      <xdr:spPr>
        <a:xfrm>
          <a:off x="0" y="4562475"/>
          <a:ext cx="6156325" cy="9525"/>
        </a:xfrm>
        <a:custGeom>
          <a:avLst/>
          <a:gdLst/>
          <a:ahLst/>
          <a:cxnLst/>
          <a:rect l="0" t="0" r="0" b="0"/>
          <a:pathLst>
            <a:path w="6156325" h="9525">
              <a:moveTo>
                <a:pt x="6156185" y="0"/>
              </a:moveTo>
              <a:lnTo>
                <a:pt x="5538089" y="0"/>
              </a:lnTo>
              <a:lnTo>
                <a:pt x="4924806" y="0"/>
              </a:lnTo>
              <a:lnTo>
                <a:pt x="2459990" y="0"/>
              </a:lnTo>
              <a:lnTo>
                <a:pt x="0" y="0"/>
              </a:lnTo>
              <a:lnTo>
                <a:pt x="0" y="9525"/>
              </a:lnTo>
              <a:lnTo>
                <a:pt x="2464816" y="9525"/>
              </a:lnTo>
              <a:lnTo>
                <a:pt x="4924806" y="9525"/>
              </a:lnTo>
              <a:lnTo>
                <a:pt x="5542915" y="9525"/>
              </a:lnTo>
              <a:lnTo>
                <a:pt x="6156185" y="9525"/>
              </a:lnTo>
              <a:lnTo>
                <a:pt x="6156185" y="0"/>
              </a:lnTo>
              <a:close/>
            </a:path>
          </a:pathLst>
        </a:custGeom>
        <a:solidFill>
          <a:srgbClr val="E5E5E5"/>
        </a:solidFill>
      </xdr:spPr>
    </xdr:sp>
    <xdr:clientData/>
  </xdr:oneCellAnchor>
  <xdr:oneCellAnchor>
    <xdr:from>
      <xdr:col>0</xdr:col>
      <xdr:colOff>0</xdr:colOff>
      <xdr:row>12</xdr:row>
      <xdr:rowOff>0</xdr:rowOff>
    </xdr:from>
    <xdr:ext cx="6156325" cy="9525"/>
    <xdr:sp macro="" textlink="">
      <xdr:nvSpPr>
        <xdr:cNvPr id="7" name="Shape 42">
          <a:extLst>
            <a:ext uri="{FF2B5EF4-FFF2-40B4-BE49-F238E27FC236}">
              <a16:creationId xmlns:a16="http://schemas.microsoft.com/office/drawing/2014/main" id="{1435D0AC-7737-4AAB-A75E-76E378F0E07C}"/>
            </a:ext>
          </a:extLst>
        </xdr:cNvPr>
        <xdr:cNvSpPr/>
      </xdr:nvSpPr>
      <xdr:spPr>
        <a:xfrm>
          <a:off x="0" y="4562475"/>
          <a:ext cx="6156325" cy="9525"/>
        </a:xfrm>
        <a:custGeom>
          <a:avLst/>
          <a:gdLst/>
          <a:ahLst/>
          <a:cxnLst/>
          <a:rect l="0" t="0" r="0" b="0"/>
          <a:pathLst>
            <a:path w="6156325" h="9525">
              <a:moveTo>
                <a:pt x="6156185" y="0"/>
              </a:moveTo>
              <a:lnTo>
                <a:pt x="5538089" y="0"/>
              </a:lnTo>
              <a:lnTo>
                <a:pt x="4924806" y="0"/>
              </a:lnTo>
              <a:lnTo>
                <a:pt x="2459990" y="0"/>
              </a:lnTo>
              <a:lnTo>
                <a:pt x="0" y="0"/>
              </a:lnTo>
              <a:lnTo>
                <a:pt x="0" y="9525"/>
              </a:lnTo>
              <a:lnTo>
                <a:pt x="2464816" y="9525"/>
              </a:lnTo>
              <a:lnTo>
                <a:pt x="4924806" y="9525"/>
              </a:lnTo>
              <a:lnTo>
                <a:pt x="5542915" y="9525"/>
              </a:lnTo>
              <a:lnTo>
                <a:pt x="6156185" y="9525"/>
              </a:lnTo>
              <a:lnTo>
                <a:pt x="6156185" y="0"/>
              </a:lnTo>
              <a:close/>
            </a:path>
          </a:pathLst>
        </a:custGeom>
        <a:solidFill>
          <a:srgbClr val="E5E5E5"/>
        </a:solidFill>
      </xdr:spPr>
    </xdr:sp>
    <xdr:clientData/>
  </xdr:oneCellAnchor>
  <xdr:oneCellAnchor>
    <xdr:from>
      <xdr:col>0</xdr:col>
      <xdr:colOff>0</xdr:colOff>
      <xdr:row>17</xdr:row>
      <xdr:rowOff>0</xdr:rowOff>
    </xdr:from>
    <xdr:ext cx="6156325" cy="9525"/>
    <xdr:sp macro="" textlink="">
      <xdr:nvSpPr>
        <xdr:cNvPr id="8" name="Shape 43">
          <a:extLst>
            <a:ext uri="{FF2B5EF4-FFF2-40B4-BE49-F238E27FC236}">
              <a16:creationId xmlns:a16="http://schemas.microsoft.com/office/drawing/2014/main" id="{10ECBE11-BF29-4608-A952-7296F7175672}"/>
            </a:ext>
          </a:extLst>
        </xdr:cNvPr>
        <xdr:cNvSpPr/>
      </xdr:nvSpPr>
      <xdr:spPr>
        <a:xfrm>
          <a:off x="0" y="6467475"/>
          <a:ext cx="6156325" cy="9525"/>
        </a:xfrm>
        <a:custGeom>
          <a:avLst/>
          <a:gdLst/>
          <a:ahLst/>
          <a:cxnLst/>
          <a:rect l="0" t="0" r="0" b="0"/>
          <a:pathLst>
            <a:path w="6156325" h="9525">
              <a:moveTo>
                <a:pt x="6156185" y="0"/>
              </a:moveTo>
              <a:lnTo>
                <a:pt x="5538089" y="0"/>
              </a:lnTo>
              <a:lnTo>
                <a:pt x="4924806" y="0"/>
              </a:lnTo>
              <a:lnTo>
                <a:pt x="2459990" y="0"/>
              </a:lnTo>
              <a:lnTo>
                <a:pt x="0" y="0"/>
              </a:lnTo>
              <a:lnTo>
                <a:pt x="0" y="9525"/>
              </a:lnTo>
              <a:lnTo>
                <a:pt x="2464816" y="9525"/>
              </a:lnTo>
              <a:lnTo>
                <a:pt x="4924806" y="9525"/>
              </a:lnTo>
              <a:lnTo>
                <a:pt x="5542915" y="9525"/>
              </a:lnTo>
              <a:lnTo>
                <a:pt x="6156185" y="9525"/>
              </a:lnTo>
              <a:lnTo>
                <a:pt x="6156185" y="0"/>
              </a:lnTo>
              <a:close/>
            </a:path>
          </a:pathLst>
        </a:custGeom>
        <a:solidFill>
          <a:srgbClr val="E5E5E5"/>
        </a:solidFill>
      </xdr:spPr>
    </xdr:sp>
    <xdr:clientData/>
  </xdr:oneCellAnchor>
  <xdr:oneCellAnchor>
    <xdr:from>
      <xdr:col>0</xdr:col>
      <xdr:colOff>0</xdr:colOff>
      <xdr:row>17</xdr:row>
      <xdr:rowOff>0</xdr:rowOff>
    </xdr:from>
    <xdr:ext cx="6156325" cy="9525"/>
    <xdr:sp macro="" textlink="">
      <xdr:nvSpPr>
        <xdr:cNvPr id="9" name="Shape 45">
          <a:extLst>
            <a:ext uri="{FF2B5EF4-FFF2-40B4-BE49-F238E27FC236}">
              <a16:creationId xmlns:a16="http://schemas.microsoft.com/office/drawing/2014/main" id="{91627780-CE41-44E2-A7B5-492BC30AA2C0}"/>
            </a:ext>
          </a:extLst>
        </xdr:cNvPr>
        <xdr:cNvSpPr/>
      </xdr:nvSpPr>
      <xdr:spPr>
        <a:xfrm>
          <a:off x="0" y="6467475"/>
          <a:ext cx="6156325" cy="9525"/>
        </a:xfrm>
        <a:custGeom>
          <a:avLst/>
          <a:gdLst/>
          <a:ahLst/>
          <a:cxnLst/>
          <a:rect l="0" t="0" r="0" b="0"/>
          <a:pathLst>
            <a:path w="6156325" h="9525">
              <a:moveTo>
                <a:pt x="6156185" y="0"/>
              </a:moveTo>
              <a:lnTo>
                <a:pt x="5538089" y="0"/>
              </a:lnTo>
              <a:lnTo>
                <a:pt x="4924806" y="0"/>
              </a:lnTo>
              <a:lnTo>
                <a:pt x="2459990" y="0"/>
              </a:lnTo>
              <a:lnTo>
                <a:pt x="0" y="0"/>
              </a:lnTo>
              <a:lnTo>
                <a:pt x="0" y="9525"/>
              </a:lnTo>
              <a:lnTo>
                <a:pt x="2464816" y="9525"/>
              </a:lnTo>
              <a:lnTo>
                <a:pt x="4924806" y="9525"/>
              </a:lnTo>
              <a:lnTo>
                <a:pt x="5542915" y="9525"/>
              </a:lnTo>
              <a:lnTo>
                <a:pt x="6156185" y="9525"/>
              </a:lnTo>
              <a:lnTo>
                <a:pt x="6156185" y="0"/>
              </a:lnTo>
              <a:close/>
            </a:path>
          </a:pathLst>
        </a:custGeom>
        <a:solidFill>
          <a:srgbClr val="E5E5E5"/>
        </a:solidFill>
      </xdr:spPr>
    </xdr:sp>
    <xdr:clientData/>
  </xdr:oneCellAnchor>
  <xdr:oneCellAnchor>
    <xdr:from>
      <xdr:col>0</xdr:col>
      <xdr:colOff>0</xdr:colOff>
      <xdr:row>17</xdr:row>
      <xdr:rowOff>0</xdr:rowOff>
    </xdr:from>
    <xdr:ext cx="6156325" cy="9525"/>
    <xdr:sp macro="" textlink="">
      <xdr:nvSpPr>
        <xdr:cNvPr id="10" name="Shape 46">
          <a:extLst>
            <a:ext uri="{FF2B5EF4-FFF2-40B4-BE49-F238E27FC236}">
              <a16:creationId xmlns:a16="http://schemas.microsoft.com/office/drawing/2014/main" id="{2766D8E6-2529-40DD-AB5A-3E924EEA9F99}"/>
            </a:ext>
          </a:extLst>
        </xdr:cNvPr>
        <xdr:cNvSpPr/>
      </xdr:nvSpPr>
      <xdr:spPr>
        <a:xfrm>
          <a:off x="0" y="6467475"/>
          <a:ext cx="6156325" cy="9525"/>
        </a:xfrm>
        <a:custGeom>
          <a:avLst/>
          <a:gdLst/>
          <a:ahLst/>
          <a:cxnLst/>
          <a:rect l="0" t="0" r="0" b="0"/>
          <a:pathLst>
            <a:path w="6156325" h="9525">
              <a:moveTo>
                <a:pt x="6156185" y="0"/>
              </a:moveTo>
              <a:lnTo>
                <a:pt x="5538089" y="0"/>
              </a:lnTo>
              <a:lnTo>
                <a:pt x="4924806" y="0"/>
              </a:lnTo>
              <a:lnTo>
                <a:pt x="2459990" y="0"/>
              </a:lnTo>
              <a:lnTo>
                <a:pt x="0" y="0"/>
              </a:lnTo>
              <a:lnTo>
                <a:pt x="0" y="9525"/>
              </a:lnTo>
              <a:lnTo>
                <a:pt x="2464816" y="9525"/>
              </a:lnTo>
              <a:lnTo>
                <a:pt x="4924806" y="9525"/>
              </a:lnTo>
              <a:lnTo>
                <a:pt x="5542915" y="9525"/>
              </a:lnTo>
              <a:lnTo>
                <a:pt x="6156185" y="9525"/>
              </a:lnTo>
              <a:lnTo>
                <a:pt x="6156185" y="0"/>
              </a:lnTo>
              <a:close/>
            </a:path>
          </a:pathLst>
        </a:custGeom>
        <a:solidFill>
          <a:srgbClr val="E5E5E5"/>
        </a:solidFill>
      </xdr:spPr>
    </xdr:sp>
    <xdr:clientData/>
  </xdr:oneCellAnchor>
  <xdr:oneCellAnchor>
    <xdr:from>
      <xdr:col>0</xdr:col>
      <xdr:colOff>0</xdr:colOff>
      <xdr:row>17</xdr:row>
      <xdr:rowOff>0</xdr:rowOff>
    </xdr:from>
    <xdr:ext cx="6156325" cy="9525"/>
    <xdr:sp macro="" textlink="">
      <xdr:nvSpPr>
        <xdr:cNvPr id="11" name="Shape 47">
          <a:extLst>
            <a:ext uri="{FF2B5EF4-FFF2-40B4-BE49-F238E27FC236}">
              <a16:creationId xmlns:a16="http://schemas.microsoft.com/office/drawing/2014/main" id="{9ABF6D66-B97A-48C2-BD49-1EA7B5065194}"/>
            </a:ext>
          </a:extLst>
        </xdr:cNvPr>
        <xdr:cNvSpPr/>
      </xdr:nvSpPr>
      <xdr:spPr>
        <a:xfrm>
          <a:off x="0" y="6467475"/>
          <a:ext cx="6156325" cy="9525"/>
        </a:xfrm>
        <a:custGeom>
          <a:avLst/>
          <a:gdLst/>
          <a:ahLst/>
          <a:cxnLst/>
          <a:rect l="0" t="0" r="0" b="0"/>
          <a:pathLst>
            <a:path w="6156325" h="9525">
              <a:moveTo>
                <a:pt x="6156185" y="0"/>
              </a:moveTo>
              <a:lnTo>
                <a:pt x="5538089" y="0"/>
              </a:lnTo>
              <a:lnTo>
                <a:pt x="4924806" y="0"/>
              </a:lnTo>
              <a:lnTo>
                <a:pt x="2459990" y="0"/>
              </a:lnTo>
              <a:lnTo>
                <a:pt x="0" y="0"/>
              </a:lnTo>
              <a:lnTo>
                <a:pt x="0" y="9525"/>
              </a:lnTo>
              <a:lnTo>
                <a:pt x="2464816" y="9525"/>
              </a:lnTo>
              <a:lnTo>
                <a:pt x="4924806" y="9525"/>
              </a:lnTo>
              <a:lnTo>
                <a:pt x="5542915" y="9525"/>
              </a:lnTo>
              <a:lnTo>
                <a:pt x="6156185" y="9525"/>
              </a:lnTo>
              <a:lnTo>
                <a:pt x="6156185" y="0"/>
              </a:lnTo>
              <a:close/>
            </a:path>
          </a:pathLst>
        </a:custGeom>
        <a:solidFill>
          <a:srgbClr val="E5E5E5"/>
        </a:solidFill>
      </xdr:spPr>
    </xdr:sp>
    <xdr:clientData/>
  </xdr:oneCellAnchor>
  <xdr:oneCellAnchor>
    <xdr:from>
      <xdr:col>0</xdr:col>
      <xdr:colOff>0</xdr:colOff>
      <xdr:row>23</xdr:row>
      <xdr:rowOff>0</xdr:rowOff>
    </xdr:from>
    <xdr:ext cx="6156325" cy="9525"/>
    <xdr:sp macro="" textlink="">
      <xdr:nvSpPr>
        <xdr:cNvPr id="12" name="Shape 49">
          <a:extLst>
            <a:ext uri="{FF2B5EF4-FFF2-40B4-BE49-F238E27FC236}">
              <a16:creationId xmlns:a16="http://schemas.microsoft.com/office/drawing/2014/main" id="{45E09ABA-D7C7-4D29-8CF9-FC6CD86EBDB9}"/>
            </a:ext>
          </a:extLst>
        </xdr:cNvPr>
        <xdr:cNvSpPr/>
      </xdr:nvSpPr>
      <xdr:spPr>
        <a:xfrm>
          <a:off x="0" y="8753475"/>
          <a:ext cx="6156325" cy="9525"/>
        </a:xfrm>
        <a:custGeom>
          <a:avLst/>
          <a:gdLst/>
          <a:ahLst/>
          <a:cxnLst/>
          <a:rect l="0" t="0" r="0" b="0"/>
          <a:pathLst>
            <a:path w="6156325" h="9525">
              <a:moveTo>
                <a:pt x="6156185" y="0"/>
              </a:moveTo>
              <a:lnTo>
                <a:pt x="5538089" y="0"/>
              </a:lnTo>
              <a:lnTo>
                <a:pt x="4924806" y="0"/>
              </a:lnTo>
              <a:lnTo>
                <a:pt x="2459990" y="0"/>
              </a:lnTo>
              <a:lnTo>
                <a:pt x="0" y="0"/>
              </a:lnTo>
              <a:lnTo>
                <a:pt x="0" y="9525"/>
              </a:lnTo>
              <a:lnTo>
                <a:pt x="2464816" y="9525"/>
              </a:lnTo>
              <a:lnTo>
                <a:pt x="4924806" y="9525"/>
              </a:lnTo>
              <a:lnTo>
                <a:pt x="5542915" y="9525"/>
              </a:lnTo>
              <a:lnTo>
                <a:pt x="6156185" y="9525"/>
              </a:lnTo>
              <a:lnTo>
                <a:pt x="6156185" y="0"/>
              </a:lnTo>
              <a:close/>
            </a:path>
          </a:pathLst>
        </a:custGeom>
        <a:solidFill>
          <a:srgbClr val="E5E5E5"/>
        </a:solidFill>
      </xdr:spPr>
    </xdr:sp>
    <xdr:clientData/>
  </xdr:oneCellAnchor>
  <xdr:oneCellAnchor>
    <xdr:from>
      <xdr:col>0</xdr:col>
      <xdr:colOff>0</xdr:colOff>
      <xdr:row>23</xdr:row>
      <xdr:rowOff>0</xdr:rowOff>
    </xdr:from>
    <xdr:ext cx="6156325" cy="9525"/>
    <xdr:sp macro="" textlink="">
      <xdr:nvSpPr>
        <xdr:cNvPr id="13" name="Shape 51">
          <a:extLst>
            <a:ext uri="{FF2B5EF4-FFF2-40B4-BE49-F238E27FC236}">
              <a16:creationId xmlns:a16="http://schemas.microsoft.com/office/drawing/2014/main" id="{D4B49CE9-F808-41CF-A3CF-E80F00864FFC}"/>
            </a:ext>
          </a:extLst>
        </xdr:cNvPr>
        <xdr:cNvSpPr/>
      </xdr:nvSpPr>
      <xdr:spPr>
        <a:xfrm>
          <a:off x="0" y="8753475"/>
          <a:ext cx="6156325" cy="9525"/>
        </a:xfrm>
        <a:custGeom>
          <a:avLst/>
          <a:gdLst/>
          <a:ahLst/>
          <a:cxnLst/>
          <a:rect l="0" t="0" r="0" b="0"/>
          <a:pathLst>
            <a:path w="6156325" h="9525">
              <a:moveTo>
                <a:pt x="6156185" y="0"/>
              </a:moveTo>
              <a:lnTo>
                <a:pt x="5538089" y="0"/>
              </a:lnTo>
              <a:lnTo>
                <a:pt x="4924806" y="0"/>
              </a:lnTo>
              <a:lnTo>
                <a:pt x="2459990" y="0"/>
              </a:lnTo>
              <a:lnTo>
                <a:pt x="0" y="0"/>
              </a:lnTo>
              <a:lnTo>
                <a:pt x="0" y="9525"/>
              </a:lnTo>
              <a:lnTo>
                <a:pt x="2464816" y="9525"/>
              </a:lnTo>
              <a:lnTo>
                <a:pt x="4924806" y="9525"/>
              </a:lnTo>
              <a:lnTo>
                <a:pt x="5542915" y="9525"/>
              </a:lnTo>
              <a:lnTo>
                <a:pt x="6156185" y="9525"/>
              </a:lnTo>
              <a:lnTo>
                <a:pt x="6156185" y="0"/>
              </a:lnTo>
              <a:close/>
            </a:path>
          </a:pathLst>
        </a:custGeom>
        <a:solidFill>
          <a:srgbClr val="E5E5E5"/>
        </a:solidFill>
      </xdr:spPr>
    </xdr:sp>
    <xdr:clientData/>
  </xdr:oneCellAnchor>
  <xdr:oneCellAnchor>
    <xdr:from>
      <xdr:col>0</xdr:col>
      <xdr:colOff>0</xdr:colOff>
      <xdr:row>27</xdr:row>
      <xdr:rowOff>0</xdr:rowOff>
    </xdr:from>
    <xdr:ext cx="6156325" cy="9525"/>
    <xdr:sp macro="" textlink="">
      <xdr:nvSpPr>
        <xdr:cNvPr id="14" name="Shape 53">
          <a:extLst>
            <a:ext uri="{FF2B5EF4-FFF2-40B4-BE49-F238E27FC236}">
              <a16:creationId xmlns:a16="http://schemas.microsoft.com/office/drawing/2014/main" id="{47DC9317-5D5F-43BD-9BD1-45AA50F378D3}"/>
            </a:ext>
          </a:extLst>
        </xdr:cNvPr>
        <xdr:cNvSpPr/>
      </xdr:nvSpPr>
      <xdr:spPr>
        <a:xfrm>
          <a:off x="0" y="10277475"/>
          <a:ext cx="6156325" cy="9525"/>
        </a:xfrm>
        <a:custGeom>
          <a:avLst/>
          <a:gdLst/>
          <a:ahLst/>
          <a:cxnLst/>
          <a:rect l="0" t="0" r="0" b="0"/>
          <a:pathLst>
            <a:path w="6156325" h="9525">
              <a:moveTo>
                <a:pt x="6156185" y="0"/>
              </a:moveTo>
              <a:lnTo>
                <a:pt x="5538089" y="0"/>
              </a:lnTo>
              <a:lnTo>
                <a:pt x="4924806" y="0"/>
              </a:lnTo>
              <a:lnTo>
                <a:pt x="2459990" y="0"/>
              </a:lnTo>
              <a:lnTo>
                <a:pt x="0" y="0"/>
              </a:lnTo>
              <a:lnTo>
                <a:pt x="0" y="9525"/>
              </a:lnTo>
              <a:lnTo>
                <a:pt x="2464816" y="9525"/>
              </a:lnTo>
              <a:lnTo>
                <a:pt x="4924806" y="9525"/>
              </a:lnTo>
              <a:lnTo>
                <a:pt x="5542915" y="9525"/>
              </a:lnTo>
              <a:lnTo>
                <a:pt x="6156185" y="9525"/>
              </a:lnTo>
              <a:lnTo>
                <a:pt x="6156185" y="0"/>
              </a:lnTo>
              <a:close/>
            </a:path>
          </a:pathLst>
        </a:custGeom>
        <a:solidFill>
          <a:srgbClr val="E5E5E5"/>
        </a:solidFill>
      </xdr:spPr>
    </xdr:sp>
    <xdr:clientData/>
  </xdr:oneCellAnchor>
  <xdr:oneCellAnchor>
    <xdr:from>
      <xdr:col>0</xdr:col>
      <xdr:colOff>0</xdr:colOff>
      <xdr:row>27</xdr:row>
      <xdr:rowOff>0</xdr:rowOff>
    </xdr:from>
    <xdr:ext cx="6156325" cy="9525"/>
    <xdr:sp macro="" textlink="">
      <xdr:nvSpPr>
        <xdr:cNvPr id="15" name="Shape 56">
          <a:extLst>
            <a:ext uri="{FF2B5EF4-FFF2-40B4-BE49-F238E27FC236}">
              <a16:creationId xmlns:a16="http://schemas.microsoft.com/office/drawing/2014/main" id="{5886F758-A748-4332-89E0-EEEDD6B2A296}"/>
            </a:ext>
          </a:extLst>
        </xdr:cNvPr>
        <xdr:cNvSpPr/>
      </xdr:nvSpPr>
      <xdr:spPr>
        <a:xfrm>
          <a:off x="0" y="10277475"/>
          <a:ext cx="6156325" cy="9525"/>
        </a:xfrm>
        <a:custGeom>
          <a:avLst/>
          <a:gdLst/>
          <a:ahLst/>
          <a:cxnLst/>
          <a:rect l="0" t="0" r="0" b="0"/>
          <a:pathLst>
            <a:path w="6156325" h="9525">
              <a:moveTo>
                <a:pt x="6156185" y="0"/>
              </a:moveTo>
              <a:lnTo>
                <a:pt x="5538089" y="0"/>
              </a:lnTo>
              <a:lnTo>
                <a:pt x="4924806" y="0"/>
              </a:lnTo>
              <a:lnTo>
                <a:pt x="2459990" y="0"/>
              </a:lnTo>
              <a:lnTo>
                <a:pt x="0" y="0"/>
              </a:lnTo>
              <a:lnTo>
                <a:pt x="0" y="9525"/>
              </a:lnTo>
              <a:lnTo>
                <a:pt x="2464816" y="9525"/>
              </a:lnTo>
              <a:lnTo>
                <a:pt x="4924806" y="9525"/>
              </a:lnTo>
              <a:lnTo>
                <a:pt x="5542915" y="9525"/>
              </a:lnTo>
              <a:lnTo>
                <a:pt x="6156185" y="9525"/>
              </a:lnTo>
              <a:lnTo>
                <a:pt x="6156185" y="0"/>
              </a:lnTo>
              <a:close/>
            </a:path>
          </a:pathLst>
        </a:custGeom>
        <a:solidFill>
          <a:srgbClr val="E5E5E5"/>
        </a:solidFill>
      </xdr:spPr>
    </xdr:sp>
    <xdr:clientData/>
  </xdr:oneCellAnchor>
  <xdr:oneCellAnchor>
    <xdr:from>
      <xdr:col>0</xdr:col>
      <xdr:colOff>0</xdr:colOff>
      <xdr:row>32</xdr:row>
      <xdr:rowOff>0</xdr:rowOff>
    </xdr:from>
    <xdr:ext cx="6156325" cy="9525"/>
    <xdr:sp macro="" textlink="">
      <xdr:nvSpPr>
        <xdr:cNvPr id="16" name="Shape 58">
          <a:extLst>
            <a:ext uri="{FF2B5EF4-FFF2-40B4-BE49-F238E27FC236}">
              <a16:creationId xmlns:a16="http://schemas.microsoft.com/office/drawing/2014/main" id="{2C948D94-2686-4B7C-89F6-59A865732926}"/>
            </a:ext>
          </a:extLst>
        </xdr:cNvPr>
        <xdr:cNvSpPr/>
      </xdr:nvSpPr>
      <xdr:spPr>
        <a:xfrm>
          <a:off x="0" y="12182475"/>
          <a:ext cx="6156325" cy="9525"/>
        </a:xfrm>
        <a:custGeom>
          <a:avLst/>
          <a:gdLst/>
          <a:ahLst/>
          <a:cxnLst/>
          <a:rect l="0" t="0" r="0" b="0"/>
          <a:pathLst>
            <a:path w="6156325" h="9525">
              <a:moveTo>
                <a:pt x="6156185" y="0"/>
              </a:moveTo>
              <a:lnTo>
                <a:pt x="5538089" y="0"/>
              </a:lnTo>
              <a:lnTo>
                <a:pt x="4924806" y="0"/>
              </a:lnTo>
              <a:lnTo>
                <a:pt x="2459990" y="0"/>
              </a:lnTo>
              <a:lnTo>
                <a:pt x="0" y="0"/>
              </a:lnTo>
              <a:lnTo>
                <a:pt x="0" y="9525"/>
              </a:lnTo>
              <a:lnTo>
                <a:pt x="2464816" y="9525"/>
              </a:lnTo>
              <a:lnTo>
                <a:pt x="4924806" y="9525"/>
              </a:lnTo>
              <a:lnTo>
                <a:pt x="5542915" y="9525"/>
              </a:lnTo>
              <a:lnTo>
                <a:pt x="6156185" y="9525"/>
              </a:lnTo>
              <a:lnTo>
                <a:pt x="6156185" y="0"/>
              </a:lnTo>
              <a:close/>
            </a:path>
          </a:pathLst>
        </a:custGeom>
        <a:solidFill>
          <a:srgbClr val="E5E5E5"/>
        </a:solidFill>
      </xdr:spPr>
    </xdr:sp>
    <xdr:clientData/>
  </xdr:oneCellAnchor>
  <xdr:oneCellAnchor>
    <xdr:from>
      <xdr:col>0</xdr:col>
      <xdr:colOff>0</xdr:colOff>
      <xdr:row>33</xdr:row>
      <xdr:rowOff>0</xdr:rowOff>
    </xdr:from>
    <xdr:ext cx="6156325" cy="9525"/>
    <xdr:sp macro="" textlink="">
      <xdr:nvSpPr>
        <xdr:cNvPr id="17" name="Shape 59">
          <a:extLst>
            <a:ext uri="{FF2B5EF4-FFF2-40B4-BE49-F238E27FC236}">
              <a16:creationId xmlns:a16="http://schemas.microsoft.com/office/drawing/2014/main" id="{440A2549-A09E-4395-9A80-FE78E089097D}"/>
            </a:ext>
          </a:extLst>
        </xdr:cNvPr>
        <xdr:cNvSpPr/>
      </xdr:nvSpPr>
      <xdr:spPr>
        <a:xfrm>
          <a:off x="0" y="12563475"/>
          <a:ext cx="6156325" cy="9525"/>
        </a:xfrm>
        <a:custGeom>
          <a:avLst/>
          <a:gdLst/>
          <a:ahLst/>
          <a:cxnLst/>
          <a:rect l="0" t="0" r="0" b="0"/>
          <a:pathLst>
            <a:path w="6156325" h="9525">
              <a:moveTo>
                <a:pt x="6156185" y="0"/>
              </a:moveTo>
              <a:lnTo>
                <a:pt x="5538089" y="0"/>
              </a:lnTo>
              <a:lnTo>
                <a:pt x="4924806" y="0"/>
              </a:lnTo>
              <a:lnTo>
                <a:pt x="2459990" y="0"/>
              </a:lnTo>
              <a:lnTo>
                <a:pt x="0" y="0"/>
              </a:lnTo>
              <a:lnTo>
                <a:pt x="0" y="9525"/>
              </a:lnTo>
              <a:lnTo>
                <a:pt x="2464816" y="9525"/>
              </a:lnTo>
              <a:lnTo>
                <a:pt x="4924806" y="9525"/>
              </a:lnTo>
              <a:lnTo>
                <a:pt x="5542915" y="9525"/>
              </a:lnTo>
              <a:lnTo>
                <a:pt x="6156185" y="9525"/>
              </a:lnTo>
              <a:lnTo>
                <a:pt x="6156185" y="0"/>
              </a:lnTo>
              <a:close/>
            </a:path>
          </a:pathLst>
        </a:custGeom>
        <a:solidFill>
          <a:srgbClr val="E5E5E5"/>
        </a:solidFill>
      </xdr:spPr>
    </xdr:sp>
    <xdr:clientData/>
  </xdr:oneCellAnchor>
  <xdr:oneCellAnchor>
    <xdr:from>
      <xdr:col>0</xdr:col>
      <xdr:colOff>0</xdr:colOff>
      <xdr:row>33</xdr:row>
      <xdr:rowOff>0</xdr:rowOff>
    </xdr:from>
    <xdr:ext cx="6156325" cy="9525"/>
    <xdr:sp macro="" textlink="">
      <xdr:nvSpPr>
        <xdr:cNvPr id="18" name="Shape 60">
          <a:extLst>
            <a:ext uri="{FF2B5EF4-FFF2-40B4-BE49-F238E27FC236}">
              <a16:creationId xmlns:a16="http://schemas.microsoft.com/office/drawing/2014/main" id="{2BB57505-6C7D-4389-A609-E78FE9FFC5FA}"/>
            </a:ext>
          </a:extLst>
        </xdr:cNvPr>
        <xdr:cNvSpPr/>
      </xdr:nvSpPr>
      <xdr:spPr>
        <a:xfrm>
          <a:off x="0" y="12563475"/>
          <a:ext cx="6156325" cy="9525"/>
        </a:xfrm>
        <a:custGeom>
          <a:avLst/>
          <a:gdLst/>
          <a:ahLst/>
          <a:cxnLst/>
          <a:rect l="0" t="0" r="0" b="0"/>
          <a:pathLst>
            <a:path w="6156325" h="9525">
              <a:moveTo>
                <a:pt x="6156185" y="0"/>
              </a:moveTo>
              <a:lnTo>
                <a:pt x="5538089" y="0"/>
              </a:lnTo>
              <a:lnTo>
                <a:pt x="4924806" y="0"/>
              </a:lnTo>
              <a:lnTo>
                <a:pt x="2459990" y="0"/>
              </a:lnTo>
              <a:lnTo>
                <a:pt x="0" y="0"/>
              </a:lnTo>
              <a:lnTo>
                <a:pt x="0" y="9525"/>
              </a:lnTo>
              <a:lnTo>
                <a:pt x="2464816" y="9525"/>
              </a:lnTo>
              <a:lnTo>
                <a:pt x="4924806" y="9525"/>
              </a:lnTo>
              <a:lnTo>
                <a:pt x="5542915" y="9525"/>
              </a:lnTo>
              <a:lnTo>
                <a:pt x="6156185" y="9525"/>
              </a:lnTo>
              <a:lnTo>
                <a:pt x="6156185" y="0"/>
              </a:lnTo>
              <a:close/>
            </a:path>
          </a:pathLst>
        </a:custGeom>
        <a:solidFill>
          <a:srgbClr val="E5E5E5"/>
        </a:solidFill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82321-FDC7-450F-95C1-A2898D24F99A}">
  <dimension ref="A1:E36"/>
  <sheetViews>
    <sheetView workbookViewId="0">
      <selection activeCell="A40" sqref="A40"/>
    </sheetView>
  </sheetViews>
  <sheetFormatPr defaultRowHeight="30" customHeight="1" x14ac:dyDescent="0.25"/>
  <cols>
    <col min="1" max="1" width="79.42578125" style="165" customWidth="1"/>
    <col min="2" max="5" width="9.140625" style="163"/>
  </cols>
  <sheetData>
    <row r="1" spans="1:5" ht="30" customHeight="1" x14ac:dyDescent="0.25">
      <c r="A1" s="164"/>
      <c r="B1" s="156" t="s">
        <v>352</v>
      </c>
      <c r="C1" s="156" t="s">
        <v>351</v>
      </c>
      <c r="D1" s="156" t="s">
        <v>350</v>
      </c>
      <c r="E1" s="156" t="s">
        <v>347</v>
      </c>
    </row>
    <row r="2" spans="1:5" s="7" customFormat="1" ht="30" customHeight="1" x14ac:dyDescent="0.25">
      <c r="A2" s="157" t="s">
        <v>442</v>
      </c>
      <c r="B2" s="157">
        <v>2.92</v>
      </c>
      <c r="C2" s="158">
        <v>3.07</v>
      </c>
      <c r="D2" s="158">
        <v>2.89</v>
      </c>
      <c r="E2" s="158">
        <v>3.28</v>
      </c>
    </row>
    <row r="3" spans="1:5" ht="30" customHeight="1" x14ac:dyDescent="0.25">
      <c r="A3" s="159" t="s">
        <v>443</v>
      </c>
      <c r="B3" s="159">
        <v>3</v>
      </c>
      <c r="C3" s="160">
        <v>2.86</v>
      </c>
      <c r="D3" s="160">
        <v>2.73</v>
      </c>
      <c r="E3" s="160">
        <v>3.44</v>
      </c>
    </row>
    <row r="4" spans="1:5" ht="30" customHeight="1" x14ac:dyDescent="0.25">
      <c r="A4" s="159" t="s">
        <v>444</v>
      </c>
      <c r="B4" s="159">
        <v>3.17</v>
      </c>
      <c r="C4" s="160">
        <v>3.29</v>
      </c>
      <c r="D4" s="160">
        <v>3.36</v>
      </c>
      <c r="E4" s="160">
        <v>3.33</v>
      </c>
    </row>
    <row r="5" spans="1:5" ht="30" customHeight="1" x14ac:dyDescent="0.25">
      <c r="A5" s="159" t="s">
        <v>445</v>
      </c>
      <c r="B5" s="159">
        <v>3</v>
      </c>
      <c r="C5" s="160">
        <v>3.43</v>
      </c>
      <c r="D5" s="160">
        <v>2.82</v>
      </c>
      <c r="E5" s="160">
        <v>3.44</v>
      </c>
    </row>
    <row r="6" spans="1:5" ht="30" customHeight="1" x14ac:dyDescent="0.25">
      <c r="A6" s="159" t="s">
        <v>446</v>
      </c>
      <c r="B6" s="159">
        <v>2.5</v>
      </c>
      <c r="C6" s="160">
        <v>2.71</v>
      </c>
      <c r="D6" s="160">
        <v>2.64</v>
      </c>
      <c r="E6" s="160">
        <v>2.89</v>
      </c>
    </row>
    <row r="7" spans="1:5" s="7" customFormat="1" ht="30" customHeight="1" x14ac:dyDescent="0.25">
      <c r="A7" s="161" t="s">
        <v>447</v>
      </c>
      <c r="B7" s="161">
        <v>2.5</v>
      </c>
      <c r="C7" s="158">
        <v>2.8</v>
      </c>
      <c r="D7" s="158">
        <v>2.62</v>
      </c>
      <c r="E7" s="158">
        <v>3.11</v>
      </c>
    </row>
    <row r="8" spans="1:5" ht="30" customHeight="1" x14ac:dyDescent="0.25">
      <c r="A8" s="162" t="s">
        <v>448</v>
      </c>
      <c r="B8" s="162">
        <v>2.67</v>
      </c>
      <c r="C8" s="160">
        <v>2.57</v>
      </c>
      <c r="D8" s="160">
        <v>2.4500000000000002</v>
      </c>
      <c r="E8" s="160">
        <v>2.78</v>
      </c>
    </row>
    <row r="9" spans="1:5" ht="30" customHeight="1" x14ac:dyDescent="0.25">
      <c r="A9" s="162" t="s">
        <v>449</v>
      </c>
      <c r="B9" s="162">
        <v>2.83</v>
      </c>
      <c r="C9" s="160">
        <v>2.86</v>
      </c>
      <c r="D9" s="160">
        <v>2.82</v>
      </c>
      <c r="E9" s="160">
        <v>3.22</v>
      </c>
    </row>
    <row r="10" spans="1:5" ht="30" customHeight="1" x14ac:dyDescent="0.25">
      <c r="A10" s="162" t="s">
        <v>450</v>
      </c>
      <c r="B10" s="162">
        <v>2.17</v>
      </c>
      <c r="C10" s="160">
        <v>2.71</v>
      </c>
      <c r="D10" s="160">
        <v>2.27</v>
      </c>
      <c r="E10" s="160">
        <v>3</v>
      </c>
    </row>
    <row r="11" spans="1:5" ht="30" customHeight="1" x14ac:dyDescent="0.25">
      <c r="A11" s="162" t="s">
        <v>451</v>
      </c>
      <c r="B11" s="162">
        <v>2.5</v>
      </c>
      <c r="C11" s="160">
        <v>3.14</v>
      </c>
      <c r="D11" s="160">
        <v>3</v>
      </c>
      <c r="E11" s="160">
        <v>3.22</v>
      </c>
    </row>
    <row r="12" spans="1:5" ht="30" customHeight="1" x14ac:dyDescent="0.25">
      <c r="A12" s="162" t="s">
        <v>452</v>
      </c>
      <c r="B12" s="162">
        <v>2.33</v>
      </c>
      <c r="C12" s="160">
        <v>2.71</v>
      </c>
      <c r="D12" s="160">
        <v>2.5499999999999998</v>
      </c>
      <c r="E12" s="160">
        <v>3.33</v>
      </c>
    </row>
    <row r="13" spans="1:5" s="7" customFormat="1" ht="30" customHeight="1" x14ac:dyDescent="0.25">
      <c r="A13" s="157" t="s">
        <v>453</v>
      </c>
      <c r="B13" s="157">
        <v>2.96</v>
      </c>
      <c r="C13" s="158">
        <v>3.07</v>
      </c>
      <c r="D13" s="158">
        <v>3.02</v>
      </c>
      <c r="E13" s="158">
        <v>3.67</v>
      </c>
    </row>
    <row r="14" spans="1:5" ht="30" customHeight="1" x14ac:dyDescent="0.25">
      <c r="A14" s="159" t="s">
        <v>454</v>
      </c>
      <c r="B14" s="159">
        <v>2.83</v>
      </c>
      <c r="C14" s="160">
        <v>3</v>
      </c>
      <c r="D14" s="160">
        <v>2.82</v>
      </c>
      <c r="E14" s="160">
        <v>3.56</v>
      </c>
    </row>
    <row r="15" spans="1:5" ht="30" customHeight="1" x14ac:dyDescent="0.25">
      <c r="A15" s="159" t="s">
        <v>455</v>
      </c>
      <c r="B15" s="159">
        <v>3.17</v>
      </c>
      <c r="C15" s="160">
        <v>3.14</v>
      </c>
      <c r="D15" s="160">
        <v>2.91</v>
      </c>
      <c r="E15" s="160">
        <v>3.78</v>
      </c>
    </row>
    <row r="16" spans="1:5" ht="30" customHeight="1" x14ac:dyDescent="0.25">
      <c r="A16" s="159" t="s">
        <v>456</v>
      </c>
      <c r="B16" s="159">
        <v>3</v>
      </c>
      <c r="C16" s="160">
        <v>3</v>
      </c>
      <c r="D16" s="160">
        <v>3.18</v>
      </c>
      <c r="E16" s="160">
        <v>3.56</v>
      </c>
    </row>
    <row r="17" spans="1:5" ht="30" customHeight="1" x14ac:dyDescent="0.25">
      <c r="A17" s="159" t="s">
        <v>457</v>
      </c>
      <c r="B17" s="159">
        <v>2.83</v>
      </c>
      <c r="C17" s="160">
        <v>3.14</v>
      </c>
      <c r="D17" s="160">
        <v>3.18</v>
      </c>
      <c r="E17" s="160">
        <v>3.78</v>
      </c>
    </row>
    <row r="18" spans="1:5" ht="30" customHeight="1" x14ac:dyDescent="0.25">
      <c r="A18" s="161" t="s">
        <v>458</v>
      </c>
      <c r="B18" s="162">
        <v>2.75</v>
      </c>
      <c r="C18" s="160">
        <v>3.14</v>
      </c>
      <c r="D18" s="160">
        <v>2.73</v>
      </c>
      <c r="E18" s="160">
        <v>3.25</v>
      </c>
    </row>
    <row r="19" spans="1:5" ht="30" customHeight="1" x14ac:dyDescent="0.25">
      <c r="A19" s="162" t="s">
        <v>459</v>
      </c>
      <c r="B19" s="162">
        <v>2.5</v>
      </c>
      <c r="C19" s="160">
        <v>3.14</v>
      </c>
      <c r="D19" s="160">
        <v>2.64</v>
      </c>
      <c r="E19" s="160">
        <v>3.33</v>
      </c>
    </row>
    <row r="20" spans="1:5" ht="30" customHeight="1" x14ac:dyDescent="0.25">
      <c r="A20" s="162" t="s">
        <v>460</v>
      </c>
      <c r="B20" s="162">
        <v>2.67</v>
      </c>
      <c r="C20" s="160">
        <v>3.14</v>
      </c>
      <c r="D20" s="160">
        <v>2.7</v>
      </c>
      <c r="E20" s="160">
        <v>3.33</v>
      </c>
    </row>
    <row r="21" spans="1:5" ht="30" customHeight="1" x14ac:dyDescent="0.25">
      <c r="A21" s="162" t="s">
        <v>461</v>
      </c>
      <c r="B21" s="162">
        <v>2.83</v>
      </c>
      <c r="C21" s="160">
        <v>3.14</v>
      </c>
      <c r="D21" s="160">
        <v>2.73</v>
      </c>
      <c r="E21" s="160">
        <v>3.22</v>
      </c>
    </row>
    <row r="22" spans="1:5" ht="30" customHeight="1" x14ac:dyDescent="0.25">
      <c r="A22" s="162" t="s">
        <v>462</v>
      </c>
      <c r="B22" s="162">
        <v>3</v>
      </c>
      <c r="C22" s="160">
        <v>3.14</v>
      </c>
      <c r="D22" s="160">
        <v>2.82</v>
      </c>
      <c r="E22" s="160">
        <v>3.11</v>
      </c>
    </row>
    <row r="23" spans="1:5" s="7" customFormat="1" ht="30" customHeight="1" x14ac:dyDescent="0.25">
      <c r="A23" s="161" t="s">
        <v>463</v>
      </c>
      <c r="B23" s="161">
        <v>2.67</v>
      </c>
      <c r="C23" s="158">
        <v>2.89</v>
      </c>
      <c r="D23" s="158">
        <v>3</v>
      </c>
      <c r="E23" s="158">
        <v>3.11</v>
      </c>
    </row>
    <row r="24" spans="1:5" ht="30" customHeight="1" x14ac:dyDescent="0.25">
      <c r="A24" s="159" t="s">
        <v>464</v>
      </c>
      <c r="B24" s="159">
        <v>2.5</v>
      </c>
      <c r="C24" s="160">
        <v>2.86</v>
      </c>
      <c r="D24" s="160">
        <v>2.82</v>
      </c>
      <c r="E24" s="160">
        <v>3.22</v>
      </c>
    </row>
    <row r="25" spans="1:5" ht="30" customHeight="1" x14ac:dyDescent="0.25">
      <c r="A25" s="159" t="s">
        <v>465</v>
      </c>
      <c r="B25" s="159">
        <v>3</v>
      </c>
      <c r="C25" s="160">
        <v>3.29</v>
      </c>
      <c r="D25" s="160">
        <v>3.36</v>
      </c>
      <c r="E25" s="160">
        <v>3.22</v>
      </c>
    </row>
    <row r="26" spans="1:5" ht="30" customHeight="1" x14ac:dyDescent="0.25">
      <c r="A26" s="159" t="s">
        <v>466</v>
      </c>
      <c r="B26" s="159">
        <v>2.67</v>
      </c>
      <c r="C26" s="160">
        <v>2.71</v>
      </c>
      <c r="D26" s="160">
        <v>2.91</v>
      </c>
      <c r="E26" s="160">
        <v>3.22</v>
      </c>
    </row>
    <row r="27" spans="1:5" ht="30" customHeight="1" x14ac:dyDescent="0.25">
      <c r="A27" s="159" t="s">
        <v>467</v>
      </c>
      <c r="B27" s="159">
        <v>2.5</v>
      </c>
      <c r="C27" s="160">
        <v>2.71</v>
      </c>
      <c r="D27" s="160">
        <v>2.91</v>
      </c>
      <c r="E27" s="160">
        <v>2.78</v>
      </c>
    </row>
    <row r="28" spans="1:5" s="7" customFormat="1" ht="30" customHeight="1" x14ac:dyDescent="0.25">
      <c r="A28" s="161" t="s">
        <v>468</v>
      </c>
      <c r="B28" s="157">
        <v>2.83</v>
      </c>
      <c r="C28" s="158">
        <v>3.21</v>
      </c>
      <c r="D28" s="158">
        <v>2.77</v>
      </c>
      <c r="E28" s="158">
        <v>3.44</v>
      </c>
    </row>
    <row r="29" spans="1:5" ht="30" customHeight="1" x14ac:dyDescent="0.25">
      <c r="A29" s="159" t="s">
        <v>469</v>
      </c>
      <c r="B29" s="159">
        <v>2.83</v>
      </c>
      <c r="C29" s="160">
        <v>3</v>
      </c>
      <c r="D29" s="160">
        <v>2.73</v>
      </c>
      <c r="E29" s="160">
        <v>3.78</v>
      </c>
    </row>
    <row r="30" spans="1:5" ht="30" customHeight="1" x14ac:dyDescent="0.25">
      <c r="A30" s="159" t="s">
        <v>470</v>
      </c>
      <c r="B30" s="159">
        <v>3</v>
      </c>
      <c r="C30" s="160">
        <v>3.29</v>
      </c>
      <c r="D30" s="160">
        <v>2.73</v>
      </c>
      <c r="E30" s="160">
        <v>3.56</v>
      </c>
    </row>
    <row r="31" spans="1:5" ht="30" customHeight="1" x14ac:dyDescent="0.25">
      <c r="A31" s="159" t="s">
        <v>471</v>
      </c>
      <c r="B31" s="159">
        <v>2.67</v>
      </c>
      <c r="C31" s="160">
        <v>3.29</v>
      </c>
      <c r="D31" s="160">
        <v>2.73</v>
      </c>
      <c r="E31" s="160">
        <v>3.44</v>
      </c>
    </row>
    <row r="32" spans="1:5" ht="30" customHeight="1" x14ac:dyDescent="0.25">
      <c r="A32" s="159" t="s">
        <v>472</v>
      </c>
      <c r="B32" s="159">
        <v>2.67</v>
      </c>
      <c r="C32" s="160">
        <v>3.29</v>
      </c>
      <c r="D32" s="160">
        <v>2.91</v>
      </c>
      <c r="E32" s="160">
        <v>3</v>
      </c>
    </row>
    <row r="33" spans="1:5" s="7" customFormat="1" ht="30" customHeight="1" x14ac:dyDescent="0.25">
      <c r="A33" s="161" t="s">
        <v>473</v>
      </c>
      <c r="B33" s="161">
        <v>2.33</v>
      </c>
      <c r="C33" s="158">
        <v>2.38</v>
      </c>
      <c r="D33" s="158">
        <v>2.2400000000000002</v>
      </c>
      <c r="E33" s="158">
        <v>2.7</v>
      </c>
    </row>
    <row r="34" spans="1:5" ht="30" customHeight="1" x14ac:dyDescent="0.25">
      <c r="A34" s="159" t="s">
        <v>474</v>
      </c>
      <c r="B34" s="160">
        <v>2.67</v>
      </c>
      <c r="C34" s="160">
        <v>2.71</v>
      </c>
      <c r="D34" s="160">
        <v>2.27</v>
      </c>
      <c r="E34" s="160">
        <v>2.89</v>
      </c>
    </row>
    <row r="35" spans="1:5" ht="30" customHeight="1" x14ac:dyDescent="0.25">
      <c r="A35" s="159" t="s">
        <v>475</v>
      </c>
      <c r="B35" s="160">
        <v>2.33</v>
      </c>
      <c r="C35" s="160">
        <v>2.14</v>
      </c>
      <c r="D35" s="160">
        <v>2.1800000000000002</v>
      </c>
      <c r="E35" s="160">
        <v>2.78</v>
      </c>
    </row>
    <row r="36" spans="1:5" ht="30" customHeight="1" x14ac:dyDescent="0.25">
      <c r="A36" s="159" t="s">
        <v>476</v>
      </c>
      <c r="B36" s="160">
        <v>2</v>
      </c>
      <c r="C36" s="160">
        <v>2.29</v>
      </c>
      <c r="D36" s="160">
        <v>2.27</v>
      </c>
      <c r="E36" s="160">
        <v>2.44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34"/>
  <sheetViews>
    <sheetView tabSelected="1" workbookViewId="0">
      <selection activeCell="K24" sqref="K24"/>
    </sheetView>
  </sheetViews>
  <sheetFormatPr defaultRowHeight="15" x14ac:dyDescent="0.25"/>
  <cols>
    <col min="1" max="1" width="14.42578125" customWidth="1"/>
    <col min="2" max="2" width="19.5703125" customWidth="1"/>
    <col min="7" max="7" width="12.7109375" customWidth="1"/>
    <col min="8" max="8" width="12.85546875" customWidth="1"/>
    <col min="11" max="11" width="13.28515625" customWidth="1"/>
    <col min="13" max="14" width="12.7109375" customWidth="1"/>
    <col min="16" max="17" width="13.85546875" customWidth="1"/>
    <col min="19" max="20" width="13.42578125" customWidth="1"/>
    <col min="22" max="23" width="12.5703125" customWidth="1"/>
  </cols>
  <sheetData>
    <row r="1" spans="1:23" x14ac:dyDescent="0.25">
      <c r="A1" s="17" t="s">
        <v>91</v>
      </c>
      <c r="B1" s="17" t="s">
        <v>92</v>
      </c>
      <c r="C1" s="48">
        <v>0.24</v>
      </c>
      <c r="D1" s="48">
        <v>0.18</v>
      </c>
      <c r="E1" s="48">
        <f>2/13</f>
        <v>0.15384615384615385</v>
      </c>
      <c r="F1" s="135">
        <v>0.1</v>
      </c>
      <c r="G1" s="112">
        <v>0.13</v>
      </c>
      <c r="H1" s="2"/>
      <c r="I1" s="2"/>
      <c r="K1" s="184" t="s">
        <v>346</v>
      </c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</row>
    <row r="2" spans="1:23" ht="30" x14ac:dyDescent="0.25">
      <c r="A2" s="17"/>
      <c r="B2" s="17" t="s">
        <v>93</v>
      </c>
      <c r="C2" s="48">
        <v>0.41</v>
      </c>
      <c r="D2" s="48">
        <v>0.36</v>
      </c>
      <c r="E2" s="48">
        <f>4/13</f>
        <v>0.30769230769230771</v>
      </c>
      <c r="F2" s="135">
        <v>0.2</v>
      </c>
      <c r="G2" s="2"/>
      <c r="H2" s="2"/>
      <c r="I2" s="2"/>
      <c r="L2" t="s">
        <v>347</v>
      </c>
      <c r="M2" s="14" t="s">
        <v>348</v>
      </c>
      <c r="N2" s="14" t="s">
        <v>349</v>
      </c>
      <c r="O2" t="s">
        <v>350</v>
      </c>
      <c r="P2" s="14" t="s">
        <v>348</v>
      </c>
      <c r="Q2" s="14" t="s">
        <v>349</v>
      </c>
      <c r="R2" t="s">
        <v>351</v>
      </c>
      <c r="S2" s="14" t="s">
        <v>348</v>
      </c>
      <c r="T2" s="14" t="s">
        <v>349</v>
      </c>
      <c r="U2" t="s">
        <v>352</v>
      </c>
      <c r="V2" s="14" t="s">
        <v>348</v>
      </c>
      <c r="W2" s="14" t="s">
        <v>349</v>
      </c>
    </row>
    <row r="3" spans="1:23" x14ac:dyDescent="0.25">
      <c r="A3" s="17"/>
      <c r="B3" s="17" t="s">
        <v>94</v>
      </c>
      <c r="C3" s="48">
        <v>0.35</v>
      </c>
      <c r="D3" s="48">
        <v>0.45</v>
      </c>
      <c r="E3" s="48">
        <f>7/13</f>
        <v>0.53846153846153844</v>
      </c>
      <c r="F3" s="135">
        <v>0.6</v>
      </c>
      <c r="G3" s="2"/>
      <c r="H3" s="2"/>
      <c r="I3" s="2"/>
      <c r="K3" t="s">
        <v>353</v>
      </c>
      <c r="L3" s="44">
        <f>3/11</f>
        <v>0.27272727272727271</v>
      </c>
      <c r="M3" s="44">
        <v>0</v>
      </c>
      <c r="N3" s="44">
        <v>0</v>
      </c>
      <c r="O3" s="44">
        <f>2/13</f>
        <v>0.15384615384615385</v>
      </c>
      <c r="P3" s="44">
        <f>1/2</f>
        <v>0.5</v>
      </c>
      <c r="Q3" s="44">
        <f>1/2</f>
        <v>0.5</v>
      </c>
      <c r="R3" s="44">
        <f>5/11</f>
        <v>0.45454545454545453</v>
      </c>
      <c r="S3" s="44">
        <v>0</v>
      </c>
      <c r="T3" s="44">
        <v>0</v>
      </c>
      <c r="U3" s="44">
        <f>9/17</f>
        <v>0.52941176470588236</v>
      </c>
      <c r="V3" s="44">
        <v>0</v>
      </c>
      <c r="W3" s="44">
        <v>0.25</v>
      </c>
    </row>
    <row r="4" spans="1:23" x14ac:dyDescent="0.25">
      <c r="A4" s="17"/>
      <c r="B4" s="17" t="s">
        <v>70</v>
      </c>
      <c r="C4" s="49">
        <v>15.82</v>
      </c>
      <c r="D4" s="49">
        <v>15.64</v>
      </c>
      <c r="E4" s="17">
        <v>14.8</v>
      </c>
      <c r="F4" s="17">
        <v>14.4</v>
      </c>
      <c r="G4" s="2"/>
      <c r="H4" s="2"/>
      <c r="I4" s="2"/>
      <c r="K4" t="s">
        <v>354</v>
      </c>
      <c r="L4" s="44">
        <f>8/11</f>
        <v>0.72727272727272729</v>
      </c>
      <c r="M4" s="44">
        <f>3/8</f>
        <v>0.375</v>
      </c>
      <c r="N4" s="44">
        <f>1/8</f>
        <v>0.125</v>
      </c>
      <c r="O4" s="44">
        <v>0.85</v>
      </c>
      <c r="P4" s="44">
        <f>5/11</f>
        <v>0.45454545454545453</v>
      </c>
      <c r="Q4" s="44">
        <f>6/11</f>
        <v>0.54545454545454541</v>
      </c>
      <c r="R4" s="44">
        <v>0.55000000000000004</v>
      </c>
      <c r="S4" s="44">
        <f>1/7</f>
        <v>0.14285714285714285</v>
      </c>
      <c r="T4" s="44">
        <f>3/7</f>
        <v>0.42857142857142855</v>
      </c>
      <c r="U4" s="44">
        <v>0.47</v>
      </c>
      <c r="V4" s="44">
        <f>1/9</f>
        <v>0.1111111111111111</v>
      </c>
      <c r="W4" s="44">
        <f>5/9</f>
        <v>0.55555555555555558</v>
      </c>
    </row>
    <row r="5" spans="1:23" x14ac:dyDescent="0.25">
      <c r="A5" s="40" t="s">
        <v>77</v>
      </c>
      <c r="B5" s="40" t="s">
        <v>92</v>
      </c>
      <c r="C5" s="50">
        <v>0.06</v>
      </c>
      <c r="D5" s="50">
        <v>0.09</v>
      </c>
      <c r="E5" s="99">
        <f>2/13</f>
        <v>0.15384615384615385</v>
      </c>
      <c r="F5" s="50">
        <f>3/11</f>
        <v>0.27272727272727271</v>
      </c>
      <c r="G5" s="112">
        <v>0.22</v>
      </c>
      <c r="H5" s="112">
        <v>0.04</v>
      </c>
      <c r="I5" s="112">
        <v>0.21</v>
      </c>
      <c r="L5">
        <v>11</v>
      </c>
      <c r="O5">
        <v>13</v>
      </c>
      <c r="R5">
        <v>11</v>
      </c>
      <c r="U5">
        <v>17</v>
      </c>
    </row>
    <row r="6" spans="1:23" x14ac:dyDescent="0.25">
      <c r="A6" s="40"/>
      <c r="B6" s="40" t="s">
        <v>93</v>
      </c>
      <c r="C6" s="50">
        <v>0.35</v>
      </c>
      <c r="D6" s="50">
        <v>0.36</v>
      </c>
      <c r="E6" s="99">
        <f>5/13</f>
        <v>0.38461538461538464</v>
      </c>
      <c r="F6" s="50">
        <f>2/11</f>
        <v>0.18181818181818182</v>
      </c>
      <c r="G6" s="112"/>
      <c r="H6" s="112"/>
      <c r="I6" s="112"/>
    </row>
    <row r="7" spans="1:23" x14ac:dyDescent="0.25">
      <c r="A7" s="40"/>
      <c r="B7" s="40" t="s">
        <v>94</v>
      </c>
      <c r="C7" s="50">
        <v>0.59</v>
      </c>
      <c r="D7" s="50">
        <v>0.55000000000000004</v>
      </c>
      <c r="E7" s="99">
        <f>6/13</f>
        <v>0.46153846153846156</v>
      </c>
      <c r="F7" s="50">
        <f>6/11</f>
        <v>0.54545454545454541</v>
      </c>
      <c r="G7" s="112"/>
      <c r="H7" s="112"/>
      <c r="I7" s="112"/>
      <c r="K7" s="184" t="s">
        <v>386</v>
      </c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</row>
    <row r="8" spans="1:23" ht="30" x14ac:dyDescent="0.25">
      <c r="A8" s="40"/>
      <c r="B8" s="40" t="s">
        <v>95</v>
      </c>
      <c r="C8" s="51">
        <v>15</v>
      </c>
      <c r="D8" s="51">
        <v>15.45</v>
      </c>
      <c r="E8" s="100">
        <v>15.8</v>
      </c>
      <c r="F8" s="40">
        <v>14.7</v>
      </c>
      <c r="G8" s="2"/>
      <c r="H8" s="2"/>
      <c r="I8" s="2"/>
      <c r="L8" t="s">
        <v>347</v>
      </c>
      <c r="M8" s="14" t="s">
        <v>348</v>
      </c>
      <c r="N8" s="14" t="s">
        <v>349</v>
      </c>
      <c r="O8" t="s">
        <v>350</v>
      </c>
      <c r="P8" s="14" t="s">
        <v>348</v>
      </c>
      <c r="Q8" s="14" t="s">
        <v>349</v>
      </c>
      <c r="R8" t="s">
        <v>351</v>
      </c>
      <c r="S8" s="14" t="s">
        <v>348</v>
      </c>
      <c r="T8" s="14" t="s">
        <v>349</v>
      </c>
      <c r="U8" t="s">
        <v>352</v>
      </c>
      <c r="V8" s="14" t="s">
        <v>348</v>
      </c>
      <c r="W8" s="14" t="s">
        <v>349</v>
      </c>
    </row>
    <row r="9" spans="1:23" x14ac:dyDescent="0.25">
      <c r="A9" s="5" t="s">
        <v>73</v>
      </c>
      <c r="B9" s="5" t="s">
        <v>92</v>
      </c>
      <c r="C9" s="52">
        <v>0.34</v>
      </c>
      <c r="D9" s="52">
        <v>0.27</v>
      </c>
      <c r="E9" s="52">
        <f>2/13</f>
        <v>0.15384615384615385</v>
      </c>
      <c r="F9" s="52">
        <f>1/10</f>
        <v>0.1</v>
      </c>
      <c r="G9" s="112">
        <v>0.19</v>
      </c>
      <c r="H9" s="2"/>
      <c r="I9" s="2"/>
      <c r="K9" t="s">
        <v>80</v>
      </c>
      <c r="L9" s="44">
        <f>1/11</f>
        <v>9.0909090909090912E-2</v>
      </c>
      <c r="M9" s="44">
        <v>0</v>
      </c>
      <c r="N9" s="44">
        <v>0</v>
      </c>
      <c r="O9" s="44">
        <f>2/13</f>
        <v>0.15384615384615385</v>
      </c>
      <c r="P9" s="44">
        <v>0</v>
      </c>
      <c r="Q9" s="44">
        <v>0</v>
      </c>
      <c r="R9" s="44">
        <v>0</v>
      </c>
      <c r="S9" t="s">
        <v>263</v>
      </c>
      <c r="T9" t="s">
        <v>263</v>
      </c>
      <c r="U9" s="44">
        <f>4/17</f>
        <v>0.23529411764705882</v>
      </c>
      <c r="V9" s="44">
        <v>0</v>
      </c>
      <c r="W9" s="44">
        <v>0.25</v>
      </c>
    </row>
    <row r="10" spans="1:23" x14ac:dyDescent="0.25">
      <c r="A10" s="5"/>
      <c r="B10" s="5" t="s">
        <v>93</v>
      </c>
      <c r="C10" s="52">
        <v>0.41</v>
      </c>
      <c r="D10" s="52">
        <v>0.27</v>
      </c>
      <c r="E10" s="52">
        <f>6/13</f>
        <v>0.46153846153846156</v>
      </c>
      <c r="F10" s="52">
        <v>0.4</v>
      </c>
      <c r="G10" s="2"/>
      <c r="H10" s="2"/>
      <c r="I10" s="2"/>
      <c r="K10" t="s">
        <v>355</v>
      </c>
      <c r="L10" s="44">
        <f>10/11</f>
        <v>0.90909090909090906</v>
      </c>
      <c r="M10" s="44">
        <f>3/10</f>
        <v>0.3</v>
      </c>
      <c r="N10" s="44">
        <f>1/10</f>
        <v>0.1</v>
      </c>
      <c r="O10" s="44">
        <f>11/13</f>
        <v>0.84615384615384615</v>
      </c>
      <c r="P10" s="44">
        <f>2/11</f>
        <v>0.18181818181818182</v>
      </c>
      <c r="Q10" s="44">
        <f>2/11</f>
        <v>0.18181818181818182</v>
      </c>
      <c r="R10" s="44">
        <v>1</v>
      </c>
      <c r="S10" s="44">
        <f>1/11</f>
        <v>9.0909090909090912E-2</v>
      </c>
      <c r="T10" s="44">
        <f>3/11</f>
        <v>0.27272727272727271</v>
      </c>
      <c r="U10" s="44">
        <f>13/17</f>
        <v>0.76470588235294112</v>
      </c>
      <c r="V10" s="44">
        <f>1/13</f>
        <v>7.6923076923076927E-2</v>
      </c>
      <c r="W10" s="44">
        <f>6/13</f>
        <v>0.46153846153846156</v>
      </c>
    </row>
    <row r="11" spans="1:23" x14ac:dyDescent="0.25">
      <c r="A11" s="5"/>
      <c r="B11" s="5" t="s">
        <v>94</v>
      </c>
      <c r="C11" s="52">
        <v>0.24</v>
      </c>
      <c r="D11" s="52">
        <v>0.45</v>
      </c>
      <c r="E11" s="52">
        <f>5/13</f>
        <v>0.38461538461538464</v>
      </c>
      <c r="F11" s="52">
        <v>0.5</v>
      </c>
      <c r="G11" s="2"/>
      <c r="H11" s="2"/>
      <c r="I11" s="2"/>
      <c r="L11">
        <v>11</v>
      </c>
      <c r="O11">
        <v>13</v>
      </c>
      <c r="R11">
        <v>11</v>
      </c>
      <c r="U11">
        <v>17</v>
      </c>
    </row>
    <row r="12" spans="1:23" x14ac:dyDescent="0.25">
      <c r="A12" s="5"/>
      <c r="B12" s="5" t="s">
        <v>70</v>
      </c>
      <c r="C12" s="53">
        <v>16.940000000000001</v>
      </c>
      <c r="D12" s="53">
        <v>16</v>
      </c>
      <c r="E12" s="5">
        <v>14.8</v>
      </c>
      <c r="F12" s="5">
        <v>14.5</v>
      </c>
      <c r="G12" s="2"/>
      <c r="H12" s="2"/>
      <c r="I12" s="2"/>
    </row>
    <row r="13" spans="1:23" x14ac:dyDescent="0.25">
      <c r="A13" s="21" t="s">
        <v>96</v>
      </c>
      <c r="B13" s="21" t="s">
        <v>92</v>
      </c>
      <c r="C13" s="54">
        <v>0.24</v>
      </c>
      <c r="D13" s="54">
        <v>0.18</v>
      </c>
      <c r="E13" s="54">
        <v>0.15</v>
      </c>
      <c r="F13" s="54">
        <v>0.1</v>
      </c>
      <c r="G13" s="2"/>
      <c r="H13" s="2"/>
      <c r="I13" s="2"/>
    </row>
    <row r="14" spans="1:23" x14ac:dyDescent="0.25">
      <c r="A14" s="21"/>
      <c r="B14" s="21" t="s">
        <v>93</v>
      </c>
      <c r="C14" s="54">
        <v>0.47</v>
      </c>
      <c r="D14" s="54">
        <v>0.45</v>
      </c>
      <c r="E14" s="54">
        <f>7/13</f>
        <v>0.53846153846153844</v>
      </c>
      <c r="F14" s="54">
        <v>0.3</v>
      </c>
      <c r="G14" s="2"/>
      <c r="H14" s="2"/>
      <c r="I14" s="2"/>
    </row>
    <row r="15" spans="1:23" x14ac:dyDescent="0.25">
      <c r="A15" s="21"/>
      <c r="B15" s="21" t="s">
        <v>94</v>
      </c>
      <c r="C15" s="54">
        <v>0.28999999999999998</v>
      </c>
      <c r="D15" s="54">
        <v>0.36</v>
      </c>
      <c r="E15" s="54">
        <f>4/13</f>
        <v>0.30769230769230771</v>
      </c>
      <c r="F15" s="54">
        <v>0.6</v>
      </c>
      <c r="G15" s="2"/>
      <c r="H15" s="2"/>
      <c r="I15" s="2"/>
    </row>
    <row r="16" spans="1:23" x14ac:dyDescent="0.25">
      <c r="A16" s="21"/>
      <c r="B16" s="21" t="s">
        <v>70</v>
      </c>
      <c r="C16" s="55">
        <v>16.239999999999998</v>
      </c>
      <c r="D16" s="55">
        <v>15.91</v>
      </c>
      <c r="E16" s="21">
        <v>15.6</v>
      </c>
      <c r="F16" s="21">
        <v>14.9</v>
      </c>
      <c r="G16" s="2"/>
      <c r="H16" s="2"/>
      <c r="I16" s="2"/>
    </row>
    <row r="17" spans="1:9" x14ac:dyDescent="0.25">
      <c r="A17" s="56" t="s">
        <v>97</v>
      </c>
      <c r="B17" s="56" t="s">
        <v>92</v>
      </c>
      <c r="C17" s="57">
        <v>0</v>
      </c>
      <c r="D17" s="57">
        <v>0.09</v>
      </c>
      <c r="E17" s="57">
        <f>3/13</f>
        <v>0.23076923076923078</v>
      </c>
      <c r="F17" s="57">
        <v>0.1</v>
      </c>
      <c r="G17" s="112">
        <v>0.4</v>
      </c>
      <c r="H17" s="2"/>
      <c r="I17" s="2"/>
    </row>
    <row r="18" spans="1:9" x14ac:dyDescent="0.25">
      <c r="A18" s="56"/>
      <c r="B18" s="56" t="s">
        <v>93</v>
      </c>
      <c r="C18" s="57">
        <v>0.53</v>
      </c>
      <c r="D18" s="57">
        <v>0.36</v>
      </c>
      <c r="E18" s="57">
        <v>0</v>
      </c>
      <c r="F18" s="57">
        <v>0.2</v>
      </c>
      <c r="G18" s="2"/>
      <c r="H18" s="2"/>
      <c r="I18" s="2"/>
    </row>
    <row r="19" spans="1:9" x14ac:dyDescent="0.25">
      <c r="A19" s="56"/>
      <c r="B19" s="56" t="s">
        <v>94</v>
      </c>
      <c r="C19" s="57">
        <v>0.47</v>
      </c>
      <c r="D19" s="57">
        <v>0.55000000000000004</v>
      </c>
      <c r="E19" s="57">
        <f>10/13</f>
        <v>0.76923076923076927</v>
      </c>
      <c r="F19" s="57">
        <v>0.7</v>
      </c>
      <c r="G19" s="2"/>
      <c r="H19" s="2"/>
      <c r="I19" s="2"/>
    </row>
    <row r="20" spans="1:9" x14ac:dyDescent="0.25">
      <c r="A20" s="56"/>
      <c r="B20" s="56" t="s">
        <v>70</v>
      </c>
      <c r="C20" s="58">
        <v>13.76</v>
      </c>
      <c r="D20" s="58">
        <v>13.73</v>
      </c>
      <c r="E20" s="56">
        <v>14.3</v>
      </c>
      <c r="F20" s="56">
        <v>13.9</v>
      </c>
      <c r="G20" s="2"/>
      <c r="H20" s="2"/>
      <c r="I20" s="2"/>
    </row>
    <row r="21" spans="1:9" x14ac:dyDescent="0.25">
      <c r="A21" s="4" t="s">
        <v>71</v>
      </c>
      <c r="B21" s="4" t="s">
        <v>92</v>
      </c>
      <c r="C21" s="59">
        <v>0.41</v>
      </c>
      <c r="D21" s="59">
        <v>0.27</v>
      </c>
      <c r="E21" s="101">
        <v>0.15</v>
      </c>
      <c r="F21" s="136">
        <v>0.1</v>
      </c>
      <c r="G21" s="112">
        <v>0.28000000000000003</v>
      </c>
      <c r="H21" s="2"/>
      <c r="I21" s="2"/>
    </row>
    <row r="22" spans="1:9" x14ac:dyDescent="0.25">
      <c r="A22" s="4"/>
      <c r="B22" s="4" t="s">
        <v>93</v>
      </c>
      <c r="C22" s="59">
        <v>0.35</v>
      </c>
      <c r="D22" s="59">
        <v>0.27</v>
      </c>
      <c r="E22" s="101">
        <f>5/13</f>
        <v>0.38461538461538464</v>
      </c>
      <c r="F22" s="136">
        <v>0.3</v>
      </c>
      <c r="G22" s="2"/>
      <c r="H22" s="2"/>
      <c r="I22" s="2"/>
    </row>
    <row r="23" spans="1:9" x14ac:dyDescent="0.25">
      <c r="A23" s="4"/>
      <c r="B23" s="4" t="s">
        <v>94</v>
      </c>
      <c r="C23" s="59">
        <v>0.24</v>
      </c>
      <c r="D23" s="59">
        <v>0.45</v>
      </c>
      <c r="E23" s="101">
        <f>6/13</f>
        <v>0.46153846153846156</v>
      </c>
      <c r="F23" s="136">
        <v>0.6</v>
      </c>
      <c r="G23" s="2"/>
      <c r="H23" s="2"/>
      <c r="I23" s="2"/>
    </row>
    <row r="24" spans="1:9" x14ac:dyDescent="0.25">
      <c r="A24" s="4"/>
      <c r="B24" s="4" t="s">
        <v>70</v>
      </c>
      <c r="C24" s="60">
        <v>17.23</v>
      </c>
      <c r="D24" s="60">
        <v>16.64</v>
      </c>
      <c r="E24" s="102">
        <v>13.7</v>
      </c>
      <c r="F24" s="6">
        <v>14.2</v>
      </c>
      <c r="G24" s="2"/>
      <c r="H24" s="2"/>
      <c r="I24" s="2"/>
    </row>
    <row r="25" spans="1:9" x14ac:dyDescent="0.25">
      <c r="A25" s="61" t="s">
        <v>98</v>
      </c>
      <c r="B25" s="61" t="s">
        <v>92</v>
      </c>
      <c r="C25" s="62">
        <v>0.25</v>
      </c>
      <c r="D25" s="62">
        <v>0.27</v>
      </c>
      <c r="E25" s="62">
        <f>3/13</f>
        <v>0.23076923076923078</v>
      </c>
      <c r="F25" s="62">
        <v>0.1</v>
      </c>
      <c r="G25" s="112">
        <v>0.35</v>
      </c>
      <c r="H25" s="112">
        <v>0.09</v>
      </c>
      <c r="I25" s="112">
        <v>0.28000000000000003</v>
      </c>
    </row>
    <row r="26" spans="1:9" x14ac:dyDescent="0.25">
      <c r="A26" s="61"/>
      <c r="B26" s="61" t="s">
        <v>93</v>
      </c>
      <c r="C26" s="62">
        <v>0.5</v>
      </c>
      <c r="D26" s="62">
        <v>0.36</v>
      </c>
      <c r="E26" s="62">
        <f>2/13</f>
        <v>0.15384615384615385</v>
      </c>
      <c r="F26" s="62">
        <v>0.3</v>
      </c>
      <c r="G26" s="112"/>
      <c r="H26" s="112"/>
      <c r="I26" s="112"/>
    </row>
    <row r="27" spans="1:9" x14ac:dyDescent="0.25">
      <c r="A27" s="61"/>
      <c r="B27" s="61" t="s">
        <v>94</v>
      </c>
      <c r="C27" s="62">
        <v>0.25</v>
      </c>
      <c r="D27" s="62">
        <v>0.36</v>
      </c>
      <c r="E27" s="62">
        <f>8/13</f>
        <v>0.61538461538461542</v>
      </c>
      <c r="F27" s="62">
        <v>0.4</v>
      </c>
      <c r="G27" s="112"/>
      <c r="H27" s="112"/>
      <c r="I27" s="112"/>
    </row>
    <row r="28" spans="1:9" x14ac:dyDescent="0.25">
      <c r="A28" s="61"/>
      <c r="B28" s="61" t="s">
        <v>70</v>
      </c>
      <c r="C28" s="63">
        <v>15.38</v>
      </c>
      <c r="D28" s="63">
        <v>15.82</v>
      </c>
      <c r="E28" s="61">
        <v>14.5</v>
      </c>
      <c r="F28" s="61">
        <v>13.6</v>
      </c>
      <c r="G28" s="2"/>
      <c r="H28" s="2"/>
      <c r="I28" s="2"/>
    </row>
    <row r="29" spans="1:9" x14ac:dyDescent="0.25">
      <c r="A29" s="103" t="s">
        <v>113</v>
      </c>
      <c r="B29" s="103" t="s">
        <v>92</v>
      </c>
      <c r="C29" s="133">
        <f>12/16</f>
        <v>0.75</v>
      </c>
      <c r="D29" s="133">
        <v>0.73</v>
      </c>
      <c r="E29" s="133">
        <f>8/12</f>
        <v>0.66666666666666663</v>
      </c>
      <c r="F29" s="133">
        <v>0.5</v>
      </c>
      <c r="G29" s="2"/>
      <c r="H29" s="2"/>
      <c r="I29" s="2"/>
    </row>
    <row r="30" spans="1:9" x14ac:dyDescent="0.25">
      <c r="A30" s="103"/>
      <c r="B30" s="103" t="s">
        <v>93</v>
      </c>
      <c r="C30" s="133">
        <f>1/16</f>
        <v>6.25E-2</v>
      </c>
      <c r="D30" s="133">
        <f>2/11</f>
        <v>0.18181818181818182</v>
      </c>
      <c r="E30" s="133">
        <f>3/12</f>
        <v>0.25</v>
      </c>
      <c r="F30" s="133">
        <v>0.1</v>
      </c>
      <c r="G30" s="2"/>
      <c r="H30" s="2"/>
      <c r="I30" s="2"/>
    </row>
    <row r="31" spans="1:9" x14ac:dyDescent="0.25">
      <c r="A31" s="103"/>
      <c r="B31" s="103" t="s">
        <v>94</v>
      </c>
      <c r="C31" s="133">
        <v>0.19</v>
      </c>
      <c r="D31" s="133">
        <f>1/11</f>
        <v>9.0909090909090912E-2</v>
      </c>
      <c r="E31" s="133">
        <v>0.08</v>
      </c>
      <c r="F31" s="133">
        <v>0.4</v>
      </c>
      <c r="G31" s="2"/>
      <c r="H31" s="2"/>
      <c r="I31" s="2"/>
    </row>
    <row r="32" spans="1:9" x14ac:dyDescent="0.25">
      <c r="A32" s="103"/>
      <c r="B32" s="103" t="s">
        <v>70</v>
      </c>
      <c r="C32" s="103">
        <v>5.87</v>
      </c>
      <c r="D32" s="103">
        <v>6.27</v>
      </c>
      <c r="E32" s="103">
        <v>5.92</v>
      </c>
      <c r="F32" s="137">
        <v>5.0999999999999996</v>
      </c>
      <c r="G32" s="2"/>
      <c r="H32" s="2"/>
    </row>
    <row r="33" spans="2:6" x14ac:dyDescent="0.25">
      <c r="C33">
        <v>17</v>
      </c>
      <c r="D33">
        <v>11</v>
      </c>
      <c r="E33">
        <v>13</v>
      </c>
      <c r="F33" s="134">
        <v>11</v>
      </c>
    </row>
    <row r="34" spans="2:6" x14ac:dyDescent="0.25">
      <c r="B34">
        <v>17</v>
      </c>
      <c r="C34">
        <v>11</v>
      </c>
      <c r="D34">
        <v>13</v>
      </c>
      <c r="E34" s="134">
        <v>11</v>
      </c>
    </row>
  </sheetData>
  <mergeCells count="2">
    <mergeCell ref="K1:W1"/>
    <mergeCell ref="K7:W7"/>
  </mergeCells>
  <pageMargins left="0.7" right="0.7" top="0.75" bottom="0.75" header="0.3" footer="0.3"/>
  <pageSetup scale="95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3"/>
  <sheetViews>
    <sheetView workbookViewId="0">
      <selection activeCell="N22" sqref="N22"/>
    </sheetView>
  </sheetViews>
  <sheetFormatPr defaultRowHeight="15" x14ac:dyDescent="0.25"/>
  <cols>
    <col min="2" max="2" width="15.42578125" customWidth="1"/>
    <col min="3" max="3" width="10.7109375" customWidth="1"/>
    <col min="4" max="4" width="10.5703125" customWidth="1"/>
    <col min="6" max="6" width="10.28515625" customWidth="1"/>
  </cols>
  <sheetData>
    <row r="1" spans="1:7" ht="45" x14ac:dyDescent="0.25">
      <c r="A1" s="2" t="s">
        <v>87</v>
      </c>
      <c r="B1" s="9" t="s">
        <v>88</v>
      </c>
      <c r="C1" s="2" t="s">
        <v>89</v>
      </c>
      <c r="D1" s="2" t="s">
        <v>90</v>
      </c>
      <c r="E1" s="2" t="s">
        <v>238</v>
      </c>
      <c r="F1" s="2" t="s">
        <v>345</v>
      </c>
      <c r="G1" s="9" t="s">
        <v>391</v>
      </c>
    </row>
    <row r="2" spans="1:7" ht="30" x14ac:dyDescent="0.25">
      <c r="A2" s="2" t="s">
        <v>97</v>
      </c>
      <c r="B2" s="9" t="s">
        <v>392</v>
      </c>
      <c r="C2" s="65">
        <v>0.67</v>
      </c>
      <c r="D2" s="65">
        <v>0.27</v>
      </c>
      <c r="E2" s="65">
        <v>0.34</v>
      </c>
      <c r="F2" s="65">
        <f>5/13</f>
        <v>0.38461538461538464</v>
      </c>
      <c r="G2" s="65">
        <v>0.45</v>
      </c>
    </row>
    <row r="3" spans="1:7" ht="30" x14ac:dyDescent="0.25">
      <c r="A3" s="2"/>
      <c r="B3" s="9" t="s">
        <v>393</v>
      </c>
      <c r="C3" s="65">
        <f>4/12</f>
        <v>0.33333333333333331</v>
      </c>
      <c r="D3" s="65">
        <v>0.72</v>
      </c>
      <c r="E3" s="65">
        <v>0.67</v>
      </c>
      <c r="F3" s="65">
        <f>8/13</f>
        <v>0.61538461538461542</v>
      </c>
      <c r="G3" s="65">
        <v>0.55000000000000004</v>
      </c>
    </row>
    <row r="4" spans="1:7" x14ac:dyDescent="0.25">
      <c r="A4" s="2"/>
      <c r="B4" s="9" t="s">
        <v>70</v>
      </c>
      <c r="C4" s="2">
        <v>453.25</v>
      </c>
      <c r="D4" s="113">
        <v>421.82</v>
      </c>
      <c r="E4" s="113">
        <v>422.4</v>
      </c>
      <c r="F4" s="113">
        <v>424.5</v>
      </c>
      <c r="G4" s="2"/>
    </row>
    <row r="5" spans="1:7" ht="30" x14ac:dyDescent="0.25">
      <c r="A5" s="2" t="s">
        <v>71</v>
      </c>
      <c r="B5" s="9" t="s">
        <v>392</v>
      </c>
      <c r="C5" s="65">
        <v>0.54</v>
      </c>
      <c r="D5" s="65">
        <v>0.09</v>
      </c>
      <c r="E5" s="65">
        <v>0.13</v>
      </c>
      <c r="F5" s="65">
        <f>3/14</f>
        <v>0.21428571428571427</v>
      </c>
      <c r="G5" s="65">
        <v>0.31</v>
      </c>
    </row>
    <row r="6" spans="1:7" ht="30" x14ac:dyDescent="0.25">
      <c r="B6" s="9" t="s">
        <v>393</v>
      </c>
      <c r="C6" s="65">
        <v>0.46</v>
      </c>
      <c r="D6" s="65">
        <v>0.91</v>
      </c>
      <c r="E6" s="65">
        <v>0.87</v>
      </c>
      <c r="F6" s="65">
        <v>0.79</v>
      </c>
      <c r="G6" s="65">
        <v>0.69</v>
      </c>
    </row>
    <row r="7" spans="1:7" x14ac:dyDescent="0.25">
      <c r="A7" s="2"/>
      <c r="B7" s="9" t="s">
        <v>70</v>
      </c>
      <c r="C7" s="2">
        <v>422.84</v>
      </c>
      <c r="D7" s="2">
        <v>420.82</v>
      </c>
      <c r="E7" s="114">
        <v>417.4</v>
      </c>
      <c r="F7" s="114">
        <v>418.7</v>
      </c>
      <c r="G7" s="2"/>
    </row>
    <row r="8" spans="1:7" ht="30" x14ac:dyDescent="0.25">
      <c r="A8" s="2" t="s">
        <v>73</v>
      </c>
      <c r="B8" s="9" t="s">
        <v>392</v>
      </c>
      <c r="C8" s="65">
        <v>0.17</v>
      </c>
      <c r="D8" s="65">
        <v>0.3</v>
      </c>
      <c r="E8" s="65">
        <v>0.2</v>
      </c>
      <c r="F8" s="65">
        <f>2/13</f>
        <v>0.15384615384615385</v>
      </c>
      <c r="G8" s="65">
        <v>0.22</v>
      </c>
    </row>
    <row r="9" spans="1:7" ht="30" x14ac:dyDescent="0.25">
      <c r="B9" s="9" t="s">
        <v>393</v>
      </c>
      <c r="C9" s="65">
        <v>0.88</v>
      </c>
      <c r="D9" s="65">
        <v>0.7</v>
      </c>
      <c r="E9" s="65">
        <v>0.8</v>
      </c>
      <c r="F9" s="65">
        <v>0.85</v>
      </c>
      <c r="G9" s="65">
        <v>0.78</v>
      </c>
    </row>
    <row r="10" spans="1:7" x14ac:dyDescent="0.25">
      <c r="A10" s="2"/>
      <c r="B10" s="9" t="s">
        <v>70</v>
      </c>
      <c r="C10" s="74">
        <v>423.5</v>
      </c>
      <c r="D10" s="74">
        <v>423.6</v>
      </c>
      <c r="E10" s="114">
        <v>420.9</v>
      </c>
      <c r="F10" s="114">
        <v>421.8</v>
      </c>
      <c r="G10" s="2"/>
    </row>
    <row r="11" spans="1:7" ht="30" x14ac:dyDescent="0.25">
      <c r="A11" s="2" t="s">
        <v>77</v>
      </c>
      <c r="B11" s="9" t="s">
        <v>392</v>
      </c>
      <c r="C11" s="65">
        <v>0.31</v>
      </c>
      <c r="D11" s="65">
        <v>0</v>
      </c>
      <c r="E11" s="65">
        <v>0.06</v>
      </c>
      <c r="F11" s="65">
        <v>0.1</v>
      </c>
      <c r="G11" s="65">
        <v>0.23</v>
      </c>
    </row>
    <row r="12" spans="1:7" ht="30" x14ac:dyDescent="0.25">
      <c r="B12" s="9" t="s">
        <v>393</v>
      </c>
      <c r="C12" s="65">
        <v>0.69</v>
      </c>
      <c r="D12" s="65">
        <v>1</v>
      </c>
      <c r="E12" s="65">
        <v>0.94</v>
      </c>
      <c r="F12" s="65">
        <v>0.9</v>
      </c>
      <c r="G12" s="65">
        <v>0.77</v>
      </c>
    </row>
    <row r="13" spans="1:7" x14ac:dyDescent="0.25">
      <c r="A13" s="2"/>
      <c r="B13" s="9" t="s">
        <v>70</v>
      </c>
      <c r="C13" s="2">
        <v>422.92</v>
      </c>
      <c r="D13" s="114">
        <v>421.18</v>
      </c>
      <c r="E13" s="114">
        <v>419.3</v>
      </c>
      <c r="F13" s="114">
        <v>417.6</v>
      </c>
    </row>
    <row r="14" spans="1:7" x14ac:dyDescent="0.25">
      <c r="A14" s="2"/>
    </row>
    <row r="17" spans="1:6" ht="30" x14ac:dyDescent="0.25">
      <c r="A17" s="9" t="s">
        <v>394</v>
      </c>
      <c r="B17" s="9" t="s">
        <v>395</v>
      </c>
      <c r="C17" s="9" t="s">
        <v>396</v>
      </c>
      <c r="D17" s="9" t="s">
        <v>397</v>
      </c>
      <c r="E17" s="2" t="s">
        <v>398</v>
      </c>
      <c r="F17" s="9" t="s">
        <v>399</v>
      </c>
    </row>
    <row r="18" spans="1:6" x14ac:dyDescent="0.25">
      <c r="A18" s="2"/>
      <c r="B18" s="2" t="s">
        <v>400</v>
      </c>
      <c r="C18" s="2" t="s">
        <v>97</v>
      </c>
      <c r="D18" s="2">
        <v>15</v>
      </c>
      <c r="E18" s="2" t="s">
        <v>97</v>
      </c>
      <c r="F18" s="151">
        <v>32</v>
      </c>
    </row>
    <row r="19" spans="1:6" x14ac:dyDescent="0.25">
      <c r="A19" s="2"/>
      <c r="B19" s="2"/>
      <c r="C19" s="2" t="s">
        <v>71</v>
      </c>
      <c r="D19" s="2">
        <v>53</v>
      </c>
      <c r="E19" s="2" t="s">
        <v>71</v>
      </c>
      <c r="F19" s="90">
        <v>15</v>
      </c>
    </row>
    <row r="20" spans="1:6" x14ac:dyDescent="0.25">
      <c r="A20" s="2"/>
      <c r="B20" s="2"/>
      <c r="C20" s="2" t="s">
        <v>77</v>
      </c>
      <c r="D20" s="2">
        <v>29</v>
      </c>
      <c r="E20" s="2" t="s">
        <v>77</v>
      </c>
      <c r="F20" s="151">
        <v>43</v>
      </c>
    </row>
    <row r="21" spans="1:6" x14ac:dyDescent="0.25">
      <c r="A21" s="2"/>
      <c r="B21" s="2" t="s">
        <v>401</v>
      </c>
      <c r="C21" s="2" t="s">
        <v>97</v>
      </c>
      <c r="D21" s="2">
        <v>6</v>
      </c>
      <c r="E21" s="2" t="s">
        <v>97</v>
      </c>
      <c r="F21" s="151">
        <v>17</v>
      </c>
    </row>
    <row r="22" spans="1:6" x14ac:dyDescent="0.25">
      <c r="A22" s="2"/>
      <c r="B22" s="2"/>
      <c r="C22" s="2" t="s">
        <v>71</v>
      </c>
      <c r="D22" s="2">
        <v>1</v>
      </c>
      <c r="E22" s="2" t="s">
        <v>71</v>
      </c>
      <c r="F22" s="90">
        <v>4</v>
      </c>
    </row>
    <row r="23" spans="1:6" x14ac:dyDescent="0.25">
      <c r="A23" s="2"/>
      <c r="B23" s="2"/>
      <c r="C23" s="2" t="s">
        <v>77</v>
      </c>
      <c r="D23" s="2">
        <v>21</v>
      </c>
      <c r="E23" s="2" t="s">
        <v>77</v>
      </c>
      <c r="F23" s="90">
        <v>19</v>
      </c>
    </row>
    <row r="24" spans="1:6" x14ac:dyDescent="0.25">
      <c r="A24" s="2"/>
      <c r="B24" s="2" t="s">
        <v>402</v>
      </c>
      <c r="C24" s="2" t="s">
        <v>97</v>
      </c>
      <c r="D24" s="2">
        <v>56</v>
      </c>
      <c r="E24" s="2" t="s">
        <v>97</v>
      </c>
      <c r="F24" s="90">
        <v>26</v>
      </c>
    </row>
    <row r="25" spans="1:6" x14ac:dyDescent="0.25">
      <c r="A25" s="2"/>
      <c r="B25" s="2"/>
      <c r="C25" s="2" t="s">
        <v>71</v>
      </c>
      <c r="D25" s="2">
        <v>53</v>
      </c>
      <c r="E25" s="2" t="s">
        <v>71</v>
      </c>
      <c r="F25" s="90">
        <v>31</v>
      </c>
    </row>
    <row r="26" spans="1:6" x14ac:dyDescent="0.25">
      <c r="A26" s="2"/>
      <c r="B26" s="2"/>
      <c r="C26" s="2" t="s">
        <v>77</v>
      </c>
      <c r="D26" s="2">
        <v>62</v>
      </c>
      <c r="E26" s="2" t="s">
        <v>77</v>
      </c>
      <c r="F26" s="90">
        <v>9</v>
      </c>
    </row>
    <row r="27" spans="1:6" x14ac:dyDescent="0.25">
      <c r="A27" s="2"/>
      <c r="B27" s="2" t="s">
        <v>403</v>
      </c>
      <c r="C27" s="2" t="s">
        <v>97</v>
      </c>
      <c r="D27" s="2">
        <v>21</v>
      </c>
      <c r="E27" s="2" t="s">
        <v>97</v>
      </c>
      <c r="F27" s="90">
        <v>5</v>
      </c>
    </row>
    <row r="28" spans="1:6" x14ac:dyDescent="0.25">
      <c r="A28" s="2"/>
      <c r="B28" s="2"/>
      <c r="C28" s="2" t="s">
        <v>71</v>
      </c>
      <c r="D28" s="2">
        <v>41</v>
      </c>
      <c r="E28" s="2" t="s">
        <v>71</v>
      </c>
      <c r="F28" s="90">
        <v>26</v>
      </c>
    </row>
    <row r="29" spans="1:6" x14ac:dyDescent="0.25">
      <c r="A29" s="2"/>
      <c r="B29" s="2"/>
      <c r="C29" s="2" t="s">
        <v>77</v>
      </c>
      <c r="D29" s="2">
        <v>11</v>
      </c>
      <c r="E29" s="2" t="s">
        <v>77</v>
      </c>
      <c r="F29" s="90">
        <v>9</v>
      </c>
    </row>
    <row r="30" spans="1:6" x14ac:dyDescent="0.25">
      <c r="A30" s="2"/>
      <c r="B30" s="2" t="s">
        <v>404</v>
      </c>
      <c r="C30" s="2" t="s">
        <v>97</v>
      </c>
      <c r="D30" s="2">
        <v>29</v>
      </c>
      <c r="E30" s="2" t="s">
        <v>97</v>
      </c>
      <c r="F30" s="151">
        <v>39</v>
      </c>
    </row>
    <row r="31" spans="1:6" x14ac:dyDescent="0.25">
      <c r="A31" s="2"/>
      <c r="B31" s="2"/>
      <c r="C31" s="2" t="s">
        <v>71</v>
      </c>
      <c r="D31" s="2">
        <v>49</v>
      </c>
      <c r="E31" s="2" t="s">
        <v>71</v>
      </c>
      <c r="F31" s="90">
        <v>31</v>
      </c>
    </row>
    <row r="32" spans="1:6" x14ac:dyDescent="0.25">
      <c r="A32" s="2"/>
      <c r="B32" s="2"/>
      <c r="C32" s="2" t="s">
        <v>77</v>
      </c>
      <c r="D32" s="2">
        <v>58</v>
      </c>
      <c r="E32" s="2" t="s">
        <v>77</v>
      </c>
      <c r="F32" s="151">
        <v>63</v>
      </c>
    </row>
    <row r="33" spans="1:6" x14ac:dyDescent="0.25">
      <c r="A33" s="2"/>
      <c r="B33" s="2"/>
      <c r="C33" s="2"/>
      <c r="D33" s="2"/>
      <c r="E33" s="2"/>
      <c r="F33" s="2"/>
    </row>
    <row r="34" spans="1:6" ht="30" x14ac:dyDescent="0.25">
      <c r="A34" s="2"/>
      <c r="B34" s="2" t="s">
        <v>395</v>
      </c>
      <c r="C34" s="9" t="s">
        <v>405</v>
      </c>
      <c r="D34" s="2" t="s">
        <v>397</v>
      </c>
      <c r="E34" s="2" t="s">
        <v>406</v>
      </c>
      <c r="F34" s="2" t="s">
        <v>399</v>
      </c>
    </row>
    <row r="35" spans="1:6" x14ac:dyDescent="0.25">
      <c r="A35" s="2"/>
      <c r="B35" s="2" t="s">
        <v>407</v>
      </c>
      <c r="C35" s="2" t="s">
        <v>97</v>
      </c>
      <c r="D35" s="2">
        <v>21</v>
      </c>
      <c r="E35" s="2" t="s">
        <v>97</v>
      </c>
      <c r="F35" s="90">
        <v>20</v>
      </c>
    </row>
    <row r="36" spans="1:6" x14ac:dyDescent="0.25">
      <c r="A36" s="2"/>
      <c r="B36" s="2"/>
      <c r="C36" s="2" t="s">
        <v>71</v>
      </c>
      <c r="D36" s="2">
        <v>34</v>
      </c>
      <c r="E36" s="2" t="s">
        <v>71</v>
      </c>
      <c r="F36" s="90">
        <v>14</v>
      </c>
    </row>
    <row r="37" spans="1:6" x14ac:dyDescent="0.25">
      <c r="A37" s="2"/>
      <c r="B37" s="2"/>
      <c r="C37" s="2" t="s">
        <v>77</v>
      </c>
      <c r="D37" s="2">
        <v>66</v>
      </c>
      <c r="E37" s="2" t="s">
        <v>77</v>
      </c>
      <c r="F37" s="90">
        <v>41</v>
      </c>
    </row>
    <row r="38" spans="1:6" x14ac:dyDescent="0.25">
      <c r="A38" s="2"/>
      <c r="B38" s="2" t="s">
        <v>408</v>
      </c>
      <c r="C38" s="2" t="s">
        <v>97</v>
      </c>
      <c r="D38" s="2">
        <v>21</v>
      </c>
      <c r="E38" s="2" t="s">
        <v>97</v>
      </c>
      <c r="F38" s="90">
        <v>2</v>
      </c>
    </row>
    <row r="39" spans="1:6" x14ac:dyDescent="0.25">
      <c r="A39" s="2"/>
      <c r="B39" s="2"/>
      <c r="C39" s="2" t="s">
        <v>71</v>
      </c>
      <c r="D39" s="2">
        <v>19</v>
      </c>
      <c r="E39" s="2" t="s">
        <v>71</v>
      </c>
      <c r="F39" s="90">
        <v>1</v>
      </c>
    </row>
    <row r="40" spans="1:6" x14ac:dyDescent="0.25">
      <c r="A40" s="2"/>
      <c r="B40" s="2"/>
      <c r="C40" s="2" t="s">
        <v>77</v>
      </c>
      <c r="D40" s="2">
        <v>21</v>
      </c>
      <c r="E40" s="2" t="s">
        <v>77</v>
      </c>
      <c r="F40" s="151">
        <v>29</v>
      </c>
    </row>
    <row r="41" spans="1:6" x14ac:dyDescent="0.25">
      <c r="A41" s="2"/>
      <c r="B41" s="2" t="s">
        <v>409</v>
      </c>
      <c r="C41" s="2" t="s">
        <v>97</v>
      </c>
      <c r="D41" s="2">
        <v>59</v>
      </c>
      <c r="E41" s="2" t="s">
        <v>97</v>
      </c>
      <c r="F41" s="151">
        <v>87</v>
      </c>
    </row>
    <row r="42" spans="1:6" x14ac:dyDescent="0.25">
      <c r="A42" s="2"/>
      <c r="B42" s="2"/>
      <c r="C42" s="2" t="s">
        <v>71</v>
      </c>
      <c r="D42" s="2">
        <v>65</v>
      </c>
      <c r="E42" s="2" t="s">
        <v>71</v>
      </c>
      <c r="F42" s="151">
        <v>69</v>
      </c>
    </row>
    <row r="43" spans="1:6" x14ac:dyDescent="0.25">
      <c r="A43" s="2"/>
      <c r="B43" s="2"/>
      <c r="C43" s="2" t="s">
        <v>77</v>
      </c>
      <c r="D43" s="2">
        <v>72</v>
      </c>
      <c r="E43" s="2" t="s">
        <v>77</v>
      </c>
      <c r="F43" s="90">
        <v>65</v>
      </c>
    </row>
  </sheetData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H69"/>
  <sheetViews>
    <sheetView topLeftCell="A40" workbookViewId="0">
      <selection activeCell="J62" sqref="J62"/>
    </sheetView>
  </sheetViews>
  <sheetFormatPr defaultRowHeight="15" x14ac:dyDescent="0.25"/>
  <cols>
    <col min="2" max="2" width="24.5703125" customWidth="1"/>
    <col min="3" max="3" width="18.7109375" bestFit="1" customWidth="1"/>
    <col min="4" max="5" width="15.7109375" bestFit="1" customWidth="1"/>
    <col min="6" max="6" width="16.5703125" customWidth="1"/>
    <col min="7" max="7" width="15.42578125" customWidth="1"/>
  </cols>
  <sheetData>
    <row r="2" spans="1:8" x14ac:dyDescent="0.25">
      <c r="C2" t="s">
        <v>169</v>
      </c>
    </row>
    <row r="3" spans="1:8" x14ac:dyDescent="0.25">
      <c r="C3" t="s">
        <v>170</v>
      </c>
    </row>
    <row r="4" spans="1:8" x14ac:dyDescent="0.25">
      <c r="C4" t="s">
        <v>171</v>
      </c>
    </row>
    <row r="5" spans="1:8" x14ac:dyDescent="0.25">
      <c r="C5" t="s">
        <v>172</v>
      </c>
    </row>
    <row r="6" spans="1:8" x14ac:dyDescent="0.25">
      <c r="C6" t="s">
        <v>173</v>
      </c>
    </row>
    <row r="8" spans="1:8" x14ac:dyDescent="0.25">
      <c r="C8" s="77" t="s">
        <v>174</v>
      </c>
    </row>
    <row r="9" spans="1:8" ht="30" x14ac:dyDescent="0.25">
      <c r="C9" s="78" t="s">
        <v>175</v>
      </c>
    </row>
    <row r="10" spans="1:8" ht="30" x14ac:dyDescent="0.25">
      <c r="C10" s="79" t="s">
        <v>176</v>
      </c>
    </row>
    <row r="11" spans="1:8" ht="15.75" thickBot="1" x14ac:dyDescent="0.3"/>
    <row r="12" spans="1:8" ht="15.75" thickBot="1" x14ac:dyDescent="0.3">
      <c r="A12" t="s">
        <v>102</v>
      </c>
      <c r="B12" s="80" t="s">
        <v>43</v>
      </c>
      <c r="C12" s="81" t="s">
        <v>177</v>
      </c>
      <c r="D12" t="s">
        <v>178</v>
      </c>
      <c r="E12" t="s">
        <v>179</v>
      </c>
      <c r="F12" t="s">
        <v>245</v>
      </c>
      <c r="G12" t="s">
        <v>314</v>
      </c>
    </row>
    <row r="13" spans="1:8" ht="52.5" thickBot="1" x14ac:dyDescent="0.3">
      <c r="A13" t="s">
        <v>492</v>
      </c>
      <c r="B13" s="82" t="s">
        <v>180</v>
      </c>
      <c r="C13" s="83">
        <v>4.6666666670000003</v>
      </c>
      <c r="D13" s="84">
        <v>3.89</v>
      </c>
      <c r="E13" s="85">
        <v>4.8899999999999997</v>
      </c>
      <c r="F13" s="85">
        <v>4.3</v>
      </c>
      <c r="G13" s="85">
        <v>4.5999999999999996</v>
      </c>
      <c r="H13" s="125">
        <v>0.3</v>
      </c>
    </row>
    <row r="14" spans="1:8" ht="78" thickBot="1" x14ac:dyDescent="0.3">
      <c r="A14" t="s">
        <v>493</v>
      </c>
      <c r="B14" s="82" t="s">
        <v>181</v>
      </c>
      <c r="C14" s="83">
        <v>4.5</v>
      </c>
      <c r="D14" s="84">
        <v>3.56</v>
      </c>
      <c r="E14" s="85">
        <v>4.4400000000000004</v>
      </c>
      <c r="F14" s="85">
        <v>4.2</v>
      </c>
      <c r="G14" s="85">
        <v>4.5</v>
      </c>
      <c r="H14" s="125">
        <v>0.3</v>
      </c>
    </row>
    <row r="15" spans="1:8" ht="65.25" thickBot="1" x14ac:dyDescent="0.3">
      <c r="A15" t="s">
        <v>494</v>
      </c>
      <c r="B15" s="82" t="s">
        <v>182</v>
      </c>
      <c r="C15" s="83">
        <v>4.3333333329999997</v>
      </c>
      <c r="D15" s="84">
        <v>3.67</v>
      </c>
      <c r="E15" s="85">
        <v>4.5599999999999996</v>
      </c>
      <c r="F15" s="85">
        <v>4.4000000000000004</v>
      </c>
      <c r="G15" s="85">
        <v>4.8</v>
      </c>
      <c r="H15" s="125">
        <v>0.4</v>
      </c>
    </row>
    <row r="16" spans="1:8" ht="65.25" thickBot="1" x14ac:dyDescent="0.3">
      <c r="A16" t="s">
        <v>495</v>
      </c>
      <c r="B16" s="82" t="s">
        <v>183</v>
      </c>
      <c r="C16" s="83">
        <v>4.3333333329999997</v>
      </c>
      <c r="D16" s="84">
        <v>3.78</v>
      </c>
      <c r="E16" s="85">
        <v>4.5599999999999996</v>
      </c>
      <c r="F16" s="85">
        <v>4.3</v>
      </c>
      <c r="G16" s="85">
        <v>4.5</v>
      </c>
      <c r="H16" s="126">
        <v>0.2</v>
      </c>
    </row>
    <row r="17" spans="1:8" ht="65.25" thickBot="1" x14ac:dyDescent="0.3">
      <c r="A17" t="s">
        <v>496</v>
      </c>
      <c r="B17" s="82" t="s">
        <v>184</v>
      </c>
      <c r="C17" s="83">
        <v>4.6666666670000003</v>
      </c>
      <c r="D17" s="84">
        <v>3.89</v>
      </c>
      <c r="E17" s="85">
        <v>4.78</v>
      </c>
      <c r="F17" s="85">
        <v>4.5999999999999996</v>
      </c>
      <c r="G17" s="85">
        <v>4.7</v>
      </c>
      <c r="H17" s="124" t="s">
        <v>315</v>
      </c>
    </row>
    <row r="18" spans="1:8" ht="65.25" thickBot="1" x14ac:dyDescent="0.3">
      <c r="A18" t="s">
        <v>497</v>
      </c>
      <c r="B18" s="82" t="s">
        <v>185</v>
      </c>
      <c r="C18" s="86">
        <v>2.6666666669999999</v>
      </c>
      <c r="D18" s="84">
        <v>3.63</v>
      </c>
      <c r="E18" s="85">
        <v>4.67</v>
      </c>
      <c r="F18" s="85">
        <v>4.4000000000000004</v>
      </c>
      <c r="G18" s="85">
        <v>4.5999999999999996</v>
      </c>
      <c r="H18" s="126">
        <v>0.2</v>
      </c>
    </row>
    <row r="19" spans="1:8" ht="78" thickBot="1" x14ac:dyDescent="0.3">
      <c r="A19" t="s">
        <v>498</v>
      </c>
      <c r="B19" s="82" t="s">
        <v>186</v>
      </c>
      <c r="C19" s="86">
        <v>2.5</v>
      </c>
      <c r="D19" s="84">
        <v>3.67</v>
      </c>
      <c r="E19" s="85">
        <v>4.4400000000000004</v>
      </c>
      <c r="F19" s="85">
        <v>4.5</v>
      </c>
      <c r="G19" s="85">
        <v>4.4000000000000004</v>
      </c>
      <c r="H19" s="124" t="s">
        <v>315</v>
      </c>
    </row>
    <row r="20" spans="1:8" ht="52.5" thickBot="1" x14ac:dyDescent="0.3">
      <c r="A20" t="s">
        <v>499</v>
      </c>
      <c r="B20" s="82" t="s">
        <v>187</v>
      </c>
      <c r="C20" s="83">
        <v>4.5</v>
      </c>
      <c r="D20" s="84">
        <v>3.56</v>
      </c>
      <c r="E20" s="85">
        <v>4.625</v>
      </c>
      <c r="F20" s="85">
        <v>4.3</v>
      </c>
      <c r="G20" s="85">
        <v>4.4000000000000004</v>
      </c>
      <c r="H20" s="124" t="s">
        <v>315</v>
      </c>
    </row>
    <row r="21" spans="1:8" ht="65.25" thickBot="1" x14ac:dyDescent="0.3">
      <c r="A21" t="s">
        <v>500</v>
      </c>
      <c r="B21" s="82" t="s">
        <v>188</v>
      </c>
      <c r="C21" s="83">
        <v>4.5</v>
      </c>
      <c r="D21" s="84">
        <v>3.44</v>
      </c>
      <c r="E21" s="85">
        <v>4.78</v>
      </c>
      <c r="F21" s="85">
        <v>4.5999999999999996</v>
      </c>
      <c r="G21" s="85">
        <v>4.7</v>
      </c>
      <c r="H21" s="124" t="s">
        <v>315</v>
      </c>
    </row>
    <row r="22" spans="1:8" ht="52.5" thickBot="1" x14ac:dyDescent="0.3">
      <c r="A22" t="s">
        <v>501</v>
      </c>
      <c r="B22" s="82" t="s">
        <v>189</v>
      </c>
      <c r="C22" s="83">
        <v>4.5</v>
      </c>
      <c r="D22" s="84">
        <v>3.33</v>
      </c>
      <c r="E22" s="85">
        <v>4.4400000000000004</v>
      </c>
      <c r="F22" s="85">
        <v>4.7</v>
      </c>
      <c r="G22" s="85">
        <v>4.4000000000000004</v>
      </c>
      <c r="H22" s="125">
        <v>0.3</v>
      </c>
    </row>
    <row r="23" spans="1:8" ht="65.25" thickBot="1" x14ac:dyDescent="0.3">
      <c r="A23" t="s">
        <v>502</v>
      </c>
      <c r="B23" s="82" t="s">
        <v>190</v>
      </c>
      <c r="C23" s="83">
        <v>4</v>
      </c>
      <c r="D23" s="84">
        <v>3.44</v>
      </c>
      <c r="E23" s="85">
        <v>4.25</v>
      </c>
      <c r="F23" s="85">
        <v>4.5999999999999996</v>
      </c>
      <c r="G23" s="85">
        <v>4.5</v>
      </c>
      <c r="H23" s="128" t="s">
        <v>315</v>
      </c>
    </row>
    <row r="24" spans="1:8" ht="78" thickBot="1" x14ac:dyDescent="0.3">
      <c r="A24" t="s">
        <v>503</v>
      </c>
      <c r="B24" s="82" t="s">
        <v>191</v>
      </c>
      <c r="C24" s="83">
        <v>4.6666666670000003</v>
      </c>
      <c r="D24" s="84">
        <v>3.33</v>
      </c>
      <c r="E24" s="85">
        <v>4.78</v>
      </c>
      <c r="F24" s="85">
        <v>4.0999999999999996</v>
      </c>
      <c r="G24" s="85">
        <v>4.7</v>
      </c>
      <c r="H24" s="125">
        <v>0.6</v>
      </c>
    </row>
    <row r="25" spans="1:8" ht="65.25" thickBot="1" x14ac:dyDescent="0.3">
      <c r="A25" t="s">
        <v>504</v>
      </c>
      <c r="B25" s="82" t="s">
        <v>192</v>
      </c>
      <c r="C25" s="83">
        <v>4.3333333329999997</v>
      </c>
      <c r="D25" s="87">
        <v>2.89</v>
      </c>
      <c r="E25" s="85">
        <v>4.78</v>
      </c>
      <c r="F25" s="85">
        <v>4</v>
      </c>
      <c r="G25" s="85">
        <v>4.3</v>
      </c>
      <c r="H25" s="125">
        <v>0.3</v>
      </c>
    </row>
    <row r="26" spans="1:8" ht="78" thickBot="1" x14ac:dyDescent="0.3">
      <c r="A26" t="s">
        <v>505</v>
      </c>
      <c r="B26" s="82" t="s">
        <v>193</v>
      </c>
      <c r="C26" s="88">
        <v>3.6666666669999999</v>
      </c>
      <c r="D26" s="84">
        <v>3.56</v>
      </c>
      <c r="E26" s="85">
        <v>4.5599999999999996</v>
      </c>
      <c r="F26" s="85">
        <v>4.3</v>
      </c>
      <c r="G26" s="85">
        <v>4.5</v>
      </c>
      <c r="H26" s="127">
        <v>0.2</v>
      </c>
    </row>
    <row r="27" spans="1:8" ht="65.25" thickBot="1" x14ac:dyDescent="0.3">
      <c r="A27" t="s">
        <v>506</v>
      </c>
      <c r="B27" s="82" t="s">
        <v>194</v>
      </c>
      <c r="C27" s="83">
        <v>4.8333333329999997</v>
      </c>
      <c r="D27" s="84">
        <v>3.44</v>
      </c>
      <c r="E27" s="85">
        <v>4.4400000000000004</v>
      </c>
      <c r="F27" s="85">
        <v>4.5999999999999996</v>
      </c>
      <c r="G27" s="85">
        <v>4.5</v>
      </c>
      <c r="H27" s="124" t="s">
        <v>315</v>
      </c>
    </row>
    <row r="28" spans="1:8" ht="103.5" thickBot="1" x14ac:dyDescent="0.3">
      <c r="A28" t="s">
        <v>507</v>
      </c>
      <c r="B28" s="82" t="s">
        <v>195</v>
      </c>
      <c r="C28" s="88">
        <v>3.6666666669999999</v>
      </c>
      <c r="D28" s="84">
        <v>3.33</v>
      </c>
      <c r="E28" s="85">
        <v>4.25</v>
      </c>
      <c r="F28" s="89">
        <v>3.8</v>
      </c>
      <c r="G28" s="85">
        <v>4.0999999999999996</v>
      </c>
      <c r="H28" s="127">
        <v>0.3</v>
      </c>
    </row>
    <row r="29" spans="1:8" ht="90.75" thickBot="1" x14ac:dyDescent="0.3">
      <c r="A29" t="s">
        <v>508</v>
      </c>
      <c r="B29" s="82" t="s">
        <v>196</v>
      </c>
      <c r="C29" s="88">
        <v>3.5</v>
      </c>
      <c r="D29" s="84">
        <v>3.33</v>
      </c>
      <c r="E29" s="85">
        <v>4.375</v>
      </c>
      <c r="F29" s="89">
        <v>3.9</v>
      </c>
      <c r="G29" s="85">
        <v>4.0999999999999996</v>
      </c>
      <c r="H29" s="127">
        <v>0.2</v>
      </c>
    </row>
    <row r="30" spans="1:8" ht="103.5" thickBot="1" x14ac:dyDescent="0.3">
      <c r="A30" t="s">
        <v>509</v>
      </c>
      <c r="B30" s="82" t="s">
        <v>197</v>
      </c>
      <c r="C30" s="88">
        <v>3.5</v>
      </c>
      <c r="D30" s="84">
        <v>3.33</v>
      </c>
      <c r="E30" s="85">
        <v>4.125</v>
      </c>
      <c r="F30" s="85">
        <v>4</v>
      </c>
      <c r="G30" s="85">
        <v>4.2</v>
      </c>
      <c r="H30" s="127">
        <v>0.2</v>
      </c>
    </row>
    <row r="31" spans="1:8" ht="65.25" thickBot="1" x14ac:dyDescent="0.3">
      <c r="A31" t="s">
        <v>510</v>
      </c>
      <c r="B31" s="82" t="s">
        <v>198</v>
      </c>
      <c r="C31" s="88">
        <v>3.8333333330000001</v>
      </c>
      <c r="D31" s="84">
        <v>3.33</v>
      </c>
      <c r="E31" s="85">
        <v>4.25</v>
      </c>
      <c r="F31" s="85">
        <v>4</v>
      </c>
      <c r="G31" s="85">
        <v>4</v>
      </c>
      <c r="H31" s="124" t="s">
        <v>315</v>
      </c>
    </row>
    <row r="32" spans="1:8" ht="78" thickBot="1" x14ac:dyDescent="0.3">
      <c r="A32" t="s">
        <v>511</v>
      </c>
      <c r="B32" s="82" t="s">
        <v>199</v>
      </c>
      <c r="C32" s="88">
        <v>3.6666666669999999</v>
      </c>
      <c r="D32" s="84">
        <v>3.22</v>
      </c>
      <c r="E32" s="85">
        <v>4</v>
      </c>
      <c r="F32" s="89">
        <v>3.9</v>
      </c>
      <c r="G32" s="85">
        <v>4.2</v>
      </c>
      <c r="H32" s="127">
        <v>0.3</v>
      </c>
    </row>
    <row r="33" spans="1:8" ht="78" thickBot="1" x14ac:dyDescent="0.3">
      <c r="A33" t="s">
        <v>512</v>
      </c>
      <c r="B33" s="82" t="s">
        <v>200</v>
      </c>
      <c r="C33" s="88">
        <v>3</v>
      </c>
      <c r="D33" s="84">
        <v>3</v>
      </c>
      <c r="E33" s="89">
        <v>3.75</v>
      </c>
      <c r="F33" s="90">
        <v>3.1</v>
      </c>
      <c r="G33" s="89">
        <v>3.8</v>
      </c>
      <c r="H33" s="127">
        <v>0.7</v>
      </c>
    </row>
    <row r="34" spans="1:8" ht="78" thickBot="1" x14ac:dyDescent="0.3">
      <c r="A34" t="s">
        <v>513</v>
      </c>
      <c r="B34" s="82" t="s">
        <v>201</v>
      </c>
      <c r="C34" s="88">
        <v>3.8333333330000001</v>
      </c>
      <c r="D34" s="84">
        <v>3.33</v>
      </c>
      <c r="E34" s="89">
        <v>3.625</v>
      </c>
      <c r="F34" s="90">
        <v>3.3</v>
      </c>
      <c r="G34" s="85">
        <v>4</v>
      </c>
      <c r="H34" s="127">
        <v>0.7</v>
      </c>
    </row>
    <row r="35" spans="1:8" ht="103.5" thickBot="1" x14ac:dyDescent="0.3">
      <c r="A35" t="s">
        <v>514</v>
      </c>
      <c r="B35" s="82" t="s">
        <v>202</v>
      </c>
      <c r="C35" s="88">
        <v>3</v>
      </c>
      <c r="D35" s="84">
        <v>3.11</v>
      </c>
      <c r="E35" s="85">
        <v>4.375</v>
      </c>
      <c r="F35" s="89">
        <v>3.8</v>
      </c>
      <c r="G35" s="85">
        <v>4.5</v>
      </c>
      <c r="H35" s="127">
        <v>0.7</v>
      </c>
    </row>
    <row r="36" spans="1:8" ht="103.5" thickBot="1" x14ac:dyDescent="0.3">
      <c r="A36" t="s">
        <v>515</v>
      </c>
      <c r="B36" s="82" t="s">
        <v>203</v>
      </c>
      <c r="C36" s="88">
        <v>3.8333333330000001</v>
      </c>
      <c r="D36" s="84">
        <v>3.22</v>
      </c>
      <c r="E36" s="85">
        <v>4</v>
      </c>
      <c r="F36" s="90">
        <v>3.4</v>
      </c>
      <c r="G36" s="85">
        <v>4.3</v>
      </c>
      <c r="H36" s="127">
        <v>0.9</v>
      </c>
    </row>
    <row r="37" spans="1:8" ht="129" thickBot="1" x14ac:dyDescent="0.3">
      <c r="A37" t="s">
        <v>516</v>
      </c>
      <c r="B37" s="82" t="s">
        <v>204</v>
      </c>
      <c r="C37" s="83">
        <v>4.1666666670000003</v>
      </c>
      <c r="D37" s="84">
        <v>3.22</v>
      </c>
      <c r="E37" s="89">
        <v>3.75</v>
      </c>
      <c r="F37" s="89">
        <v>3.8</v>
      </c>
      <c r="G37" s="85">
        <v>4.3</v>
      </c>
      <c r="H37" s="127">
        <v>0.5</v>
      </c>
    </row>
    <row r="38" spans="1:8" ht="103.5" thickBot="1" x14ac:dyDescent="0.3">
      <c r="A38" t="s">
        <v>517</v>
      </c>
      <c r="B38" s="82" t="s">
        <v>205</v>
      </c>
      <c r="C38" s="83">
        <v>4.1666666670000003</v>
      </c>
      <c r="D38" s="84">
        <v>3.44</v>
      </c>
      <c r="E38" s="85">
        <v>4.375</v>
      </c>
      <c r="F38" s="89">
        <v>3.6</v>
      </c>
      <c r="G38" s="85">
        <v>4.3</v>
      </c>
      <c r="H38" s="127">
        <v>0.7</v>
      </c>
    </row>
    <row r="39" spans="1:8" ht="78" thickBot="1" x14ac:dyDescent="0.3">
      <c r="A39" t="s">
        <v>518</v>
      </c>
      <c r="B39" s="82" t="s">
        <v>206</v>
      </c>
      <c r="C39" s="83">
        <v>4.3333333329999997</v>
      </c>
      <c r="D39" s="84">
        <v>3.44</v>
      </c>
      <c r="E39" s="85">
        <v>4.78</v>
      </c>
      <c r="F39" s="85">
        <v>4.3</v>
      </c>
      <c r="G39" s="85">
        <v>4.4000000000000004</v>
      </c>
      <c r="H39" s="124" t="s">
        <v>315</v>
      </c>
    </row>
    <row r="40" spans="1:8" ht="103.5" thickBot="1" x14ac:dyDescent="0.3">
      <c r="A40" t="s">
        <v>519</v>
      </c>
      <c r="B40" s="82" t="s">
        <v>207</v>
      </c>
      <c r="C40" s="83">
        <v>4.8333333329999997</v>
      </c>
      <c r="D40" s="84">
        <v>3.67</v>
      </c>
      <c r="E40" s="85">
        <v>4.67</v>
      </c>
      <c r="F40" s="85">
        <v>4.5999999999999996</v>
      </c>
      <c r="G40" s="85">
        <v>4.4000000000000004</v>
      </c>
      <c r="H40" s="129">
        <v>0.2</v>
      </c>
    </row>
    <row r="41" spans="1:8" ht="78" thickBot="1" x14ac:dyDescent="0.3">
      <c r="A41" t="s">
        <v>520</v>
      </c>
      <c r="B41" s="82" t="s">
        <v>208</v>
      </c>
      <c r="C41" s="88">
        <v>3.8333333330000001</v>
      </c>
      <c r="D41" s="84">
        <v>3.56</v>
      </c>
      <c r="E41" s="89">
        <v>3.89</v>
      </c>
      <c r="F41" s="85">
        <v>4</v>
      </c>
      <c r="G41" s="85">
        <v>4.2</v>
      </c>
      <c r="H41" s="127">
        <v>0.2</v>
      </c>
    </row>
    <row r="42" spans="1:8" ht="52.5" thickBot="1" x14ac:dyDescent="0.3">
      <c r="A42" t="s">
        <v>521</v>
      </c>
      <c r="B42" s="82" t="s">
        <v>209</v>
      </c>
      <c r="C42" s="83">
        <v>4.5</v>
      </c>
      <c r="D42" s="84">
        <v>3.78</v>
      </c>
      <c r="E42" s="85">
        <v>4.1100000000000003</v>
      </c>
      <c r="F42" s="89">
        <v>3.7</v>
      </c>
      <c r="G42" s="89">
        <v>3.9</v>
      </c>
      <c r="H42" s="127">
        <v>0.2</v>
      </c>
    </row>
    <row r="43" spans="1:8" ht="78" thickBot="1" x14ac:dyDescent="0.3">
      <c r="A43" t="s">
        <v>522</v>
      </c>
      <c r="B43" s="82" t="s">
        <v>210</v>
      </c>
      <c r="C43" s="88">
        <v>3.6666666669999999</v>
      </c>
      <c r="D43" s="84">
        <v>3.11</v>
      </c>
      <c r="E43" s="89">
        <v>3.78</v>
      </c>
      <c r="F43" s="89">
        <v>3.9</v>
      </c>
      <c r="G43" s="89">
        <v>3.7</v>
      </c>
      <c r="H43" s="129">
        <v>0.2</v>
      </c>
    </row>
    <row r="44" spans="1:8" ht="78" thickBot="1" x14ac:dyDescent="0.3">
      <c r="A44" t="s">
        <v>523</v>
      </c>
      <c r="B44" s="82" t="s">
        <v>211</v>
      </c>
      <c r="C44" s="83">
        <v>4</v>
      </c>
      <c r="D44" s="84">
        <v>3.44</v>
      </c>
      <c r="E44" s="85">
        <v>4.22</v>
      </c>
      <c r="F44" s="85">
        <v>4.3</v>
      </c>
      <c r="G44" s="85">
        <v>4.4000000000000004</v>
      </c>
      <c r="H44" s="124" t="s">
        <v>315</v>
      </c>
    </row>
    <row r="45" spans="1:8" ht="90.75" thickBot="1" x14ac:dyDescent="0.3">
      <c r="A45" t="s">
        <v>524</v>
      </c>
      <c r="B45" s="82" t="s">
        <v>212</v>
      </c>
      <c r="C45" s="83">
        <v>4</v>
      </c>
      <c r="D45" s="84">
        <v>3.44</v>
      </c>
      <c r="E45" s="85">
        <v>4.1100000000000003</v>
      </c>
      <c r="F45" s="85">
        <v>4.0999999999999996</v>
      </c>
      <c r="G45" s="85">
        <v>4.2</v>
      </c>
      <c r="H45" s="124" t="s">
        <v>315</v>
      </c>
    </row>
    <row r="46" spans="1:8" ht="65.25" thickBot="1" x14ac:dyDescent="0.3">
      <c r="A46" t="s">
        <v>525</v>
      </c>
      <c r="B46" s="82" t="s">
        <v>213</v>
      </c>
      <c r="C46" s="83">
        <v>4.3333333329999997</v>
      </c>
      <c r="D46" s="84">
        <v>3.33</v>
      </c>
      <c r="E46" s="89">
        <v>3.78</v>
      </c>
      <c r="F46" s="89">
        <v>3.8</v>
      </c>
      <c r="G46" s="85">
        <v>4.2</v>
      </c>
      <c r="H46" s="127">
        <v>0.4</v>
      </c>
    </row>
    <row r="47" spans="1:8" ht="78" thickBot="1" x14ac:dyDescent="0.3">
      <c r="A47" t="s">
        <v>526</v>
      </c>
      <c r="B47" s="82" t="s">
        <v>214</v>
      </c>
      <c r="C47" s="83">
        <v>4.5</v>
      </c>
      <c r="D47" s="84">
        <v>3.67</v>
      </c>
      <c r="E47" s="85">
        <v>4.78</v>
      </c>
      <c r="F47" s="85">
        <v>4.2</v>
      </c>
      <c r="G47" s="85">
        <v>4.3</v>
      </c>
      <c r="H47" s="124" t="s">
        <v>315</v>
      </c>
    </row>
    <row r="48" spans="1:8" ht="65.25" thickBot="1" x14ac:dyDescent="0.3">
      <c r="A48" t="s">
        <v>527</v>
      </c>
      <c r="B48" s="82" t="s">
        <v>215</v>
      </c>
      <c r="C48" s="83">
        <v>4.1666666670000003</v>
      </c>
      <c r="D48" s="84">
        <v>3.56</v>
      </c>
      <c r="E48" s="85">
        <v>4.78</v>
      </c>
      <c r="F48" s="85">
        <v>4.4000000000000004</v>
      </c>
      <c r="G48" s="85">
        <v>4.3</v>
      </c>
      <c r="H48" s="124" t="s">
        <v>315</v>
      </c>
    </row>
    <row r="49" spans="1:8" ht="78" thickBot="1" x14ac:dyDescent="0.3">
      <c r="A49" t="s">
        <v>528</v>
      </c>
      <c r="B49" s="82" t="s">
        <v>216</v>
      </c>
      <c r="C49" s="83">
        <v>4.8333333329999997</v>
      </c>
      <c r="D49" s="84">
        <v>3.78</v>
      </c>
      <c r="E49" s="85">
        <v>4.67</v>
      </c>
      <c r="F49" s="85">
        <v>4.4000000000000004</v>
      </c>
      <c r="G49" s="85">
        <v>4.3</v>
      </c>
      <c r="H49" s="124" t="s">
        <v>315</v>
      </c>
    </row>
    <row r="50" spans="1:8" ht="65.25" thickBot="1" x14ac:dyDescent="0.3">
      <c r="A50" t="s">
        <v>529</v>
      </c>
      <c r="B50" s="82" t="s">
        <v>217</v>
      </c>
      <c r="C50" s="83">
        <v>4.8333333329999997</v>
      </c>
      <c r="D50" s="84">
        <v>3.56</v>
      </c>
      <c r="E50" s="85">
        <v>4.5599999999999996</v>
      </c>
      <c r="F50" s="85">
        <v>4.3</v>
      </c>
      <c r="G50" s="85">
        <v>4.4000000000000004</v>
      </c>
      <c r="H50" s="124" t="s">
        <v>315</v>
      </c>
    </row>
    <row r="51" spans="1:8" ht="52.5" thickBot="1" x14ac:dyDescent="0.3">
      <c r="A51" t="s">
        <v>530</v>
      </c>
      <c r="B51" s="82" t="s">
        <v>218</v>
      </c>
      <c r="C51" s="83">
        <v>4.6666666670000003</v>
      </c>
      <c r="D51" s="84">
        <v>3.56</v>
      </c>
      <c r="E51" s="85">
        <v>4.4400000000000004</v>
      </c>
      <c r="F51" s="85">
        <v>4.0999999999999996</v>
      </c>
      <c r="G51" s="85">
        <v>4.2</v>
      </c>
      <c r="H51" s="124" t="s">
        <v>315</v>
      </c>
    </row>
    <row r="52" spans="1:8" ht="65.25" thickBot="1" x14ac:dyDescent="0.3">
      <c r="A52" t="s">
        <v>531</v>
      </c>
      <c r="B52" s="82" t="s">
        <v>219</v>
      </c>
      <c r="C52" s="83">
        <v>4.8333333329999997</v>
      </c>
      <c r="D52" s="84">
        <v>3.56</v>
      </c>
      <c r="E52" s="85">
        <v>4.5599999999999996</v>
      </c>
      <c r="F52" s="85">
        <v>4.2</v>
      </c>
      <c r="G52" s="85">
        <v>4.7</v>
      </c>
      <c r="H52" s="125">
        <v>0.5</v>
      </c>
    </row>
    <row r="53" spans="1:8" ht="78" thickBot="1" x14ac:dyDescent="0.3">
      <c r="A53" t="s">
        <v>532</v>
      </c>
      <c r="B53" s="82" t="s">
        <v>220</v>
      </c>
      <c r="C53" s="83">
        <v>4.8333333329999997</v>
      </c>
      <c r="D53" s="84">
        <v>3.44</v>
      </c>
      <c r="E53" s="85">
        <v>4.67</v>
      </c>
      <c r="F53" s="85">
        <v>4.5999999999999996</v>
      </c>
      <c r="G53" s="85">
        <v>4.2</v>
      </c>
      <c r="H53" s="130">
        <v>0.4</v>
      </c>
    </row>
    <row r="54" spans="1:8" ht="78" thickBot="1" x14ac:dyDescent="0.3">
      <c r="A54" t="s">
        <v>533</v>
      </c>
      <c r="B54" s="82" t="s">
        <v>221</v>
      </c>
      <c r="C54" s="83">
        <v>4.8333333329999997</v>
      </c>
      <c r="D54" s="84">
        <v>3.76</v>
      </c>
      <c r="E54" s="85">
        <v>4.5599999999999996</v>
      </c>
      <c r="F54" s="85">
        <v>4.4000000000000004</v>
      </c>
      <c r="G54" s="85">
        <v>4</v>
      </c>
      <c r="H54" s="130">
        <v>0.4</v>
      </c>
    </row>
    <row r="55" spans="1:8" ht="90.75" thickBot="1" x14ac:dyDescent="0.3">
      <c r="A55" t="s">
        <v>534</v>
      </c>
      <c r="B55" s="82" t="s">
        <v>222</v>
      </c>
      <c r="C55" s="83">
        <v>4.3333333329999997</v>
      </c>
      <c r="D55" s="84">
        <v>3.56</v>
      </c>
      <c r="E55" s="85">
        <v>4.22</v>
      </c>
      <c r="F55" s="85">
        <v>4.0999999999999996</v>
      </c>
      <c r="G55" s="85">
        <v>4.3</v>
      </c>
      <c r="H55" s="127">
        <v>0.2</v>
      </c>
    </row>
    <row r="56" spans="1:8" ht="78" thickBot="1" x14ac:dyDescent="0.3">
      <c r="A56" t="s">
        <v>535</v>
      </c>
      <c r="B56" s="82" t="s">
        <v>223</v>
      </c>
      <c r="C56" s="83">
        <v>4.3333333329999997</v>
      </c>
      <c r="D56" s="84">
        <v>3.56</v>
      </c>
      <c r="E56" s="85">
        <v>4.1100000000000003</v>
      </c>
      <c r="F56" s="89">
        <v>3.9</v>
      </c>
      <c r="G56" s="85">
        <v>4.3</v>
      </c>
      <c r="H56" s="127">
        <v>0.4</v>
      </c>
    </row>
    <row r="57" spans="1:8" ht="52.5" thickBot="1" x14ac:dyDescent="0.3">
      <c r="A57" t="s">
        <v>536</v>
      </c>
      <c r="B57" s="82" t="s">
        <v>224</v>
      </c>
      <c r="C57" s="83">
        <v>4.8333333329999997</v>
      </c>
      <c r="D57" s="84">
        <v>3.89</v>
      </c>
      <c r="E57" s="85">
        <v>4.5599999999999996</v>
      </c>
      <c r="F57" s="85">
        <v>4.4000000000000004</v>
      </c>
      <c r="G57" s="85">
        <v>4.4000000000000004</v>
      </c>
      <c r="H57" s="124" t="s">
        <v>315</v>
      </c>
    </row>
    <row r="58" spans="1:8" ht="65.25" thickBot="1" x14ac:dyDescent="0.3">
      <c r="A58" t="s">
        <v>537</v>
      </c>
      <c r="B58" s="82" t="s">
        <v>225</v>
      </c>
      <c r="C58" s="83">
        <v>4.8333333329999997</v>
      </c>
      <c r="D58" s="84">
        <v>3.78</v>
      </c>
      <c r="E58" s="85">
        <v>4.67</v>
      </c>
      <c r="F58" s="85">
        <v>4.4000000000000004</v>
      </c>
      <c r="G58" s="85">
        <v>4.5</v>
      </c>
      <c r="H58" s="124" t="s">
        <v>315</v>
      </c>
    </row>
    <row r="59" spans="1:8" ht="78" thickBot="1" x14ac:dyDescent="0.3">
      <c r="A59" t="s">
        <v>538</v>
      </c>
      <c r="B59" s="82" t="s">
        <v>226</v>
      </c>
      <c r="C59" s="83">
        <v>4.8333333329999997</v>
      </c>
      <c r="D59" s="84">
        <v>3.78</v>
      </c>
      <c r="E59" s="85">
        <v>4.78</v>
      </c>
      <c r="F59" s="85">
        <v>4.5999999999999996</v>
      </c>
      <c r="G59" s="85">
        <v>4.4000000000000004</v>
      </c>
      <c r="H59" s="129">
        <v>0.2</v>
      </c>
    </row>
    <row r="60" spans="1:8" ht="78" thickBot="1" x14ac:dyDescent="0.3">
      <c r="A60" t="s">
        <v>539</v>
      </c>
      <c r="B60" s="82" t="s">
        <v>227</v>
      </c>
      <c r="C60" s="83">
        <v>4.1666666670000003</v>
      </c>
      <c r="D60" s="84">
        <v>3.22</v>
      </c>
      <c r="E60" s="85">
        <v>4.4400000000000004</v>
      </c>
      <c r="F60" s="85">
        <v>4.0999999999999996</v>
      </c>
      <c r="G60" s="85">
        <v>4.4000000000000004</v>
      </c>
      <c r="H60" s="127">
        <v>0.3</v>
      </c>
    </row>
    <row r="61" spans="1:8" ht="78" thickBot="1" x14ac:dyDescent="0.3">
      <c r="A61" t="s">
        <v>540</v>
      </c>
      <c r="B61" s="82" t="s">
        <v>228</v>
      </c>
      <c r="C61" s="83">
        <v>4.6666666670000003</v>
      </c>
      <c r="D61" s="84">
        <v>3.78</v>
      </c>
      <c r="E61" s="85">
        <v>4.8899999999999997</v>
      </c>
      <c r="F61" s="85">
        <v>4.5999999999999996</v>
      </c>
      <c r="G61" s="85">
        <v>4.5999999999999996</v>
      </c>
      <c r="H61" s="124" t="s">
        <v>315</v>
      </c>
    </row>
    <row r="62" spans="1:8" ht="78" thickBot="1" x14ac:dyDescent="0.3">
      <c r="A62" t="s">
        <v>541</v>
      </c>
      <c r="B62" s="82" t="s">
        <v>229</v>
      </c>
      <c r="C62" s="83">
        <v>4.6666666670000003</v>
      </c>
      <c r="D62" s="84">
        <v>3.33</v>
      </c>
      <c r="E62" s="85">
        <v>4.1100000000000003</v>
      </c>
      <c r="F62" s="85">
        <v>4.5999999999999996</v>
      </c>
      <c r="G62" s="85">
        <v>4.0999999999999996</v>
      </c>
      <c r="H62" s="130">
        <v>0.5</v>
      </c>
    </row>
    <row r="63" spans="1:8" ht="78" thickBot="1" x14ac:dyDescent="0.3">
      <c r="A63" t="s">
        <v>542</v>
      </c>
      <c r="B63" s="82" t="s">
        <v>230</v>
      </c>
      <c r="C63" s="83">
        <v>4.6666666670000003</v>
      </c>
      <c r="D63" s="84">
        <v>3.67</v>
      </c>
      <c r="E63" s="85">
        <v>4.5599999999999996</v>
      </c>
      <c r="F63" s="85">
        <v>4.5</v>
      </c>
      <c r="G63" s="85">
        <v>4.5</v>
      </c>
      <c r="H63" s="124" t="s">
        <v>315</v>
      </c>
    </row>
    <row r="64" spans="1:8" ht="65.25" thickBot="1" x14ac:dyDescent="0.3">
      <c r="A64" t="s">
        <v>543</v>
      </c>
      <c r="B64" s="82" t="s">
        <v>231</v>
      </c>
      <c r="C64" s="83">
        <v>5</v>
      </c>
      <c r="D64" s="84">
        <v>3.67</v>
      </c>
      <c r="E64" s="85">
        <v>4.8899999999999997</v>
      </c>
      <c r="F64" s="85">
        <v>4.7</v>
      </c>
      <c r="G64" s="85">
        <v>4.5999999999999996</v>
      </c>
      <c r="H64" s="124" t="s">
        <v>315</v>
      </c>
    </row>
    <row r="65" spans="1:8" ht="78" thickBot="1" x14ac:dyDescent="0.3">
      <c r="A65" t="s">
        <v>544</v>
      </c>
      <c r="B65" s="82" t="s">
        <v>232</v>
      </c>
      <c r="C65" s="83">
        <v>5</v>
      </c>
      <c r="D65" s="84">
        <v>3.78</v>
      </c>
      <c r="E65" s="85">
        <v>4.8899999999999997</v>
      </c>
      <c r="F65" s="85">
        <v>4.5999999999999996</v>
      </c>
      <c r="G65" s="85">
        <v>4.5999999999999996</v>
      </c>
      <c r="H65" s="124" t="s">
        <v>315</v>
      </c>
    </row>
    <row r="66" spans="1:8" x14ac:dyDescent="0.25">
      <c r="G66" s="125">
        <v>12</v>
      </c>
    </row>
    <row r="67" spans="1:8" x14ac:dyDescent="0.25">
      <c r="B67" s="131" t="s">
        <v>323</v>
      </c>
      <c r="C67" t="s">
        <v>324</v>
      </c>
      <c r="D67" t="s">
        <v>325</v>
      </c>
      <c r="G67" s="44">
        <f>12/14</f>
        <v>0.8571428571428571</v>
      </c>
    </row>
    <row r="68" spans="1:8" x14ac:dyDescent="0.25">
      <c r="B68" s="131" t="s">
        <v>326</v>
      </c>
      <c r="C68" t="s">
        <v>327</v>
      </c>
      <c r="D68" t="s">
        <v>328</v>
      </c>
    </row>
    <row r="69" spans="1:8" x14ac:dyDescent="0.25">
      <c r="B69" s="131" t="s">
        <v>253</v>
      </c>
      <c r="C69" t="s">
        <v>329</v>
      </c>
      <c r="D69" t="s">
        <v>330</v>
      </c>
      <c r="E69" t="s">
        <v>331</v>
      </c>
    </row>
  </sheetData>
  <phoneticPr fontId="13" type="noConversion"/>
  <pageMargins left="0.7" right="0.7" top="0.75" bottom="0.75" header="0.3" footer="0.3"/>
  <pageSetup scale="9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T67"/>
  <sheetViews>
    <sheetView topLeftCell="C1" workbookViewId="0">
      <selection activeCell="L39" sqref="L39:L42"/>
    </sheetView>
  </sheetViews>
  <sheetFormatPr defaultRowHeight="15" x14ac:dyDescent="0.25"/>
  <cols>
    <col min="2" max="3" width="21.7109375" customWidth="1"/>
    <col min="13" max="13" width="24.140625" customWidth="1"/>
    <col min="18" max="19" width="10.28515625" customWidth="1"/>
  </cols>
  <sheetData>
    <row r="1" spans="1:20" x14ac:dyDescent="0.25">
      <c r="B1" s="2" t="s">
        <v>99</v>
      </c>
      <c r="C1" s="132" t="s">
        <v>332</v>
      </c>
      <c r="D1" s="186" t="s">
        <v>100</v>
      </c>
      <c r="E1" s="187"/>
      <c r="F1" s="187"/>
      <c r="G1" s="187"/>
      <c r="M1" s="2" t="s">
        <v>36</v>
      </c>
      <c r="N1" s="188" t="s">
        <v>101</v>
      </c>
      <c r="O1" s="184"/>
      <c r="P1" s="184"/>
      <c r="Q1" s="184"/>
    </row>
    <row r="2" spans="1:20" x14ac:dyDescent="0.25">
      <c r="A2" s="2" t="s">
        <v>102</v>
      </c>
      <c r="C2" s="2"/>
      <c r="D2" s="2" t="s">
        <v>103</v>
      </c>
      <c r="E2" s="2" t="s">
        <v>104</v>
      </c>
      <c r="F2" s="2" t="s">
        <v>105</v>
      </c>
      <c r="G2" s="64" t="s">
        <v>106</v>
      </c>
      <c r="H2" s="2" t="s">
        <v>107</v>
      </c>
      <c r="I2" s="2" t="s">
        <v>233</v>
      </c>
      <c r="J2" s="2" t="s">
        <v>313</v>
      </c>
      <c r="L2" s="2" t="s">
        <v>108</v>
      </c>
      <c r="N2" s="2" t="s">
        <v>103</v>
      </c>
      <c r="O2" s="2" t="s">
        <v>104</v>
      </c>
      <c r="P2" s="2" t="s">
        <v>109</v>
      </c>
      <c r="Q2" s="2" t="s">
        <v>106</v>
      </c>
      <c r="R2" s="2" t="s">
        <v>107</v>
      </c>
      <c r="S2" s="2" t="s">
        <v>233</v>
      </c>
      <c r="T2" s="2" t="s">
        <v>313</v>
      </c>
    </row>
    <row r="3" spans="1:20" x14ac:dyDescent="0.25">
      <c r="B3" s="2" t="s">
        <v>110</v>
      </c>
      <c r="C3" s="2"/>
      <c r="D3" s="2"/>
      <c r="E3" s="2"/>
      <c r="F3" s="2"/>
      <c r="G3" s="2"/>
      <c r="H3" s="2"/>
      <c r="I3" s="2"/>
      <c r="J3" s="2"/>
      <c r="M3" s="2" t="s">
        <v>111</v>
      </c>
      <c r="N3" s="2"/>
      <c r="O3" s="2"/>
      <c r="P3" s="2"/>
      <c r="Q3" s="2"/>
      <c r="R3" s="2"/>
      <c r="S3" s="2"/>
      <c r="T3" s="2"/>
    </row>
    <row r="4" spans="1:20" x14ac:dyDescent="0.25">
      <c r="A4" t="s">
        <v>492</v>
      </c>
      <c r="B4" s="2" t="s">
        <v>112</v>
      </c>
      <c r="C4" s="2"/>
      <c r="D4" s="69">
        <v>1</v>
      </c>
      <c r="E4" s="66">
        <v>0.73</v>
      </c>
      <c r="F4" s="67">
        <v>1</v>
      </c>
      <c r="G4" s="72">
        <v>1</v>
      </c>
      <c r="H4" s="69">
        <v>1</v>
      </c>
      <c r="I4" s="69">
        <v>1</v>
      </c>
      <c r="J4" s="120">
        <v>1</v>
      </c>
      <c r="L4" t="s">
        <v>492</v>
      </c>
      <c r="M4" s="2" t="s">
        <v>71</v>
      </c>
      <c r="N4" s="66">
        <v>0.68</v>
      </c>
      <c r="O4" s="68">
        <v>0.78</v>
      </c>
      <c r="P4" s="69">
        <f>25/26</f>
        <v>0.96153846153846156</v>
      </c>
      <c r="Q4" s="69">
        <f>36/38</f>
        <v>0.94736842105263153</v>
      </c>
      <c r="R4" s="69">
        <v>0.87</v>
      </c>
      <c r="S4" s="69">
        <v>0.93</v>
      </c>
      <c r="T4" s="120">
        <v>0.98</v>
      </c>
    </row>
    <row r="5" spans="1:20" x14ac:dyDescent="0.25">
      <c r="A5" t="s">
        <v>493</v>
      </c>
      <c r="B5" s="2" t="s">
        <v>77</v>
      </c>
      <c r="C5" s="2"/>
      <c r="D5" s="69">
        <v>0.9</v>
      </c>
      <c r="E5" s="66">
        <v>0.73</v>
      </c>
      <c r="F5" s="67">
        <v>1</v>
      </c>
      <c r="G5" s="72">
        <v>1</v>
      </c>
      <c r="H5" s="69">
        <v>1</v>
      </c>
      <c r="I5" s="69">
        <v>0.92</v>
      </c>
      <c r="J5" s="120">
        <v>1</v>
      </c>
      <c r="L5" t="s">
        <v>493</v>
      </c>
      <c r="M5" s="2" t="s">
        <v>113</v>
      </c>
      <c r="N5" s="66">
        <v>0.71</v>
      </c>
      <c r="O5" s="66">
        <v>0.65</v>
      </c>
      <c r="P5" s="69">
        <f>23/24</f>
        <v>0.95833333333333337</v>
      </c>
      <c r="Q5" s="69">
        <f>33/38</f>
        <v>0.86842105263157898</v>
      </c>
      <c r="R5" s="69">
        <v>0.89</v>
      </c>
      <c r="S5" s="69">
        <v>0.89</v>
      </c>
      <c r="T5" s="120">
        <v>0.93</v>
      </c>
    </row>
    <row r="6" spans="1:20" x14ac:dyDescent="0.25">
      <c r="A6" t="s">
        <v>494</v>
      </c>
      <c r="B6" s="2" t="s">
        <v>73</v>
      </c>
      <c r="C6" s="2"/>
      <c r="D6" s="69">
        <v>0.9</v>
      </c>
      <c r="E6" s="66">
        <v>0.73</v>
      </c>
      <c r="F6" s="67">
        <v>1</v>
      </c>
      <c r="G6" s="72">
        <v>1</v>
      </c>
      <c r="H6" s="69">
        <v>1</v>
      </c>
      <c r="I6" s="69">
        <v>1</v>
      </c>
      <c r="J6" s="120">
        <v>1</v>
      </c>
      <c r="L6" t="s">
        <v>494</v>
      </c>
      <c r="M6" s="2" t="s">
        <v>77</v>
      </c>
      <c r="N6" s="66">
        <v>0.5</v>
      </c>
      <c r="O6" s="66">
        <v>0.65</v>
      </c>
      <c r="P6" s="69">
        <f>24/27</f>
        <v>0.88888888888888884</v>
      </c>
      <c r="Q6" s="69">
        <f>36/38</f>
        <v>0.94736842105263153</v>
      </c>
      <c r="R6" s="68">
        <v>0.82</v>
      </c>
      <c r="S6" s="69">
        <v>0.89</v>
      </c>
      <c r="T6" s="120">
        <v>0.88</v>
      </c>
    </row>
    <row r="7" spans="1:20" x14ac:dyDescent="0.25">
      <c r="A7" t="s">
        <v>495</v>
      </c>
      <c r="B7" s="2" t="s">
        <v>114</v>
      </c>
      <c r="C7" s="2"/>
      <c r="D7" s="69">
        <v>1</v>
      </c>
      <c r="E7" s="66">
        <v>0.73</v>
      </c>
      <c r="F7" s="67">
        <v>1</v>
      </c>
      <c r="G7" s="72">
        <v>1</v>
      </c>
      <c r="H7" s="69">
        <v>1</v>
      </c>
      <c r="I7" s="69">
        <v>1</v>
      </c>
      <c r="J7" s="120">
        <v>1</v>
      </c>
      <c r="L7" t="s">
        <v>495</v>
      </c>
      <c r="M7" s="2" t="s">
        <v>115</v>
      </c>
      <c r="N7" s="66">
        <v>0.53</v>
      </c>
      <c r="O7" s="66">
        <v>0.48</v>
      </c>
      <c r="P7" s="69">
        <f>24/25</f>
        <v>0.96</v>
      </c>
      <c r="Q7" s="69">
        <f>35/38</f>
        <v>0.92105263157894735</v>
      </c>
      <c r="R7" s="69">
        <v>0.92</v>
      </c>
      <c r="S7" s="69">
        <v>0.91</v>
      </c>
      <c r="T7" s="120">
        <v>0.93</v>
      </c>
    </row>
    <row r="8" spans="1:20" x14ac:dyDescent="0.25">
      <c r="B8" s="2"/>
      <c r="C8" s="2"/>
      <c r="D8" s="2"/>
      <c r="E8" s="2"/>
      <c r="F8" s="70"/>
      <c r="G8" s="2"/>
      <c r="H8" s="65"/>
      <c r="I8" s="95"/>
      <c r="J8" s="2"/>
      <c r="M8" s="2" t="s">
        <v>116</v>
      </c>
      <c r="N8" s="65"/>
      <c r="O8" s="65"/>
      <c r="P8" s="65"/>
      <c r="Q8" s="65"/>
      <c r="R8" s="65"/>
      <c r="S8" s="65"/>
      <c r="T8" s="2"/>
    </row>
    <row r="9" spans="1:20" ht="45" x14ac:dyDescent="0.25">
      <c r="A9" t="s">
        <v>497</v>
      </c>
      <c r="B9" s="9" t="s">
        <v>118</v>
      </c>
      <c r="C9" s="9"/>
      <c r="D9" s="69">
        <v>1</v>
      </c>
      <c r="E9" s="66">
        <v>0.55000000000000004</v>
      </c>
      <c r="F9" s="67">
        <v>0.91669999999999996</v>
      </c>
      <c r="G9" s="72">
        <v>1</v>
      </c>
      <c r="H9" s="69">
        <v>0.86</v>
      </c>
      <c r="I9" s="69">
        <v>0.92</v>
      </c>
      <c r="J9" s="120">
        <v>1</v>
      </c>
      <c r="L9" t="s">
        <v>497</v>
      </c>
      <c r="M9" s="9" t="s">
        <v>117</v>
      </c>
      <c r="N9" s="66">
        <v>0.68</v>
      </c>
      <c r="O9" s="69">
        <v>0.87</v>
      </c>
      <c r="P9" s="69">
        <f>26/27</f>
        <v>0.96296296296296291</v>
      </c>
      <c r="Q9" s="69">
        <f>38/38</f>
        <v>1</v>
      </c>
      <c r="R9" s="68">
        <v>0.84</v>
      </c>
      <c r="S9" s="69">
        <v>0.91</v>
      </c>
      <c r="T9" s="120">
        <v>0.93</v>
      </c>
    </row>
    <row r="10" spans="1:20" ht="60" x14ac:dyDescent="0.25">
      <c r="A10" t="s">
        <v>498</v>
      </c>
      <c r="B10" s="9" t="s">
        <v>120</v>
      </c>
      <c r="C10" s="9"/>
      <c r="D10" s="69">
        <v>0.9</v>
      </c>
      <c r="E10" s="66">
        <v>0.64</v>
      </c>
      <c r="F10" s="67">
        <v>1</v>
      </c>
      <c r="G10" s="72">
        <v>0.9</v>
      </c>
      <c r="H10" s="69">
        <v>0.93</v>
      </c>
      <c r="I10" s="69">
        <v>0.92</v>
      </c>
      <c r="J10" s="120">
        <v>1</v>
      </c>
      <c r="L10" t="s">
        <v>498</v>
      </c>
      <c r="M10" s="9" t="s">
        <v>119</v>
      </c>
      <c r="N10" s="66">
        <v>0.74</v>
      </c>
      <c r="O10" s="69">
        <v>0.91</v>
      </c>
      <c r="P10" s="69">
        <v>1</v>
      </c>
      <c r="Q10" s="69">
        <f t="shared" ref="Q10:Q11" si="0">38/38</f>
        <v>1</v>
      </c>
      <c r="R10" s="69">
        <v>1</v>
      </c>
      <c r="S10" s="69">
        <v>0.98</v>
      </c>
      <c r="T10" s="120">
        <v>1</v>
      </c>
    </row>
    <row r="11" spans="1:20" ht="45" x14ac:dyDescent="0.25">
      <c r="A11" t="s">
        <v>499</v>
      </c>
      <c r="B11" s="9" t="s">
        <v>122</v>
      </c>
      <c r="C11" s="9"/>
      <c r="D11" s="68">
        <v>0.8</v>
      </c>
      <c r="E11" s="69">
        <v>0.91</v>
      </c>
      <c r="F11" s="67">
        <v>0.91669999999999996</v>
      </c>
      <c r="G11" s="72">
        <v>0.9</v>
      </c>
      <c r="H11" s="69">
        <v>0.93</v>
      </c>
      <c r="I11" s="69">
        <v>0.92</v>
      </c>
      <c r="J11" s="122">
        <v>0.83</v>
      </c>
      <c r="L11" t="s">
        <v>499</v>
      </c>
      <c r="M11" s="9" t="s">
        <v>121</v>
      </c>
      <c r="N11" s="66">
        <v>0.65</v>
      </c>
      <c r="O11" s="66">
        <v>0.74</v>
      </c>
      <c r="P11" s="69">
        <f>28/29</f>
        <v>0.96551724137931039</v>
      </c>
      <c r="Q11" s="69">
        <f t="shared" si="0"/>
        <v>1</v>
      </c>
      <c r="R11" s="69">
        <v>0.92</v>
      </c>
      <c r="S11" s="69">
        <v>0.94</v>
      </c>
      <c r="T11" s="120">
        <v>1</v>
      </c>
    </row>
    <row r="12" spans="1:20" ht="30" x14ac:dyDescent="0.25">
      <c r="A12" t="s">
        <v>500</v>
      </c>
      <c r="B12" s="9" t="s">
        <v>124</v>
      </c>
      <c r="C12" s="9"/>
      <c r="D12" s="69">
        <v>1</v>
      </c>
      <c r="E12" s="69">
        <v>0.91</v>
      </c>
      <c r="F12" s="67">
        <v>1</v>
      </c>
      <c r="G12" s="72">
        <v>1</v>
      </c>
      <c r="H12" s="69">
        <v>1</v>
      </c>
      <c r="I12" s="68">
        <f>10/12</f>
        <v>0.83333333333333337</v>
      </c>
      <c r="J12" s="120">
        <v>1</v>
      </c>
      <c r="L12" t="s">
        <v>500</v>
      </c>
      <c r="M12" s="9" t="s">
        <v>123</v>
      </c>
      <c r="N12" s="66">
        <v>0.62</v>
      </c>
      <c r="O12" s="66">
        <v>0.74</v>
      </c>
      <c r="P12" s="69">
        <f>23/25</f>
        <v>0.92</v>
      </c>
      <c r="Q12" s="69">
        <f>36/38</f>
        <v>0.94736842105263153</v>
      </c>
      <c r="R12" s="66">
        <v>0.68</v>
      </c>
      <c r="S12" s="68">
        <v>0.8</v>
      </c>
      <c r="T12" s="120">
        <v>0.9</v>
      </c>
    </row>
    <row r="13" spans="1:20" ht="30" x14ac:dyDescent="0.25">
      <c r="B13" s="9"/>
      <c r="C13" s="9"/>
      <c r="D13" s="2"/>
      <c r="E13" s="2"/>
      <c r="F13" s="94"/>
      <c r="G13" s="2"/>
      <c r="H13" s="65"/>
      <c r="I13" s="95"/>
      <c r="J13" s="112"/>
      <c r="L13" t="s">
        <v>501</v>
      </c>
      <c r="M13" s="9" t="s">
        <v>125</v>
      </c>
      <c r="N13" s="68">
        <v>0.82</v>
      </c>
      <c r="O13" s="69">
        <v>0.91</v>
      </c>
      <c r="P13" s="69">
        <v>1</v>
      </c>
      <c r="Q13" s="69">
        <f>37/38</f>
        <v>0.97368421052631582</v>
      </c>
      <c r="R13" s="69">
        <v>0.89</v>
      </c>
      <c r="S13" s="69">
        <v>0.96</v>
      </c>
      <c r="T13" s="120">
        <v>0.95</v>
      </c>
    </row>
    <row r="14" spans="1:20" ht="45" x14ac:dyDescent="0.25">
      <c r="A14" t="s">
        <v>507</v>
      </c>
      <c r="B14" s="9" t="s">
        <v>127</v>
      </c>
      <c r="C14" s="9"/>
      <c r="D14" s="69">
        <v>1</v>
      </c>
      <c r="E14" s="69">
        <v>0.91</v>
      </c>
      <c r="F14" s="67">
        <v>1</v>
      </c>
      <c r="G14" s="72">
        <v>1</v>
      </c>
      <c r="H14" s="69">
        <v>1</v>
      </c>
      <c r="I14" s="69">
        <v>1</v>
      </c>
      <c r="J14" s="120">
        <v>1</v>
      </c>
      <c r="M14" s="9" t="s">
        <v>126</v>
      </c>
      <c r="N14" s="65"/>
      <c r="O14" s="65"/>
      <c r="P14" s="65"/>
      <c r="Q14" s="65"/>
      <c r="R14" s="65"/>
      <c r="S14" s="65"/>
      <c r="T14" s="2"/>
    </row>
    <row r="15" spans="1:20" ht="30" x14ac:dyDescent="0.25">
      <c r="A15" t="s">
        <v>508</v>
      </c>
      <c r="B15" s="9" t="s">
        <v>129</v>
      </c>
      <c r="C15" s="9"/>
      <c r="D15" s="69">
        <v>1</v>
      </c>
      <c r="E15" s="69">
        <v>0.91</v>
      </c>
      <c r="F15" s="67">
        <v>1</v>
      </c>
      <c r="G15" s="72">
        <v>1</v>
      </c>
      <c r="H15" s="69">
        <v>1</v>
      </c>
      <c r="I15" s="69">
        <v>1</v>
      </c>
      <c r="J15" s="120">
        <v>1</v>
      </c>
      <c r="L15" t="s">
        <v>507</v>
      </c>
      <c r="M15" s="9" t="s">
        <v>128</v>
      </c>
      <c r="N15" s="66">
        <v>0.74</v>
      </c>
      <c r="O15" s="69">
        <v>0.87</v>
      </c>
      <c r="P15" s="69">
        <f>26/28</f>
        <v>0.9285714285714286</v>
      </c>
      <c r="Q15" s="69">
        <f>100/100</f>
        <v>1</v>
      </c>
      <c r="R15" s="68">
        <v>0.82</v>
      </c>
      <c r="S15" s="69">
        <v>0.93</v>
      </c>
      <c r="T15" s="120">
        <v>0.98</v>
      </c>
    </row>
    <row r="16" spans="1:20" ht="30" x14ac:dyDescent="0.25">
      <c r="A16" t="s">
        <v>509</v>
      </c>
      <c r="B16" s="9" t="s">
        <v>131</v>
      </c>
      <c r="C16" s="9"/>
      <c r="D16" s="69">
        <v>1</v>
      </c>
      <c r="E16" s="69">
        <v>1</v>
      </c>
      <c r="F16" s="67">
        <v>0.91669999999999996</v>
      </c>
      <c r="G16" s="72">
        <v>1</v>
      </c>
      <c r="H16" s="69">
        <v>1</v>
      </c>
      <c r="I16" s="69">
        <v>1</v>
      </c>
      <c r="J16" s="120">
        <v>1</v>
      </c>
      <c r="L16" t="s">
        <v>508</v>
      </c>
      <c r="M16" s="9" t="s">
        <v>130</v>
      </c>
      <c r="N16" s="66">
        <v>0.44</v>
      </c>
      <c r="O16" s="66">
        <v>0.7</v>
      </c>
      <c r="P16" s="69">
        <f>23/27</f>
        <v>0.85185185185185186</v>
      </c>
      <c r="Q16" s="69">
        <f>33/38</f>
        <v>0.86842105263157898</v>
      </c>
      <c r="R16" s="68">
        <v>0.76</v>
      </c>
      <c r="S16" s="68">
        <v>0.83</v>
      </c>
      <c r="T16" s="121">
        <v>0.74</v>
      </c>
    </row>
    <row r="17" spans="1:20" ht="45" x14ac:dyDescent="0.25">
      <c r="A17" t="s">
        <v>510</v>
      </c>
      <c r="B17" s="9" t="s">
        <v>133</v>
      </c>
      <c r="C17" s="9" t="s">
        <v>333</v>
      </c>
      <c r="D17" s="69">
        <v>0.9</v>
      </c>
      <c r="E17" s="68">
        <v>0.82</v>
      </c>
      <c r="F17" s="71">
        <v>0.83299999999999996</v>
      </c>
      <c r="G17" s="72">
        <v>1</v>
      </c>
      <c r="H17" s="69">
        <v>1</v>
      </c>
      <c r="I17" s="69">
        <v>1</v>
      </c>
      <c r="J17" s="120">
        <v>1</v>
      </c>
      <c r="L17" t="s">
        <v>509</v>
      </c>
      <c r="M17" s="9" t="s">
        <v>132</v>
      </c>
      <c r="N17" s="66">
        <v>0.74</v>
      </c>
      <c r="O17" s="68">
        <v>0.78</v>
      </c>
      <c r="P17" s="69">
        <v>1</v>
      </c>
      <c r="Q17" s="69">
        <f>36/38</f>
        <v>0.94736842105263153</v>
      </c>
      <c r="R17" s="69">
        <v>0.87</v>
      </c>
      <c r="S17" s="69">
        <v>0.93</v>
      </c>
      <c r="T17" s="120">
        <v>0.93</v>
      </c>
    </row>
    <row r="18" spans="1:20" ht="45" x14ac:dyDescent="0.25">
      <c r="B18" s="2"/>
      <c r="C18" s="2"/>
      <c r="D18" s="65"/>
      <c r="E18" s="65"/>
      <c r="F18" s="70"/>
      <c r="G18" s="2"/>
      <c r="H18" s="65"/>
      <c r="I18" s="95"/>
      <c r="J18" s="112"/>
      <c r="L18" t="s">
        <v>510</v>
      </c>
      <c r="M18" s="9" t="s">
        <v>134</v>
      </c>
      <c r="N18" s="66">
        <v>0.5</v>
      </c>
      <c r="O18" s="66">
        <v>0.74</v>
      </c>
      <c r="P18" s="69">
        <f>22/23</f>
        <v>0.95652173913043481</v>
      </c>
      <c r="Q18" s="69">
        <f>36/38</f>
        <v>0.94736842105263153</v>
      </c>
      <c r="R18" s="69">
        <v>0.87</v>
      </c>
      <c r="S18" s="69">
        <v>0.93</v>
      </c>
      <c r="T18" s="120">
        <v>0.98</v>
      </c>
    </row>
    <row r="19" spans="1:20" ht="30" x14ac:dyDescent="0.25">
      <c r="A19" t="s">
        <v>526</v>
      </c>
      <c r="B19" s="9" t="s">
        <v>136</v>
      </c>
      <c r="C19" s="9"/>
      <c r="D19" s="69">
        <v>0.9</v>
      </c>
      <c r="E19" s="69">
        <v>1</v>
      </c>
      <c r="F19" s="67">
        <v>1</v>
      </c>
      <c r="G19" s="72">
        <v>1</v>
      </c>
      <c r="H19" s="69">
        <v>1</v>
      </c>
      <c r="I19" s="69">
        <v>1</v>
      </c>
      <c r="J19" s="120">
        <v>1</v>
      </c>
      <c r="L19" t="s">
        <v>511</v>
      </c>
      <c r="M19" s="9" t="s">
        <v>135</v>
      </c>
      <c r="N19" s="66">
        <v>0.68</v>
      </c>
      <c r="O19" s="69">
        <v>0.91</v>
      </c>
      <c r="P19" s="69">
        <f>27/28</f>
        <v>0.9642857142857143</v>
      </c>
      <c r="Q19" s="69">
        <f>37/38</f>
        <v>0.97368421052631582</v>
      </c>
      <c r="R19" s="69">
        <v>0.89</v>
      </c>
      <c r="S19" s="69">
        <v>0.91</v>
      </c>
      <c r="T19" s="120">
        <v>0.9</v>
      </c>
    </row>
    <row r="20" spans="1:20" ht="30" x14ac:dyDescent="0.25">
      <c r="A20" t="s">
        <v>527</v>
      </c>
      <c r="B20" s="9" t="s">
        <v>137</v>
      </c>
      <c r="C20" s="9"/>
      <c r="D20" s="69">
        <v>1</v>
      </c>
      <c r="E20" s="69">
        <v>1</v>
      </c>
      <c r="F20" s="67">
        <v>1</v>
      </c>
      <c r="G20" s="72">
        <v>1</v>
      </c>
      <c r="H20" s="69">
        <v>1</v>
      </c>
      <c r="I20" s="69">
        <v>1</v>
      </c>
      <c r="J20" s="120">
        <v>1</v>
      </c>
      <c r="M20" s="2"/>
      <c r="N20" s="65"/>
      <c r="O20" s="65"/>
      <c r="P20" s="65"/>
      <c r="Q20" s="65"/>
      <c r="R20" s="65"/>
      <c r="S20" s="65"/>
      <c r="T20" s="2"/>
    </row>
    <row r="21" spans="1:20" ht="45" x14ac:dyDescent="0.25">
      <c r="A21" t="s">
        <v>528</v>
      </c>
      <c r="B21" s="9" t="s">
        <v>139</v>
      </c>
      <c r="C21" s="9"/>
      <c r="D21" s="69">
        <v>1</v>
      </c>
      <c r="E21" s="69">
        <v>0.91</v>
      </c>
      <c r="F21" s="67">
        <v>0.91669999999999996</v>
      </c>
      <c r="G21" s="72">
        <v>0.9</v>
      </c>
      <c r="H21" s="69">
        <v>1</v>
      </c>
      <c r="I21" s="69">
        <v>1</v>
      </c>
      <c r="J21" s="120">
        <v>1</v>
      </c>
      <c r="L21" t="s">
        <v>526</v>
      </c>
      <c r="M21" s="9" t="s">
        <v>138</v>
      </c>
      <c r="N21" s="68">
        <v>0.82</v>
      </c>
      <c r="O21" s="69">
        <v>0.96</v>
      </c>
      <c r="P21" s="69">
        <v>1</v>
      </c>
      <c r="Q21" s="69">
        <f>38/38</f>
        <v>1</v>
      </c>
      <c r="R21" s="69">
        <v>0.92</v>
      </c>
      <c r="S21" s="69">
        <v>0.98</v>
      </c>
      <c r="T21" s="120">
        <v>0.98</v>
      </c>
    </row>
    <row r="22" spans="1:20" ht="45" x14ac:dyDescent="0.25">
      <c r="A22" t="s">
        <v>529</v>
      </c>
      <c r="B22" s="9" t="s">
        <v>140</v>
      </c>
      <c r="C22" s="9"/>
      <c r="D22" s="69">
        <v>0.9</v>
      </c>
      <c r="E22" s="69">
        <v>1</v>
      </c>
      <c r="F22" s="67">
        <v>0.91669999999999996</v>
      </c>
      <c r="G22" s="72">
        <v>1</v>
      </c>
      <c r="H22" s="69">
        <v>1</v>
      </c>
      <c r="I22" s="69">
        <v>1</v>
      </c>
      <c r="J22" s="120">
        <v>1</v>
      </c>
      <c r="L22" t="s">
        <v>527</v>
      </c>
      <c r="M22" s="9" t="s">
        <v>137</v>
      </c>
      <c r="N22" s="66">
        <v>0.74</v>
      </c>
      <c r="O22" s="69">
        <v>0.96</v>
      </c>
      <c r="P22" s="69">
        <v>1</v>
      </c>
      <c r="Q22" s="69">
        <f>38/38</f>
        <v>1</v>
      </c>
      <c r="R22" s="69">
        <v>1</v>
      </c>
      <c r="S22" s="69">
        <v>0.98</v>
      </c>
      <c r="T22" s="120">
        <v>0.98</v>
      </c>
    </row>
    <row r="23" spans="1:20" ht="60" x14ac:dyDescent="0.25">
      <c r="A23" t="s">
        <v>530</v>
      </c>
      <c r="C23" s="9" t="s">
        <v>334</v>
      </c>
      <c r="D23" s="65"/>
      <c r="E23" s="65"/>
      <c r="F23" s="70"/>
      <c r="G23" s="2"/>
      <c r="H23" s="65"/>
      <c r="I23" s="95"/>
      <c r="J23" s="120">
        <v>1</v>
      </c>
      <c r="L23" t="s">
        <v>528</v>
      </c>
      <c r="M23" s="9" t="s">
        <v>136</v>
      </c>
      <c r="N23" s="66">
        <v>0.56000000000000005</v>
      </c>
      <c r="O23" s="68">
        <v>0.83</v>
      </c>
      <c r="P23" s="69">
        <f>24/27</f>
        <v>0.88888888888888884</v>
      </c>
      <c r="Q23" s="69">
        <f>37/38</f>
        <v>0.97368421052631582</v>
      </c>
      <c r="R23" s="68">
        <v>0.76</v>
      </c>
      <c r="S23" s="69">
        <v>0.87</v>
      </c>
      <c r="T23" s="120">
        <v>0.88</v>
      </c>
    </row>
    <row r="24" spans="1:20" ht="45" x14ac:dyDescent="0.25">
      <c r="A24" t="s">
        <v>531</v>
      </c>
      <c r="B24" s="9" t="s">
        <v>142</v>
      </c>
      <c r="C24" s="9"/>
      <c r="D24" s="69">
        <v>1</v>
      </c>
      <c r="E24" s="69">
        <v>1</v>
      </c>
      <c r="F24" s="67">
        <v>1</v>
      </c>
      <c r="G24" s="72">
        <v>0.9</v>
      </c>
      <c r="H24" s="69">
        <v>0.93</v>
      </c>
      <c r="I24" s="69">
        <v>1</v>
      </c>
      <c r="J24" s="120">
        <v>1</v>
      </c>
      <c r="L24" t="s">
        <v>529</v>
      </c>
      <c r="M24" s="9" t="s">
        <v>141</v>
      </c>
      <c r="N24" s="66">
        <v>0.18</v>
      </c>
      <c r="O24" s="66">
        <v>0.48</v>
      </c>
      <c r="P24" s="66">
        <f>15/22</f>
        <v>0.68181818181818177</v>
      </c>
      <c r="Q24" s="68">
        <f>28/38</f>
        <v>0.73684210526315785</v>
      </c>
      <c r="R24" s="66">
        <v>0.68</v>
      </c>
      <c r="S24" s="66">
        <v>0.67</v>
      </c>
      <c r="T24" s="121">
        <v>0.69</v>
      </c>
    </row>
    <row r="25" spans="1:20" ht="60" x14ac:dyDescent="0.25">
      <c r="A25" t="s">
        <v>532</v>
      </c>
      <c r="B25" s="9" t="s">
        <v>144</v>
      </c>
      <c r="C25" s="9" t="s">
        <v>335</v>
      </c>
      <c r="D25" s="69">
        <v>1</v>
      </c>
      <c r="E25" s="68">
        <v>0.82</v>
      </c>
      <c r="F25" s="67">
        <v>0.91669999999999996</v>
      </c>
      <c r="G25" s="72">
        <v>1</v>
      </c>
      <c r="H25" s="69">
        <v>0.93</v>
      </c>
      <c r="I25" s="69">
        <v>1</v>
      </c>
      <c r="J25" s="112"/>
      <c r="L25" t="s">
        <v>530</v>
      </c>
      <c r="M25" s="9" t="s">
        <v>143</v>
      </c>
      <c r="N25" s="66">
        <v>0.44</v>
      </c>
      <c r="O25" s="66">
        <v>0.56999999999999995</v>
      </c>
      <c r="P25" s="69">
        <f>20/23</f>
        <v>0.86956521739130432</v>
      </c>
      <c r="Q25" s="69">
        <f>36/38</f>
        <v>0.94736842105263153</v>
      </c>
      <c r="R25" s="69">
        <v>0.87</v>
      </c>
      <c r="S25" s="69">
        <v>0.87</v>
      </c>
      <c r="T25" s="120">
        <v>0.88</v>
      </c>
    </row>
    <row r="26" spans="1:20" ht="45" x14ac:dyDescent="0.25">
      <c r="A26" t="s">
        <v>533</v>
      </c>
      <c r="B26" s="9" t="s">
        <v>145</v>
      </c>
      <c r="C26" s="9"/>
      <c r="D26" s="68">
        <v>0.8</v>
      </c>
      <c r="E26" s="66">
        <v>0.73</v>
      </c>
      <c r="F26" s="67">
        <v>1</v>
      </c>
      <c r="G26" s="72">
        <v>1</v>
      </c>
      <c r="H26" s="69">
        <v>0.93</v>
      </c>
      <c r="I26" s="69">
        <v>1</v>
      </c>
      <c r="J26" s="120">
        <v>1</v>
      </c>
      <c r="M26" s="9" t="s">
        <v>126</v>
      </c>
      <c r="N26" s="65"/>
      <c r="O26" s="65"/>
      <c r="P26" s="65"/>
      <c r="Q26" s="65"/>
      <c r="R26" s="2"/>
      <c r="S26" s="65"/>
      <c r="T26" s="2"/>
    </row>
    <row r="27" spans="1:20" ht="60" x14ac:dyDescent="0.25">
      <c r="A27" t="s">
        <v>534</v>
      </c>
      <c r="B27" s="9" t="s">
        <v>147</v>
      </c>
      <c r="C27" s="9"/>
      <c r="D27" s="69">
        <v>1</v>
      </c>
      <c r="E27" s="69">
        <v>1</v>
      </c>
      <c r="F27" s="67">
        <v>1</v>
      </c>
      <c r="G27" s="72">
        <v>1</v>
      </c>
      <c r="H27" s="69">
        <v>0.93</v>
      </c>
      <c r="I27" s="69">
        <v>0.92</v>
      </c>
      <c r="J27" s="120">
        <v>1</v>
      </c>
      <c r="L27" t="s">
        <v>538</v>
      </c>
      <c r="M27" s="9" t="s">
        <v>146</v>
      </c>
      <c r="N27" s="66">
        <v>0.56000000000000005</v>
      </c>
      <c r="O27" s="66">
        <v>0.56999999999999995</v>
      </c>
      <c r="P27" s="68">
        <f>18/23</f>
        <v>0.78260869565217395</v>
      </c>
      <c r="Q27" s="69">
        <f>33/38</f>
        <v>0.86842105263157898</v>
      </c>
      <c r="R27" s="66">
        <v>0.71</v>
      </c>
      <c r="S27" s="69">
        <v>0.85</v>
      </c>
      <c r="T27" s="120">
        <v>0.88</v>
      </c>
    </row>
    <row r="28" spans="1:20" x14ac:dyDescent="0.25">
      <c r="B28" s="2"/>
      <c r="C28" s="2"/>
      <c r="D28" s="65"/>
      <c r="E28" s="65"/>
      <c r="F28" s="70"/>
      <c r="G28" s="2"/>
      <c r="H28" s="65"/>
      <c r="I28" s="95"/>
      <c r="J28" s="112"/>
      <c r="L28" t="s">
        <v>539</v>
      </c>
      <c r="M28" s="9" t="s">
        <v>148</v>
      </c>
      <c r="N28" s="66">
        <v>0.59</v>
      </c>
      <c r="O28" s="69">
        <v>0.91</v>
      </c>
      <c r="P28" s="69">
        <v>1</v>
      </c>
      <c r="Q28" s="69">
        <f>37/38</f>
        <v>0.97368421052631582</v>
      </c>
      <c r="R28" s="69">
        <v>0.87</v>
      </c>
      <c r="S28" s="69">
        <v>0.94</v>
      </c>
      <c r="T28" s="120">
        <v>0.93</v>
      </c>
    </row>
    <row r="29" spans="1:20" ht="45" x14ac:dyDescent="0.25">
      <c r="A29" t="s">
        <v>538</v>
      </c>
      <c r="B29" s="9" t="s">
        <v>150</v>
      </c>
      <c r="C29" s="9"/>
      <c r="D29" s="69">
        <v>0.9</v>
      </c>
      <c r="E29" s="69">
        <v>1</v>
      </c>
      <c r="F29" s="67">
        <v>1</v>
      </c>
      <c r="G29" s="72">
        <v>1</v>
      </c>
      <c r="H29" s="69">
        <v>1</v>
      </c>
      <c r="I29" s="69">
        <v>1</v>
      </c>
      <c r="J29" s="120">
        <v>1</v>
      </c>
      <c r="L29" t="s">
        <v>540</v>
      </c>
      <c r="M29" s="9" t="s">
        <v>149</v>
      </c>
      <c r="N29" s="66">
        <v>0.32</v>
      </c>
      <c r="O29" s="66">
        <v>0.74</v>
      </c>
      <c r="P29" s="66">
        <f>15/22</f>
        <v>0.68181818181818177</v>
      </c>
      <c r="Q29" s="68">
        <f>31/38</f>
        <v>0.81578947368421051</v>
      </c>
      <c r="R29" s="68">
        <v>0.84</v>
      </c>
      <c r="S29" s="68">
        <v>0.81</v>
      </c>
      <c r="T29" s="120">
        <v>0.86</v>
      </c>
    </row>
    <row r="30" spans="1:20" ht="30" x14ac:dyDescent="0.25">
      <c r="A30" t="s">
        <v>539</v>
      </c>
      <c r="B30" s="9" t="s">
        <v>152</v>
      </c>
      <c r="C30" s="9"/>
      <c r="D30" s="69">
        <v>1</v>
      </c>
      <c r="E30" s="69">
        <v>0.91</v>
      </c>
      <c r="F30" s="67">
        <v>1</v>
      </c>
      <c r="G30" s="72">
        <v>0.9</v>
      </c>
      <c r="H30" s="69">
        <v>1</v>
      </c>
      <c r="I30" s="69">
        <v>1</v>
      </c>
      <c r="J30" s="120">
        <v>1</v>
      </c>
      <c r="L30" t="s">
        <v>541</v>
      </c>
      <c r="M30" s="9" t="s">
        <v>151</v>
      </c>
      <c r="N30" s="66">
        <v>0.41</v>
      </c>
      <c r="O30" s="66">
        <v>0.48</v>
      </c>
      <c r="P30" s="66">
        <f>18/25</f>
        <v>0.72</v>
      </c>
      <c r="Q30" s="69">
        <f>33/38</f>
        <v>0.86842105263157898</v>
      </c>
      <c r="R30" s="66">
        <v>0.71</v>
      </c>
      <c r="S30" s="69">
        <v>0.87</v>
      </c>
      <c r="T30" s="122">
        <v>0.83</v>
      </c>
    </row>
    <row r="31" spans="1:20" ht="30" x14ac:dyDescent="0.25">
      <c r="A31" t="s">
        <v>540</v>
      </c>
      <c r="B31" s="9" t="s">
        <v>154</v>
      </c>
      <c r="C31" s="9"/>
      <c r="D31" s="69">
        <v>1</v>
      </c>
      <c r="E31" s="69">
        <v>1</v>
      </c>
      <c r="F31" s="67">
        <v>1</v>
      </c>
      <c r="G31" s="72">
        <v>1</v>
      </c>
      <c r="H31" s="69">
        <v>1</v>
      </c>
      <c r="I31" s="69">
        <v>1</v>
      </c>
      <c r="J31" s="120">
        <v>1</v>
      </c>
      <c r="L31" t="s">
        <v>542</v>
      </c>
      <c r="M31" s="9" t="s">
        <v>153</v>
      </c>
      <c r="N31" s="69">
        <v>0.85</v>
      </c>
      <c r="O31" s="69">
        <v>0.91</v>
      </c>
      <c r="P31" s="69">
        <v>1</v>
      </c>
      <c r="Q31" s="69">
        <f>35/38</f>
        <v>0.92105263157894735</v>
      </c>
      <c r="R31" s="69">
        <v>1</v>
      </c>
      <c r="S31" s="69">
        <v>0.98</v>
      </c>
      <c r="T31" s="120">
        <v>0.98</v>
      </c>
    </row>
    <row r="32" spans="1:20" ht="45" x14ac:dyDescent="0.25">
      <c r="A32" t="s">
        <v>541</v>
      </c>
      <c r="B32" s="9" t="s">
        <v>155</v>
      </c>
      <c r="C32" s="9"/>
      <c r="D32" s="69">
        <v>1</v>
      </c>
      <c r="E32" s="69">
        <v>1</v>
      </c>
      <c r="F32" s="67">
        <v>1</v>
      </c>
      <c r="G32" s="72">
        <v>1</v>
      </c>
      <c r="H32" s="69">
        <v>1</v>
      </c>
      <c r="I32" s="69">
        <v>1</v>
      </c>
      <c r="J32" s="120">
        <v>1</v>
      </c>
      <c r="M32" s="2"/>
      <c r="N32" s="65"/>
      <c r="O32" s="65"/>
      <c r="P32" s="65"/>
      <c r="Q32" s="65"/>
      <c r="R32" s="65"/>
      <c r="S32" s="65"/>
      <c r="T32" s="2"/>
    </row>
    <row r="33" spans="1:20" ht="45" x14ac:dyDescent="0.25">
      <c r="B33" s="2"/>
      <c r="C33" s="2"/>
      <c r="D33" s="65"/>
      <c r="E33" s="65"/>
      <c r="F33" s="70"/>
      <c r="G33" s="2"/>
      <c r="H33" s="65"/>
      <c r="I33" s="95"/>
      <c r="J33" s="2"/>
      <c r="L33" t="s">
        <v>545</v>
      </c>
      <c r="M33" s="9" t="s">
        <v>156</v>
      </c>
      <c r="N33" s="66">
        <v>0.38</v>
      </c>
      <c r="O33" s="66">
        <v>0.52</v>
      </c>
      <c r="P33" s="66">
        <f>16/23</f>
        <v>0.69565217391304346</v>
      </c>
      <c r="Q33" s="68">
        <f>32/38</f>
        <v>0.84210526315789469</v>
      </c>
      <c r="R33" s="66">
        <v>0.57999999999999996</v>
      </c>
      <c r="S33" s="68">
        <v>0.78</v>
      </c>
      <c r="T33" s="122">
        <v>0.79</v>
      </c>
    </row>
    <row r="34" spans="1:20" ht="45" x14ac:dyDescent="0.25">
      <c r="A34" t="s">
        <v>545</v>
      </c>
      <c r="B34" s="9" t="s">
        <v>158</v>
      </c>
      <c r="C34" s="9"/>
      <c r="D34" s="69">
        <v>1</v>
      </c>
      <c r="E34" s="69">
        <v>1</v>
      </c>
      <c r="F34" s="67">
        <v>1</v>
      </c>
      <c r="G34" s="72">
        <v>1</v>
      </c>
      <c r="H34" s="69">
        <v>1</v>
      </c>
      <c r="I34" s="69">
        <v>1</v>
      </c>
      <c r="J34" s="120">
        <v>1</v>
      </c>
      <c r="L34" t="s">
        <v>546</v>
      </c>
      <c r="M34" s="9" t="s">
        <v>157</v>
      </c>
      <c r="N34" s="66">
        <v>0.68</v>
      </c>
      <c r="O34" s="68">
        <v>0.83</v>
      </c>
      <c r="P34" s="69">
        <v>1</v>
      </c>
      <c r="Q34" s="69">
        <f>37/38</f>
        <v>0.97368421052631582</v>
      </c>
      <c r="R34" s="69">
        <v>0.92</v>
      </c>
      <c r="S34" s="69">
        <v>0.96</v>
      </c>
      <c r="T34" s="120">
        <v>0.93</v>
      </c>
    </row>
    <row r="35" spans="1:20" ht="45" x14ac:dyDescent="0.25">
      <c r="A35" t="s">
        <v>546</v>
      </c>
      <c r="B35" s="9" t="s">
        <v>160</v>
      </c>
      <c r="C35" s="9"/>
      <c r="D35" s="69">
        <v>1</v>
      </c>
      <c r="E35" s="69">
        <v>1</v>
      </c>
      <c r="F35" s="67">
        <v>1</v>
      </c>
      <c r="G35" s="72">
        <v>1</v>
      </c>
      <c r="H35" s="69">
        <v>1</v>
      </c>
      <c r="I35" s="69">
        <v>1</v>
      </c>
      <c r="J35" s="120">
        <v>1</v>
      </c>
      <c r="L35" t="s">
        <v>547</v>
      </c>
      <c r="M35" s="9" t="s">
        <v>159</v>
      </c>
      <c r="N35" s="66">
        <v>0.44</v>
      </c>
      <c r="O35" s="66">
        <v>0.39</v>
      </c>
      <c r="P35" s="66">
        <f>16/29</f>
        <v>0.55172413793103448</v>
      </c>
      <c r="Q35" s="66">
        <f>25/38</f>
        <v>0.65789473684210531</v>
      </c>
      <c r="R35" s="66">
        <v>0.63</v>
      </c>
      <c r="S35" s="66">
        <v>0.67</v>
      </c>
      <c r="T35" s="121">
        <v>0.6</v>
      </c>
    </row>
    <row r="36" spans="1:20" ht="45" x14ac:dyDescent="0.25">
      <c r="A36" t="s">
        <v>547</v>
      </c>
      <c r="B36" s="9" t="s">
        <v>162</v>
      </c>
      <c r="C36" s="9"/>
      <c r="D36" s="69">
        <v>1</v>
      </c>
      <c r="E36" s="69">
        <v>1</v>
      </c>
      <c r="F36" s="67">
        <v>1</v>
      </c>
      <c r="G36" s="72">
        <v>1</v>
      </c>
      <c r="H36" s="69">
        <v>1</v>
      </c>
      <c r="I36" s="69">
        <v>1</v>
      </c>
      <c r="J36" s="120">
        <v>1</v>
      </c>
      <c r="L36" t="s">
        <v>548</v>
      </c>
      <c r="M36" s="9" t="s">
        <v>161</v>
      </c>
      <c r="N36" s="69">
        <v>0.85</v>
      </c>
      <c r="O36" s="66">
        <v>0.65</v>
      </c>
      <c r="P36" s="69">
        <f>25/26</f>
        <v>0.96153846153846156</v>
      </c>
      <c r="Q36" s="69">
        <f>36/38</f>
        <v>0.94736842105263153</v>
      </c>
      <c r="R36" s="69">
        <v>0.89</v>
      </c>
      <c r="S36" s="69">
        <v>0.98</v>
      </c>
      <c r="T36" s="120">
        <v>0.9</v>
      </c>
    </row>
    <row r="37" spans="1:20" ht="45" x14ac:dyDescent="0.25">
      <c r="A37" t="s">
        <v>548</v>
      </c>
      <c r="B37" s="9" t="s">
        <v>164</v>
      </c>
      <c r="C37" s="9"/>
      <c r="D37" s="69">
        <v>1</v>
      </c>
      <c r="E37" s="69">
        <v>1</v>
      </c>
      <c r="F37" s="67">
        <v>1</v>
      </c>
      <c r="G37" s="72">
        <v>1</v>
      </c>
      <c r="H37" s="69">
        <v>1</v>
      </c>
      <c r="I37" s="69">
        <v>1</v>
      </c>
      <c r="J37" s="120">
        <v>1</v>
      </c>
      <c r="L37" t="s">
        <v>549</v>
      </c>
      <c r="M37" s="9" t="s">
        <v>163</v>
      </c>
      <c r="N37" s="66">
        <v>0.56000000000000005</v>
      </c>
      <c r="O37" s="68">
        <v>0.83</v>
      </c>
      <c r="P37" s="69">
        <f>26/29</f>
        <v>0.89655172413793105</v>
      </c>
      <c r="Q37" s="69">
        <f>37/38</f>
        <v>0.97368421052631582</v>
      </c>
      <c r="R37" s="69">
        <v>0.87</v>
      </c>
      <c r="S37" s="69">
        <v>0.91</v>
      </c>
      <c r="T37" s="120">
        <v>0.9</v>
      </c>
    </row>
    <row r="38" spans="1:20" ht="45" x14ac:dyDescent="0.25">
      <c r="A38" t="s">
        <v>549</v>
      </c>
      <c r="B38" s="9" t="s">
        <v>336</v>
      </c>
      <c r="C38" s="9"/>
      <c r="D38" s="69">
        <v>1</v>
      </c>
      <c r="E38" s="69">
        <v>1</v>
      </c>
      <c r="F38" s="67">
        <v>1</v>
      </c>
      <c r="G38" s="72">
        <v>1</v>
      </c>
      <c r="H38" s="69">
        <v>1</v>
      </c>
      <c r="I38" s="69">
        <v>1</v>
      </c>
      <c r="J38" s="120">
        <v>1</v>
      </c>
      <c r="M38" s="2"/>
      <c r="N38" s="65"/>
      <c r="O38" s="65"/>
      <c r="P38" s="65"/>
      <c r="Q38" s="65"/>
      <c r="R38" s="65"/>
      <c r="S38" s="65"/>
      <c r="T38" s="2"/>
    </row>
    <row r="39" spans="1:20" ht="30" x14ac:dyDescent="0.25">
      <c r="B39" s="2"/>
      <c r="C39" s="2"/>
      <c r="D39" s="65"/>
      <c r="E39" s="65"/>
      <c r="F39" s="73"/>
      <c r="G39" s="2"/>
      <c r="H39" s="2"/>
      <c r="I39" s="2"/>
      <c r="J39" s="2"/>
      <c r="L39" t="s">
        <v>550</v>
      </c>
      <c r="M39" s="9" t="s">
        <v>165</v>
      </c>
      <c r="N39" s="68">
        <v>0.76</v>
      </c>
      <c r="O39" s="69">
        <v>0.87</v>
      </c>
      <c r="P39" s="69">
        <f>27/28</f>
        <v>0.9642857142857143</v>
      </c>
      <c r="Q39" s="69">
        <f>36/38</f>
        <v>0.94736842105263153</v>
      </c>
      <c r="R39" s="69">
        <v>0.89</v>
      </c>
      <c r="S39" s="69">
        <v>0.96</v>
      </c>
      <c r="T39" s="120">
        <v>0.95</v>
      </c>
    </row>
    <row r="40" spans="1:20" ht="30" x14ac:dyDescent="0.25">
      <c r="B40" s="9" t="s">
        <v>167</v>
      </c>
      <c r="C40" s="9"/>
      <c r="D40" s="74">
        <v>10</v>
      </c>
      <c r="E40" s="74">
        <v>11</v>
      </c>
      <c r="F40" s="74">
        <v>13</v>
      </c>
      <c r="G40" s="75">
        <v>10</v>
      </c>
      <c r="H40" s="2">
        <v>13</v>
      </c>
      <c r="I40" s="2">
        <v>12</v>
      </c>
      <c r="J40" s="76">
        <v>7</v>
      </c>
      <c r="L40" t="s">
        <v>551</v>
      </c>
      <c r="M40" s="9" t="s">
        <v>166</v>
      </c>
      <c r="N40" s="66">
        <v>0.65</v>
      </c>
      <c r="O40" s="69">
        <v>0.91</v>
      </c>
      <c r="P40" s="69">
        <f>28/29</f>
        <v>0.96551724137931039</v>
      </c>
      <c r="Q40" s="69">
        <f>37/38</f>
        <v>0.97368421052631582</v>
      </c>
      <c r="R40" s="68">
        <v>0.84</v>
      </c>
      <c r="S40" s="69">
        <v>0.98</v>
      </c>
      <c r="T40" s="120">
        <v>0.9</v>
      </c>
    </row>
    <row r="41" spans="1:20" ht="30" x14ac:dyDescent="0.25">
      <c r="D41" s="44">
        <f>D40/55</f>
        <v>0.18181818181818182</v>
      </c>
      <c r="E41" s="44">
        <f t="shared" ref="E41:I41" si="1">E40/55</f>
        <v>0.2</v>
      </c>
      <c r="F41" s="44">
        <f t="shared" si="1"/>
        <v>0.23636363636363636</v>
      </c>
      <c r="G41" s="44">
        <f t="shared" si="1"/>
        <v>0.18181818181818182</v>
      </c>
      <c r="H41" s="44">
        <f t="shared" si="1"/>
        <v>0.23636363636363636</v>
      </c>
      <c r="I41" s="44">
        <f t="shared" si="1"/>
        <v>0.21818181818181817</v>
      </c>
      <c r="J41" s="44">
        <f>J40/50</f>
        <v>0.14000000000000001</v>
      </c>
      <c r="L41" t="s">
        <v>552</v>
      </c>
      <c r="M41" s="9" t="s">
        <v>168</v>
      </c>
      <c r="N41" s="68">
        <v>0.76</v>
      </c>
      <c r="O41" s="68">
        <v>0.83</v>
      </c>
      <c r="P41" s="69">
        <f>27/28</f>
        <v>0.9642857142857143</v>
      </c>
      <c r="Q41" s="69">
        <f>36/38</f>
        <v>0.94736842105263153</v>
      </c>
      <c r="R41" s="66">
        <v>0.79</v>
      </c>
      <c r="S41" s="69">
        <v>0.91</v>
      </c>
      <c r="T41" s="120">
        <v>0.98</v>
      </c>
    </row>
    <row r="42" spans="1:20" ht="30" x14ac:dyDescent="0.25">
      <c r="L42" t="s">
        <v>553</v>
      </c>
      <c r="M42" s="9" t="s">
        <v>164</v>
      </c>
      <c r="N42" s="66">
        <v>0.65</v>
      </c>
      <c r="O42" s="69">
        <v>0.91</v>
      </c>
      <c r="P42" s="69">
        <v>1</v>
      </c>
      <c r="Q42" s="69">
        <f>38/38</f>
        <v>1</v>
      </c>
      <c r="R42" s="69">
        <v>0.89</v>
      </c>
      <c r="S42" s="69">
        <v>0.89</v>
      </c>
      <c r="T42" s="122">
        <v>0.83</v>
      </c>
    </row>
    <row r="43" spans="1:20" x14ac:dyDescent="0.25">
      <c r="G43">
        <f>AVERAGE(D41:J41)</f>
        <v>0.19922077922077921</v>
      </c>
      <c r="M43" s="9" t="s">
        <v>167</v>
      </c>
      <c r="N43" s="74">
        <v>33</v>
      </c>
      <c r="O43" s="74">
        <v>23</v>
      </c>
      <c r="P43" s="75">
        <v>34</v>
      </c>
      <c r="Q43" s="75">
        <v>38</v>
      </c>
      <c r="R43" s="76">
        <v>38</v>
      </c>
      <c r="S43" s="75">
        <v>54</v>
      </c>
      <c r="T43" s="123">
        <v>44</v>
      </c>
    </row>
    <row r="44" spans="1:20" x14ac:dyDescent="0.25">
      <c r="M44" s="91" t="s">
        <v>246</v>
      </c>
      <c r="N44" t="s">
        <v>247</v>
      </c>
      <c r="R44" s="44">
        <f>R43/50</f>
        <v>0.76</v>
      </c>
      <c r="S44" s="44">
        <f t="shared" ref="S44" si="2">S43/60</f>
        <v>0.9</v>
      </c>
      <c r="T44" s="44">
        <f>T43/58</f>
        <v>0.75862068965517238</v>
      </c>
    </row>
    <row r="45" spans="1:20" x14ac:dyDescent="0.25">
      <c r="M45" s="92" t="s">
        <v>248</v>
      </c>
      <c r="N45" t="s">
        <v>249</v>
      </c>
    </row>
    <row r="46" spans="1:20" x14ac:dyDescent="0.25">
      <c r="M46" s="93" t="s">
        <v>76</v>
      </c>
      <c r="N46" t="s">
        <v>250</v>
      </c>
      <c r="S46">
        <f>AVERAGE(Q44:T44)</f>
        <v>0.80620689655172428</v>
      </c>
    </row>
    <row r="48" spans="1:20" x14ac:dyDescent="0.25">
      <c r="M48" s="185" t="s">
        <v>251</v>
      </c>
      <c r="N48" s="185"/>
      <c r="O48" s="185"/>
      <c r="P48" s="185"/>
      <c r="Q48" s="185"/>
      <c r="R48" s="185"/>
      <c r="S48" s="185"/>
    </row>
    <row r="49" spans="13:19" x14ac:dyDescent="0.25">
      <c r="M49" s="185" t="s">
        <v>316</v>
      </c>
      <c r="N49" s="185"/>
      <c r="O49" s="185"/>
      <c r="P49" s="185"/>
      <c r="Q49" s="185"/>
      <c r="R49" s="185"/>
      <c r="S49" s="185"/>
    </row>
    <row r="50" spans="13:19" x14ac:dyDescent="0.25">
      <c r="M50" s="185" t="s">
        <v>317</v>
      </c>
      <c r="N50" s="185"/>
      <c r="O50" s="185"/>
      <c r="P50" s="185"/>
      <c r="Q50" s="185"/>
      <c r="R50" s="185"/>
      <c r="S50" s="185"/>
    </row>
    <row r="51" spans="13:19" x14ac:dyDescent="0.25">
      <c r="M51" s="185" t="s">
        <v>318</v>
      </c>
      <c r="N51" s="185"/>
      <c r="O51" s="185"/>
      <c r="P51" s="185"/>
      <c r="Q51" s="185"/>
      <c r="R51" s="185"/>
      <c r="S51" s="185"/>
    </row>
    <row r="52" spans="13:19" x14ac:dyDescent="0.25">
      <c r="M52" s="185"/>
      <c r="N52" s="185"/>
      <c r="O52" s="185"/>
      <c r="P52" s="185"/>
      <c r="Q52" s="185"/>
      <c r="R52" s="185"/>
      <c r="S52" s="185"/>
    </row>
    <row r="53" spans="13:19" x14ac:dyDescent="0.25">
      <c r="M53" s="185"/>
      <c r="N53" s="185"/>
      <c r="O53" s="185"/>
      <c r="P53" s="185"/>
      <c r="Q53" s="185"/>
      <c r="R53" s="185"/>
      <c r="S53" s="185"/>
    </row>
    <row r="54" spans="13:19" x14ac:dyDescent="0.25">
      <c r="M54" s="185"/>
      <c r="N54" s="185"/>
      <c r="O54" s="185"/>
      <c r="P54" s="185"/>
      <c r="Q54" s="185"/>
      <c r="R54" s="185"/>
      <c r="S54" s="185"/>
    </row>
    <row r="55" spans="13:19" x14ac:dyDescent="0.25">
      <c r="M55" s="185" t="s">
        <v>252</v>
      </c>
      <c r="N55" s="185"/>
      <c r="O55" s="185"/>
      <c r="P55" s="185"/>
      <c r="Q55" s="185"/>
      <c r="R55" s="185"/>
      <c r="S55" s="185"/>
    </row>
    <row r="56" spans="13:19" x14ac:dyDescent="0.25">
      <c r="M56" s="185" t="s">
        <v>319</v>
      </c>
      <c r="N56" s="185"/>
      <c r="O56" s="185"/>
      <c r="P56" s="185"/>
      <c r="Q56" s="185"/>
      <c r="R56" s="185"/>
      <c r="S56" s="185"/>
    </row>
    <row r="57" spans="13:19" x14ac:dyDescent="0.25">
      <c r="M57" s="185" t="s">
        <v>320</v>
      </c>
      <c r="N57" s="185"/>
      <c r="O57" s="185"/>
      <c r="P57" s="185"/>
      <c r="Q57" s="185"/>
      <c r="R57" s="185"/>
      <c r="S57" s="185"/>
    </row>
    <row r="58" spans="13:19" x14ac:dyDescent="0.25">
      <c r="M58" s="185"/>
      <c r="N58" s="185"/>
      <c r="O58" s="185"/>
      <c r="P58" s="185"/>
      <c r="Q58" s="185"/>
      <c r="R58" s="185"/>
      <c r="S58" s="185"/>
    </row>
    <row r="59" spans="13:19" x14ac:dyDescent="0.25">
      <c r="M59" s="185" t="s">
        <v>253</v>
      </c>
      <c r="N59" s="185"/>
      <c r="O59" s="185"/>
      <c r="P59" s="185"/>
      <c r="Q59" s="185"/>
      <c r="R59" s="185"/>
      <c r="S59" s="185"/>
    </row>
    <row r="60" spans="13:19" x14ac:dyDescent="0.25">
      <c r="M60" s="185" t="s">
        <v>254</v>
      </c>
      <c r="N60" s="185"/>
      <c r="O60" s="185"/>
      <c r="P60" s="185"/>
      <c r="Q60" s="185"/>
      <c r="R60" s="185"/>
      <c r="S60" s="185"/>
    </row>
    <row r="61" spans="13:19" x14ac:dyDescent="0.25">
      <c r="M61" s="185" t="s">
        <v>321</v>
      </c>
      <c r="N61" s="185"/>
      <c r="O61" s="185"/>
      <c r="P61" s="185"/>
      <c r="Q61" s="185"/>
      <c r="R61" s="185"/>
      <c r="S61" s="185"/>
    </row>
    <row r="62" spans="13:19" x14ac:dyDescent="0.25">
      <c r="M62" s="185" t="s">
        <v>322</v>
      </c>
      <c r="N62" s="185"/>
      <c r="O62" s="185"/>
      <c r="P62" s="185"/>
      <c r="Q62" s="185"/>
      <c r="R62" s="185"/>
      <c r="S62" s="185"/>
    </row>
    <row r="63" spans="13:19" x14ac:dyDescent="0.25">
      <c r="M63" s="185"/>
      <c r="N63" s="185"/>
      <c r="O63" s="185"/>
      <c r="P63" s="185"/>
      <c r="Q63" s="185"/>
      <c r="R63" s="185"/>
      <c r="S63" s="185"/>
    </row>
    <row r="64" spans="13:19" x14ac:dyDescent="0.25">
      <c r="M64" s="185"/>
      <c r="N64" s="185"/>
      <c r="O64" s="185"/>
      <c r="P64" s="185"/>
      <c r="Q64" s="185"/>
      <c r="R64" s="185"/>
      <c r="S64" s="185"/>
    </row>
    <row r="65" spans="13:19" x14ac:dyDescent="0.25">
      <c r="M65" s="185"/>
      <c r="N65" s="185"/>
      <c r="O65" s="185"/>
      <c r="P65" s="185"/>
      <c r="Q65" s="185"/>
      <c r="R65" s="185"/>
      <c r="S65" s="185"/>
    </row>
    <row r="66" spans="13:19" x14ac:dyDescent="0.25">
      <c r="M66" s="185"/>
      <c r="N66" s="185"/>
      <c r="O66" s="185"/>
      <c r="P66" s="185"/>
      <c r="Q66" s="185"/>
      <c r="R66" s="185"/>
      <c r="S66" s="185"/>
    </row>
    <row r="67" spans="13:19" x14ac:dyDescent="0.25">
      <c r="M67" s="185"/>
      <c r="N67" s="185"/>
      <c r="O67" s="185"/>
      <c r="P67" s="185"/>
      <c r="Q67" s="185"/>
      <c r="R67" s="185"/>
      <c r="S67" s="185"/>
    </row>
  </sheetData>
  <mergeCells count="22">
    <mergeCell ref="D1:G1"/>
    <mergeCell ref="N1:Q1"/>
    <mergeCell ref="M48:S48"/>
    <mergeCell ref="M49:S49"/>
    <mergeCell ref="M50:S50"/>
    <mergeCell ref="M51:S51"/>
    <mergeCell ref="M52:S52"/>
    <mergeCell ref="M53:S53"/>
    <mergeCell ref="M54:S54"/>
    <mergeCell ref="M55:S55"/>
    <mergeCell ref="M56:S56"/>
    <mergeCell ref="M57:S57"/>
    <mergeCell ref="M58:S58"/>
    <mergeCell ref="M59:S59"/>
    <mergeCell ref="M60:S60"/>
    <mergeCell ref="M66:S66"/>
    <mergeCell ref="M67:S67"/>
    <mergeCell ref="M61:S61"/>
    <mergeCell ref="M62:S62"/>
    <mergeCell ref="M63:S63"/>
    <mergeCell ref="M64:S64"/>
    <mergeCell ref="M65:S65"/>
  </mergeCells>
  <phoneticPr fontId="13" type="noConversion"/>
  <pageMargins left="0.7" right="0.7" top="0.75" bottom="0.75" header="0.3" footer="0.3"/>
  <pageSetup scale="51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6"/>
  <sheetViews>
    <sheetView workbookViewId="0">
      <selection activeCell="B18" sqref="B18"/>
    </sheetView>
  </sheetViews>
  <sheetFormatPr defaultRowHeight="15" x14ac:dyDescent="0.25"/>
  <cols>
    <col min="1" max="1" width="25.7109375" customWidth="1"/>
  </cols>
  <sheetData>
    <row r="1" spans="1:3" x14ac:dyDescent="0.25">
      <c r="A1" t="s">
        <v>102</v>
      </c>
      <c r="B1">
        <v>2025</v>
      </c>
      <c r="C1">
        <v>2026</v>
      </c>
    </row>
    <row r="2" spans="1:3" ht="60" x14ac:dyDescent="0.25">
      <c r="A2" s="14" t="s">
        <v>337</v>
      </c>
      <c r="B2">
        <v>2</v>
      </c>
      <c r="C2">
        <v>1.375</v>
      </c>
    </row>
    <row r="3" spans="1:3" x14ac:dyDescent="0.25">
      <c r="A3" s="14"/>
    </row>
    <row r="4" spans="1:3" ht="120" x14ac:dyDescent="0.25">
      <c r="A4" s="14" t="s">
        <v>338</v>
      </c>
      <c r="B4">
        <v>3</v>
      </c>
      <c r="C4">
        <v>2.5</v>
      </c>
    </row>
    <row r="5" spans="1:3" x14ac:dyDescent="0.25">
      <c r="A5" s="14"/>
    </row>
    <row r="6" spans="1:3" ht="90" x14ac:dyDescent="0.25">
      <c r="A6" s="14" t="s">
        <v>339</v>
      </c>
      <c r="B6">
        <v>3</v>
      </c>
      <c r="C6">
        <v>2</v>
      </c>
    </row>
    <row r="7" spans="1:3" x14ac:dyDescent="0.25">
      <c r="A7" s="14"/>
    </row>
    <row r="8" spans="1:3" ht="75" x14ac:dyDescent="0.25">
      <c r="A8" s="14" t="s">
        <v>340</v>
      </c>
      <c r="B8">
        <v>3</v>
      </c>
      <c r="C8">
        <v>1.75</v>
      </c>
    </row>
    <row r="9" spans="1:3" x14ac:dyDescent="0.25">
      <c r="A9" s="14"/>
    </row>
    <row r="10" spans="1:3" ht="60" x14ac:dyDescent="0.25">
      <c r="A10" s="14" t="s">
        <v>341</v>
      </c>
      <c r="B10">
        <v>2</v>
      </c>
      <c r="C10">
        <v>2.25</v>
      </c>
    </row>
    <row r="11" spans="1:3" x14ac:dyDescent="0.25">
      <c r="A11" s="14"/>
    </row>
    <row r="12" spans="1:3" ht="75" x14ac:dyDescent="0.25">
      <c r="A12" s="14" t="s">
        <v>342</v>
      </c>
      <c r="B12">
        <v>3</v>
      </c>
      <c r="C12">
        <v>2.375</v>
      </c>
    </row>
    <row r="13" spans="1:3" x14ac:dyDescent="0.25">
      <c r="A13" s="14"/>
    </row>
    <row r="14" spans="1:3" ht="75" x14ac:dyDescent="0.25">
      <c r="A14" s="14" t="s">
        <v>343</v>
      </c>
      <c r="B14">
        <v>1</v>
      </c>
      <c r="C14">
        <v>1.6279999999999999</v>
      </c>
    </row>
    <row r="15" spans="1:3" x14ac:dyDescent="0.25">
      <c r="A15" s="14"/>
    </row>
    <row r="16" spans="1:3" ht="90" x14ac:dyDescent="0.25">
      <c r="A16" s="14" t="s">
        <v>344</v>
      </c>
      <c r="B16">
        <v>2</v>
      </c>
      <c r="C16">
        <v>2.5</v>
      </c>
    </row>
  </sheetData>
  <pageMargins left="0.7" right="0.7" top="0.75" bottom="0.75" header="0.3" footer="0.3"/>
  <pageSetup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6493D-3115-4410-A1A8-10F256B82B81}">
  <dimension ref="A1:P37"/>
  <sheetViews>
    <sheetView topLeftCell="A27" workbookViewId="0">
      <selection activeCell="R11" sqref="R11"/>
    </sheetView>
  </sheetViews>
  <sheetFormatPr defaultRowHeight="15" x14ac:dyDescent="0.25"/>
  <cols>
    <col min="1" max="1" width="34.28515625" customWidth="1"/>
    <col min="2" max="4" width="10.7109375" customWidth="1"/>
    <col min="5" max="5" width="5.7109375" customWidth="1"/>
    <col min="6" max="8" width="10.7109375" customWidth="1"/>
    <col min="9" max="9" width="5.7109375" customWidth="1"/>
    <col min="10" max="12" width="10.7109375" customWidth="1"/>
    <col min="13" max="13" width="5.7109375" customWidth="1"/>
    <col min="14" max="16" width="10.7109375" customWidth="1"/>
  </cols>
  <sheetData>
    <row r="1" spans="1:16" x14ac:dyDescent="0.25">
      <c r="A1" t="s">
        <v>347</v>
      </c>
      <c r="B1" t="s">
        <v>477</v>
      </c>
      <c r="C1" t="s">
        <v>478</v>
      </c>
      <c r="D1" t="s">
        <v>485</v>
      </c>
      <c r="E1" s="170"/>
      <c r="F1" t="s">
        <v>479</v>
      </c>
      <c r="G1" t="s">
        <v>480</v>
      </c>
      <c r="H1" t="s">
        <v>486</v>
      </c>
      <c r="I1" s="170"/>
      <c r="J1" t="s">
        <v>481</v>
      </c>
      <c r="K1" t="s">
        <v>482</v>
      </c>
      <c r="L1" t="s">
        <v>487</v>
      </c>
      <c r="M1" s="170"/>
      <c r="N1" t="s">
        <v>483</v>
      </c>
      <c r="O1" t="s">
        <v>484</v>
      </c>
      <c r="P1" t="s">
        <v>488</v>
      </c>
    </row>
    <row r="2" spans="1:16" s="7" customFormat="1" x14ac:dyDescent="0.25">
      <c r="A2" s="166" t="s">
        <v>442</v>
      </c>
      <c r="B2" s="7">
        <f>AVERAGE(B3:B6)</f>
        <v>3.5</v>
      </c>
      <c r="C2" s="7">
        <f t="shared" ref="C2:O2" si="0">AVERAGE(C3:C6)</f>
        <v>3.75</v>
      </c>
      <c r="D2" s="173">
        <f>C2-B2</f>
        <v>0.25</v>
      </c>
      <c r="E2" s="171"/>
      <c r="F2" s="7">
        <f t="shared" si="0"/>
        <v>3.5</v>
      </c>
      <c r="G2" s="7">
        <f t="shared" si="0"/>
        <v>3.25</v>
      </c>
      <c r="H2" s="174">
        <f>G2-F2</f>
        <v>-0.25</v>
      </c>
      <c r="I2" s="171"/>
      <c r="J2" s="7">
        <f t="shared" si="0"/>
        <v>3</v>
      </c>
      <c r="K2" s="7">
        <f t="shared" si="0"/>
        <v>3.25</v>
      </c>
      <c r="L2" s="173">
        <f>K2-J2</f>
        <v>0.25</v>
      </c>
      <c r="M2" s="171"/>
      <c r="N2" s="7">
        <f t="shared" si="0"/>
        <v>3</v>
      </c>
      <c r="O2" s="7">
        <f t="shared" si="0"/>
        <v>3</v>
      </c>
      <c r="P2" s="7">
        <f>O2-N2</f>
        <v>0</v>
      </c>
    </row>
    <row r="3" spans="1:16" ht="45" x14ac:dyDescent="0.25">
      <c r="A3" s="167" t="s">
        <v>443</v>
      </c>
      <c r="B3">
        <v>4</v>
      </c>
      <c r="C3">
        <v>4</v>
      </c>
      <c r="D3">
        <f>C3-B3</f>
        <v>0</v>
      </c>
      <c r="E3" s="170"/>
      <c r="F3">
        <v>4</v>
      </c>
      <c r="G3">
        <v>3</v>
      </c>
      <c r="H3" s="174">
        <f t="shared" ref="H3:H36" si="1">G3-F3</f>
        <v>-1</v>
      </c>
      <c r="I3" s="170"/>
      <c r="J3">
        <v>3</v>
      </c>
      <c r="K3">
        <v>4</v>
      </c>
      <c r="L3" s="173">
        <f t="shared" ref="L3:L36" si="2">K3-J3</f>
        <v>1</v>
      </c>
      <c r="M3" s="170"/>
      <c r="N3">
        <v>3</v>
      </c>
      <c r="O3">
        <v>3</v>
      </c>
      <c r="P3" s="7">
        <f t="shared" ref="P3:P36" si="3">O3-N3</f>
        <v>0</v>
      </c>
    </row>
    <row r="4" spans="1:16" ht="45" x14ac:dyDescent="0.25">
      <c r="A4" s="167" t="s">
        <v>444</v>
      </c>
      <c r="B4">
        <v>3</v>
      </c>
      <c r="C4">
        <v>4</v>
      </c>
      <c r="D4" s="172">
        <f t="shared" ref="D4:D36" si="4">C4-B4</f>
        <v>1</v>
      </c>
      <c r="E4" s="170"/>
      <c r="F4">
        <v>4</v>
      </c>
      <c r="G4">
        <v>3</v>
      </c>
      <c r="H4" s="174">
        <f t="shared" si="1"/>
        <v>-1</v>
      </c>
      <c r="I4" s="170"/>
      <c r="J4">
        <v>3</v>
      </c>
      <c r="K4">
        <v>3</v>
      </c>
      <c r="L4" s="7">
        <f t="shared" si="2"/>
        <v>0</v>
      </c>
      <c r="M4" s="170"/>
      <c r="N4">
        <v>3</v>
      </c>
      <c r="O4">
        <v>4</v>
      </c>
      <c r="P4" s="173">
        <f t="shared" si="3"/>
        <v>1</v>
      </c>
    </row>
    <row r="5" spans="1:16" ht="30" x14ac:dyDescent="0.25">
      <c r="A5" s="167" t="s">
        <v>445</v>
      </c>
      <c r="B5">
        <v>4</v>
      </c>
      <c r="C5">
        <v>4</v>
      </c>
      <c r="D5">
        <f t="shared" si="4"/>
        <v>0</v>
      </c>
      <c r="E5" s="170"/>
      <c r="F5">
        <v>3</v>
      </c>
      <c r="G5">
        <v>4</v>
      </c>
      <c r="H5" s="173">
        <f t="shared" si="1"/>
        <v>1</v>
      </c>
      <c r="I5" s="170"/>
      <c r="J5">
        <v>3</v>
      </c>
      <c r="K5">
        <v>3</v>
      </c>
      <c r="L5" s="7">
        <f t="shared" si="2"/>
        <v>0</v>
      </c>
      <c r="M5" s="170"/>
      <c r="N5">
        <v>3</v>
      </c>
      <c r="O5">
        <v>3</v>
      </c>
      <c r="P5" s="7">
        <f t="shared" si="3"/>
        <v>0</v>
      </c>
    </row>
    <row r="6" spans="1:16" ht="105" x14ac:dyDescent="0.25">
      <c r="A6" s="167" t="s">
        <v>446</v>
      </c>
      <c r="B6">
        <v>3</v>
      </c>
      <c r="C6">
        <v>3</v>
      </c>
      <c r="D6">
        <f t="shared" si="4"/>
        <v>0</v>
      </c>
      <c r="E6" s="170"/>
      <c r="F6">
        <v>3</v>
      </c>
      <c r="G6">
        <v>3</v>
      </c>
      <c r="H6" s="7">
        <f t="shared" si="1"/>
        <v>0</v>
      </c>
      <c r="I6" s="170"/>
      <c r="J6">
        <v>3</v>
      </c>
      <c r="K6">
        <v>3</v>
      </c>
      <c r="L6" s="7">
        <f t="shared" si="2"/>
        <v>0</v>
      </c>
      <c r="M6" s="170"/>
      <c r="N6">
        <v>3</v>
      </c>
      <c r="O6">
        <v>2</v>
      </c>
      <c r="P6" s="174">
        <f t="shared" si="3"/>
        <v>-1</v>
      </c>
    </row>
    <row r="7" spans="1:16" s="7" customFormat="1" x14ac:dyDescent="0.25">
      <c r="A7" s="168" t="s">
        <v>447</v>
      </c>
      <c r="B7" s="7">
        <f>AVERAGE(B8:B12)</f>
        <v>3.2</v>
      </c>
      <c r="C7" s="7">
        <f t="shared" ref="C7:O7" si="5">AVERAGE(C8:C12)</f>
        <v>3.6</v>
      </c>
      <c r="D7" s="172">
        <f t="shared" si="4"/>
        <v>0.39999999999999991</v>
      </c>
      <c r="E7" s="171"/>
      <c r="F7" s="7">
        <f t="shared" si="5"/>
        <v>3.4</v>
      </c>
      <c r="G7" s="7">
        <f t="shared" si="5"/>
        <v>3</v>
      </c>
      <c r="H7" s="174">
        <f t="shared" si="1"/>
        <v>-0.39999999999999991</v>
      </c>
      <c r="I7" s="171"/>
      <c r="J7" s="7">
        <f t="shared" si="5"/>
        <v>2.6</v>
      </c>
      <c r="K7" s="7">
        <f t="shared" si="5"/>
        <v>2.6</v>
      </c>
      <c r="L7" s="7">
        <f t="shared" si="2"/>
        <v>0</v>
      </c>
      <c r="M7" s="171"/>
      <c r="N7" s="7">
        <f t="shared" si="5"/>
        <v>3</v>
      </c>
      <c r="O7" s="7">
        <f t="shared" si="5"/>
        <v>3</v>
      </c>
      <c r="P7" s="7">
        <f t="shared" si="3"/>
        <v>0</v>
      </c>
    </row>
    <row r="8" spans="1:16" ht="60" x14ac:dyDescent="0.25">
      <c r="A8" s="169" t="s">
        <v>448</v>
      </c>
      <c r="B8">
        <v>3</v>
      </c>
      <c r="C8">
        <v>3</v>
      </c>
      <c r="D8">
        <f t="shared" si="4"/>
        <v>0</v>
      </c>
      <c r="E8" s="170"/>
      <c r="F8">
        <v>3</v>
      </c>
      <c r="G8">
        <v>3</v>
      </c>
      <c r="H8" s="7">
        <f t="shared" si="1"/>
        <v>0</v>
      </c>
      <c r="I8" s="170"/>
      <c r="J8">
        <v>2</v>
      </c>
      <c r="K8">
        <v>2</v>
      </c>
      <c r="L8" s="7">
        <f t="shared" si="2"/>
        <v>0</v>
      </c>
      <c r="M8" s="170"/>
      <c r="N8">
        <v>3</v>
      </c>
      <c r="O8">
        <v>3</v>
      </c>
      <c r="P8" s="7">
        <f t="shared" si="3"/>
        <v>0</v>
      </c>
    </row>
    <row r="9" spans="1:16" ht="45" x14ac:dyDescent="0.25">
      <c r="A9" s="169" t="s">
        <v>449</v>
      </c>
      <c r="B9">
        <v>3</v>
      </c>
      <c r="C9">
        <v>4</v>
      </c>
      <c r="D9" s="172">
        <f t="shared" si="4"/>
        <v>1</v>
      </c>
      <c r="E9" s="170"/>
      <c r="F9">
        <v>4</v>
      </c>
      <c r="G9">
        <v>3</v>
      </c>
      <c r="H9" s="174">
        <f t="shared" si="1"/>
        <v>-1</v>
      </c>
      <c r="I9" s="170"/>
      <c r="J9">
        <v>2</v>
      </c>
      <c r="K9">
        <v>3</v>
      </c>
      <c r="L9" s="173">
        <f t="shared" si="2"/>
        <v>1</v>
      </c>
      <c r="M9" s="170"/>
      <c r="N9">
        <v>3</v>
      </c>
      <c r="O9">
        <v>3</v>
      </c>
      <c r="P9" s="7">
        <f t="shared" si="3"/>
        <v>0</v>
      </c>
    </row>
    <row r="10" spans="1:16" ht="30" x14ac:dyDescent="0.25">
      <c r="A10" s="169" t="s">
        <v>450</v>
      </c>
      <c r="B10">
        <v>3</v>
      </c>
      <c r="C10">
        <v>3</v>
      </c>
      <c r="D10">
        <f t="shared" si="4"/>
        <v>0</v>
      </c>
      <c r="E10" s="170"/>
      <c r="F10">
        <v>3</v>
      </c>
      <c r="G10">
        <v>3</v>
      </c>
      <c r="H10" s="7">
        <f t="shared" si="1"/>
        <v>0</v>
      </c>
      <c r="I10" s="170"/>
      <c r="J10">
        <v>3</v>
      </c>
      <c r="K10">
        <v>2</v>
      </c>
      <c r="L10" s="174">
        <f t="shared" si="2"/>
        <v>-1</v>
      </c>
      <c r="M10" s="170"/>
      <c r="N10">
        <v>3</v>
      </c>
      <c r="O10">
        <v>3</v>
      </c>
      <c r="P10" s="7">
        <f t="shared" si="3"/>
        <v>0</v>
      </c>
    </row>
    <row r="11" spans="1:16" ht="60" x14ac:dyDescent="0.25">
      <c r="A11" s="169" t="s">
        <v>451</v>
      </c>
      <c r="B11">
        <v>3</v>
      </c>
      <c r="C11">
        <v>4</v>
      </c>
      <c r="D11" s="172">
        <f t="shared" si="4"/>
        <v>1</v>
      </c>
      <c r="E11" s="170"/>
      <c r="F11">
        <v>3</v>
      </c>
      <c r="G11">
        <v>3</v>
      </c>
      <c r="H11" s="7">
        <f t="shared" si="1"/>
        <v>0</v>
      </c>
      <c r="I11" s="170"/>
      <c r="J11">
        <v>3</v>
      </c>
      <c r="K11">
        <v>3</v>
      </c>
      <c r="L11" s="7">
        <f t="shared" si="2"/>
        <v>0</v>
      </c>
      <c r="M11" s="170"/>
      <c r="N11">
        <v>3</v>
      </c>
      <c r="O11">
        <v>3</v>
      </c>
      <c r="P11" s="7">
        <f t="shared" si="3"/>
        <v>0</v>
      </c>
    </row>
    <row r="12" spans="1:16" ht="45" x14ac:dyDescent="0.25">
      <c r="A12" s="169" t="s">
        <v>452</v>
      </c>
      <c r="B12">
        <v>4</v>
      </c>
      <c r="C12">
        <v>4</v>
      </c>
      <c r="D12">
        <f t="shared" si="4"/>
        <v>0</v>
      </c>
      <c r="E12" s="170"/>
      <c r="F12">
        <v>4</v>
      </c>
      <c r="G12">
        <v>3</v>
      </c>
      <c r="H12" s="174">
        <f t="shared" si="1"/>
        <v>-1</v>
      </c>
      <c r="I12" s="170"/>
      <c r="J12">
        <v>3</v>
      </c>
      <c r="K12">
        <v>3</v>
      </c>
      <c r="L12" s="7">
        <f t="shared" si="2"/>
        <v>0</v>
      </c>
      <c r="M12" s="170"/>
      <c r="N12">
        <v>3</v>
      </c>
      <c r="O12">
        <v>3</v>
      </c>
      <c r="P12" s="7">
        <f t="shared" si="3"/>
        <v>0</v>
      </c>
    </row>
    <row r="13" spans="1:16" s="7" customFormat="1" x14ac:dyDescent="0.25">
      <c r="A13" s="166" t="s">
        <v>453</v>
      </c>
      <c r="B13" s="7">
        <f>AVERAGE(B14:B17)</f>
        <v>3</v>
      </c>
      <c r="C13" s="7">
        <f t="shared" ref="C13:O13" si="6">AVERAGE(C14:C17)</f>
        <v>4</v>
      </c>
      <c r="D13" s="172">
        <f t="shared" si="4"/>
        <v>1</v>
      </c>
      <c r="E13" s="171"/>
      <c r="F13" s="7">
        <f t="shared" si="6"/>
        <v>3.75</v>
      </c>
      <c r="G13" s="7">
        <f t="shared" si="6"/>
        <v>4</v>
      </c>
      <c r="H13" s="173">
        <f t="shared" si="1"/>
        <v>0.25</v>
      </c>
      <c r="I13" s="171"/>
      <c r="J13" s="7">
        <f t="shared" si="6"/>
        <v>3.25</v>
      </c>
      <c r="K13" s="7">
        <f t="shared" si="6"/>
        <v>3.5</v>
      </c>
      <c r="L13" s="173">
        <f t="shared" si="2"/>
        <v>0.25</v>
      </c>
      <c r="M13" s="171"/>
      <c r="N13" s="7">
        <f t="shared" si="6"/>
        <v>3.5</v>
      </c>
      <c r="O13" s="7">
        <f t="shared" si="6"/>
        <v>4</v>
      </c>
      <c r="P13" s="173">
        <f t="shared" si="3"/>
        <v>0.5</v>
      </c>
    </row>
    <row r="14" spans="1:16" ht="45" x14ac:dyDescent="0.25">
      <c r="A14" s="167" t="s">
        <v>454</v>
      </c>
      <c r="B14">
        <v>3</v>
      </c>
      <c r="C14">
        <v>4</v>
      </c>
      <c r="D14" s="172">
        <f t="shared" si="4"/>
        <v>1</v>
      </c>
      <c r="E14" s="170"/>
      <c r="F14">
        <v>4</v>
      </c>
      <c r="G14">
        <v>4</v>
      </c>
      <c r="H14" s="7">
        <f t="shared" si="1"/>
        <v>0</v>
      </c>
      <c r="I14" s="170"/>
      <c r="J14">
        <v>3</v>
      </c>
      <c r="K14">
        <v>3</v>
      </c>
      <c r="L14" s="7">
        <f t="shared" si="2"/>
        <v>0</v>
      </c>
      <c r="M14" s="170"/>
      <c r="N14">
        <v>3</v>
      </c>
      <c r="O14">
        <v>4</v>
      </c>
      <c r="P14" s="173">
        <f t="shared" si="3"/>
        <v>1</v>
      </c>
    </row>
    <row r="15" spans="1:16" ht="30" x14ac:dyDescent="0.25">
      <c r="A15" s="167" t="s">
        <v>455</v>
      </c>
      <c r="B15">
        <v>3</v>
      </c>
      <c r="C15">
        <v>4</v>
      </c>
      <c r="D15" s="172">
        <f t="shared" si="4"/>
        <v>1</v>
      </c>
      <c r="E15" s="170"/>
      <c r="F15">
        <v>4</v>
      </c>
      <c r="G15">
        <v>4</v>
      </c>
      <c r="H15" s="7">
        <f t="shared" si="1"/>
        <v>0</v>
      </c>
      <c r="I15" s="170"/>
      <c r="J15">
        <v>3</v>
      </c>
      <c r="K15">
        <v>4</v>
      </c>
      <c r="L15" s="173">
        <f t="shared" si="2"/>
        <v>1</v>
      </c>
      <c r="M15" s="170"/>
      <c r="N15">
        <v>4</v>
      </c>
      <c r="O15">
        <v>4</v>
      </c>
      <c r="P15" s="7">
        <f t="shared" si="3"/>
        <v>0</v>
      </c>
    </row>
    <row r="16" spans="1:16" ht="60" x14ac:dyDescent="0.25">
      <c r="A16" s="167" t="s">
        <v>456</v>
      </c>
      <c r="B16">
        <v>3</v>
      </c>
      <c r="C16">
        <v>4</v>
      </c>
      <c r="D16" s="172">
        <f t="shared" si="4"/>
        <v>1</v>
      </c>
      <c r="E16" s="170"/>
      <c r="F16">
        <v>4</v>
      </c>
      <c r="G16">
        <v>4</v>
      </c>
      <c r="H16" s="7">
        <f t="shared" si="1"/>
        <v>0</v>
      </c>
      <c r="I16" s="170"/>
      <c r="J16">
        <v>3</v>
      </c>
      <c r="K16">
        <v>3</v>
      </c>
      <c r="L16" s="7">
        <f t="shared" si="2"/>
        <v>0</v>
      </c>
      <c r="M16" s="170"/>
      <c r="N16">
        <v>3</v>
      </c>
      <c r="O16">
        <v>4</v>
      </c>
      <c r="P16" s="173">
        <f t="shared" si="3"/>
        <v>1</v>
      </c>
    </row>
    <row r="17" spans="1:16" ht="45" x14ac:dyDescent="0.25">
      <c r="A17" s="167" t="s">
        <v>457</v>
      </c>
      <c r="B17">
        <v>3</v>
      </c>
      <c r="C17">
        <v>4</v>
      </c>
      <c r="D17" s="172">
        <f t="shared" si="4"/>
        <v>1</v>
      </c>
      <c r="E17" s="170"/>
      <c r="F17">
        <v>3</v>
      </c>
      <c r="G17">
        <v>4</v>
      </c>
      <c r="H17" s="173">
        <f t="shared" si="1"/>
        <v>1</v>
      </c>
      <c r="I17" s="170"/>
      <c r="J17">
        <v>4</v>
      </c>
      <c r="K17">
        <v>4</v>
      </c>
      <c r="L17" s="7">
        <f t="shared" si="2"/>
        <v>0</v>
      </c>
      <c r="M17" s="170"/>
      <c r="N17">
        <v>4</v>
      </c>
      <c r="O17">
        <v>4</v>
      </c>
      <c r="P17" s="7">
        <f t="shared" si="3"/>
        <v>0</v>
      </c>
    </row>
    <row r="18" spans="1:16" s="7" customFormat="1" x14ac:dyDescent="0.25">
      <c r="A18" s="168" t="s">
        <v>458</v>
      </c>
      <c r="B18" s="7">
        <f>AVERAGE(B19:B22)</f>
        <v>3</v>
      </c>
      <c r="C18" s="7">
        <f t="shared" ref="C18:O18" si="7">AVERAGE(C19:C22)</f>
        <v>4</v>
      </c>
      <c r="D18" s="172">
        <f t="shared" si="4"/>
        <v>1</v>
      </c>
      <c r="E18" s="171"/>
      <c r="F18" s="7">
        <f t="shared" si="7"/>
        <v>4</v>
      </c>
      <c r="G18" s="7">
        <f t="shared" si="7"/>
        <v>3</v>
      </c>
      <c r="H18" s="174">
        <f t="shared" si="1"/>
        <v>-1</v>
      </c>
      <c r="I18" s="171"/>
      <c r="J18" s="7">
        <f t="shared" si="7"/>
        <v>2.75</v>
      </c>
      <c r="K18" s="7">
        <f t="shared" si="7"/>
        <v>3</v>
      </c>
      <c r="L18" s="173">
        <f t="shared" si="2"/>
        <v>0.25</v>
      </c>
      <c r="M18" s="171"/>
      <c r="N18" s="7">
        <f t="shared" si="7"/>
        <v>3.25</v>
      </c>
      <c r="O18" s="7">
        <f t="shared" si="7"/>
        <v>3</v>
      </c>
      <c r="P18" s="174">
        <f t="shared" si="3"/>
        <v>-0.25</v>
      </c>
    </row>
    <row r="19" spans="1:16" ht="60" x14ac:dyDescent="0.25">
      <c r="A19" s="169" t="s">
        <v>459</v>
      </c>
      <c r="B19">
        <v>3</v>
      </c>
      <c r="C19">
        <v>4</v>
      </c>
      <c r="D19" s="172">
        <f t="shared" si="4"/>
        <v>1</v>
      </c>
      <c r="E19" s="170"/>
      <c r="F19">
        <v>4</v>
      </c>
      <c r="G19">
        <v>3</v>
      </c>
      <c r="H19" s="174">
        <f t="shared" si="1"/>
        <v>-1</v>
      </c>
      <c r="I19" s="170"/>
      <c r="J19">
        <v>2</v>
      </c>
      <c r="K19">
        <v>3</v>
      </c>
      <c r="L19" s="173">
        <f t="shared" si="2"/>
        <v>1</v>
      </c>
      <c r="M19" s="170"/>
      <c r="N19">
        <v>4</v>
      </c>
      <c r="O19">
        <v>3</v>
      </c>
      <c r="P19" s="174">
        <f t="shared" si="3"/>
        <v>-1</v>
      </c>
    </row>
    <row r="20" spans="1:16" ht="30" x14ac:dyDescent="0.25">
      <c r="A20" s="169" t="s">
        <v>460</v>
      </c>
      <c r="B20">
        <v>3</v>
      </c>
      <c r="C20">
        <v>4</v>
      </c>
      <c r="D20" s="172">
        <f t="shared" si="4"/>
        <v>1</v>
      </c>
      <c r="E20" s="170"/>
      <c r="F20">
        <v>4</v>
      </c>
      <c r="G20">
        <v>3</v>
      </c>
      <c r="H20" s="174">
        <f t="shared" si="1"/>
        <v>-1</v>
      </c>
      <c r="I20" s="170"/>
      <c r="J20">
        <v>4</v>
      </c>
      <c r="K20">
        <v>3</v>
      </c>
      <c r="L20" s="174">
        <f t="shared" si="2"/>
        <v>-1</v>
      </c>
      <c r="M20" s="170"/>
      <c r="N20">
        <v>3</v>
      </c>
      <c r="O20">
        <v>3</v>
      </c>
      <c r="P20" s="7">
        <f t="shared" si="3"/>
        <v>0</v>
      </c>
    </row>
    <row r="21" spans="1:16" ht="30" x14ac:dyDescent="0.25">
      <c r="A21" s="169" t="s">
        <v>461</v>
      </c>
      <c r="B21">
        <v>3</v>
      </c>
      <c r="C21">
        <v>4</v>
      </c>
      <c r="D21" s="172">
        <f t="shared" si="4"/>
        <v>1</v>
      </c>
      <c r="E21" s="170"/>
      <c r="F21">
        <v>4</v>
      </c>
      <c r="G21">
        <v>3</v>
      </c>
      <c r="H21" s="174">
        <f t="shared" si="1"/>
        <v>-1</v>
      </c>
      <c r="I21" s="170"/>
      <c r="J21">
        <v>3</v>
      </c>
      <c r="K21">
        <v>3</v>
      </c>
      <c r="L21" s="7">
        <f t="shared" si="2"/>
        <v>0</v>
      </c>
      <c r="M21" s="170"/>
      <c r="N21">
        <v>3</v>
      </c>
      <c r="O21">
        <v>3</v>
      </c>
      <c r="P21" s="7">
        <f t="shared" si="3"/>
        <v>0</v>
      </c>
    </row>
    <row r="22" spans="1:16" ht="60" x14ac:dyDescent="0.25">
      <c r="A22" s="169" t="s">
        <v>462</v>
      </c>
      <c r="B22">
        <v>3</v>
      </c>
      <c r="C22">
        <v>4</v>
      </c>
      <c r="D22" s="172">
        <f t="shared" si="4"/>
        <v>1</v>
      </c>
      <c r="E22" s="170"/>
      <c r="F22">
        <v>4</v>
      </c>
      <c r="G22">
        <v>3</v>
      </c>
      <c r="H22" s="174">
        <f t="shared" si="1"/>
        <v>-1</v>
      </c>
      <c r="I22" s="170"/>
      <c r="J22">
        <v>2</v>
      </c>
      <c r="K22">
        <v>3</v>
      </c>
      <c r="L22" s="173">
        <f t="shared" si="2"/>
        <v>1</v>
      </c>
      <c r="M22" s="170"/>
      <c r="N22">
        <v>3</v>
      </c>
      <c r="O22">
        <v>3</v>
      </c>
      <c r="P22" s="7">
        <f t="shared" si="3"/>
        <v>0</v>
      </c>
    </row>
    <row r="23" spans="1:16" s="7" customFormat="1" x14ac:dyDescent="0.25">
      <c r="A23" s="168" t="s">
        <v>463</v>
      </c>
      <c r="B23" s="7">
        <f>AVERAGE(B24:B27)</f>
        <v>2.75</v>
      </c>
      <c r="C23" s="7">
        <f t="shared" ref="C23:O23" si="8">AVERAGE(C24:C27)</f>
        <v>4</v>
      </c>
      <c r="D23" s="172">
        <f t="shared" si="4"/>
        <v>1.25</v>
      </c>
      <c r="E23" s="171"/>
      <c r="F23" s="7">
        <f t="shared" si="8"/>
        <v>3.25</v>
      </c>
      <c r="G23" s="7">
        <f t="shared" si="8"/>
        <v>2.75</v>
      </c>
      <c r="H23" s="174">
        <f t="shared" si="1"/>
        <v>-0.5</v>
      </c>
      <c r="I23" s="171"/>
      <c r="J23" s="7">
        <f t="shared" si="8"/>
        <v>3</v>
      </c>
      <c r="K23" s="7">
        <f t="shared" si="8"/>
        <v>2.75</v>
      </c>
      <c r="L23" s="174">
        <f t="shared" si="2"/>
        <v>-0.25</v>
      </c>
      <c r="M23" s="171"/>
      <c r="N23" s="7">
        <f t="shared" si="8"/>
        <v>3.25</v>
      </c>
      <c r="O23" s="7">
        <f t="shared" si="8"/>
        <v>3</v>
      </c>
      <c r="P23" s="174">
        <f t="shared" si="3"/>
        <v>-0.25</v>
      </c>
    </row>
    <row r="24" spans="1:16" ht="60" x14ac:dyDescent="0.25">
      <c r="A24" s="167" t="s">
        <v>464</v>
      </c>
      <c r="B24">
        <v>3</v>
      </c>
      <c r="C24">
        <v>4</v>
      </c>
      <c r="D24" s="172">
        <f t="shared" si="4"/>
        <v>1</v>
      </c>
      <c r="E24" s="170"/>
      <c r="F24">
        <v>4</v>
      </c>
      <c r="G24">
        <v>3</v>
      </c>
      <c r="H24" s="174">
        <f t="shared" si="1"/>
        <v>-1</v>
      </c>
      <c r="I24" s="170"/>
      <c r="J24">
        <v>3</v>
      </c>
      <c r="K24">
        <v>3</v>
      </c>
      <c r="L24" s="7">
        <f t="shared" si="2"/>
        <v>0</v>
      </c>
      <c r="M24" s="170"/>
      <c r="N24">
        <v>3</v>
      </c>
      <c r="O24">
        <v>3</v>
      </c>
      <c r="P24" s="7">
        <f t="shared" si="3"/>
        <v>0</v>
      </c>
    </row>
    <row r="25" spans="1:16" ht="75" x14ac:dyDescent="0.25">
      <c r="A25" s="167" t="s">
        <v>465</v>
      </c>
      <c r="B25">
        <v>3</v>
      </c>
      <c r="C25">
        <v>4</v>
      </c>
      <c r="D25" s="172">
        <f t="shared" si="4"/>
        <v>1</v>
      </c>
      <c r="E25" s="170"/>
      <c r="F25">
        <v>3</v>
      </c>
      <c r="G25">
        <v>3</v>
      </c>
      <c r="H25" s="7">
        <f t="shared" si="1"/>
        <v>0</v>
      </c>
      <c r="I25" s="170"/>
      <c r="J25">
        <v>3</v>
      </c>
      <c r="K25">
        <v>3</v>
      </c>
      <c r="L25" s="7">
        <f t="shared" si="2"/>
        <v>0</v>
      </c>
      <c r="M25" s="170"/>
      <c r="N25">
        <v>3</v>
      </c>
      <c r="O25">
        <v>3</v>
      </c>
      <c r="P25" s="7">
        <f t="shared" si="3"/>
        <v>0</v>
      </c>
    </row>
    <row r="26" spans="1:16" ht="45" x14ac:dyDescent="0.25">
      <c r="A26" s="167" t="s">
        <v>466</v>
      </c>
      <c r="B26">
        <v>3</v>
      </c>
      <c r="C26">
        <v>4</v>
      </c>
      <c r="D26" s="172">
        <f t="shared" si="4"/>
        <v>1</v>
      </c>
      <c r="E26" s="170"/>
      <c r="F26">
        <v>3</v>
      </c>
      <c r="G26">
        <v>3</v>
      </c>
      <c r="H26" s="7">
        <f t="shared" si="1"/>
        <v>0</v>
      </c>
      <c r="I26" s="170"/>
      <c r="J26">
        <v>3</v>
      </c>
      <c r="K26">
        <v>3</v>
      </c>
      <c r="L26" s="7">
        <f t="shared" si="2"/>
        <v>0</v>
      </c>
      <c r="M26" s="170"/>
      <c r="N26">
        <v>4</v>
      </c>
      <c r="O26">
        <v>3</v>
      </c>
      <c r="P26" s="174">
        <f t="shared" si="3"/>
        <v>-1</v>
      </c>
    </row>
    <row r="27" spans="1:16" ht="45" x14ac:dyDescent="0.25">
      <c r="A27" s="167" t="s">
        <v>467</v>
      </c>
      <c r="B27">
        <v>2</v>
      </c>
      <c r="C27">
        <v>4</v>
      </c>
      <c r="D27" s="172">
        <f t="shared" si="4"/>
        <v>2</v>
      </c>
      <c r="E27" s="170"/>
      <c r="F27">
        <v>3</v>
      </c>
      <c r="G27">
        <v>2</v>
      </c>
      <c r="H27" s="174">
        <f t="shared" si="1"/>
        <v>-1</v>
      </c>
      <c r="I27" s="170"/>
      <c r="J27">
        <v>3</v>
      </c>
      <c r="K27">
        <v>2</v>
      </c>
      <c r="L27" s="174">
        <f t="shared" si="2"/>
        <v>-1</v>
      </c>
      <c r="M27" s="170"/>
      <c r="N27">
        <v>3</v>
      </c>
      <c r="O27">
        <v>3</v>
      </c>
      <c r="P27" s="7">
        <f t="shared" si="3"/>
        <v>0</v>
      </c>
    </row>
    <row r="28" spans="1:16" s="7" customFormat="1" x14ac:dyDescent="0.25">
      <c r="A28" s="168" t="s">
        <v>468</v>
      </c>
      <c r="B28" s="7">
        <f>AVERAGE(B29:B32)</f>
        <v>4</v>
      </c>
      <c r="C28" s="7">
        <f t="shared" ref="C28:O28" si="9">AVERAGE(C29:C32)</f>
        <v>4</v>
      </c>
      <c r="D28">
        <f t="shared" si="4"/>
        <v>0</v>
      </c>
      <c r="E28" s="171"/>
      <c r="F28" s="7">
        <f t="shared" si="9"/>
        <v>3</v>
      </c>
      <c r="G28" s="7">
        <f t="shared" si="9"/>
        <v>3.75</v>
      </c>
      <c r="H28" s="173">
        <f t="shared" si="1"/>
        <v>0.75</v>
      </c>
      <c r="I28" s="171"/>
      <c r="J28" s="7">
        <f t="shared" si="9"/>
        <v>3.25</v>
      </c>
      <c r="K28" s="7">
        <f t="shared" si="9"/>
        <v>3</v>
      </c>
      <c r="L28" s="174">
        <f t="shared" si="2"/>
        <v>-0.25</v>
      </c>
      <c r="M28" s="171"/>
      <c r="N28" s="7">
        <f t="shared" si="9"/>
        <v>3</v>
      </c>
      <c r="O28" s="7">
        <f t="shared" si="9"/>
        <v>3.75</v>
      </c>
      <c r="P28" s="173">
        <f t="shared" si="3"/>
        <v>0.75</v>
      </c>
    </row>
    <row r="29" spans="1:16" ht="45" x14ac:dyDescent="0.25">
      <c r="A29" s="167" t="s">
        <v>469</v>
      </c>
      <c r="B29">
        <v>4</v>
      </c>
      <c r="C29">
        <v>4</v>
      </c>
      <c r="D29">
        <f t="shared" si="4"/>
        <v>0</v>
      </c>
      <c r="E29" s="170"/>
      <c r="F29">
        <v>3</v>
      </c>
      <c r="G29">
        <v>4</v>
      </c>
      <c r="H29" s="173">
        <f t="shared" si="1"/>
        <v>1</v>
      </c>
      <c r="I29" s="170"/>
      <c r="J29">
        <v>4</v>
      </c>
      <c r="K29">
        <v>3</v>
      </c>
      <c r="L29" s="174">
        <f t="shared" si="2"/>
        <v>-1</v>
      </c>
      <c r="M29" s="170"/>
      <c r="N29">
        <v>4</v>
      </c>
      <c r="O29">
        <v>4</v>
      </c>
      <c r="P29" s="7">
        <f t="shared" si="3"/>
        <v>0</v>
      </c>
    </row>
    <row r="30" spans="1:16" ht="60" x14ac:dyDescent="0.25">
      <c r="A30" s="167" t="s">
        <v>470</v>
      </c>
      <c r="B30">
        <v>4</v>
      </c>
      <c r="C30">
        <v>4</v>
      </c>
      <c r="D30">
        <f t="shared" si="4"/>
        <v>0</v>
      </c>
      <c r="E30" s="170"/>
      <c r="F30">
        <v>3</v>
      </c>
      <c r="G30">
        <v>4</v>
      </c>
      <c r="H30" s="173">
        <f t="shared" si="1"/>
        <v>1</v>
      </c>
      <c r="I30" s="170"/>
      <c r="J30">
        <v>3</v>
      </c>
      <c r="K30">
        <v>3</v>
      </c>
      <c r="L30" s="7">
        <f t="shared" si="2"/>
        <v>0</v>
      </c>
      <c r="M30" s="170"/>
      <c r="N30">
        <v>3</v>
      </c>
      <c r="O30">
        <v>4</v>
      </c>
      <c r="P30" s="173">
        <f t="shared" si="3"/>
        <v>1</v>
      </c>
    </row>
    <row r="31" spans="1:16" ht="45" x14ac:dyDescent="0.25">
      <c r="A31" s="167" t="s">
        <v>471</v>
      </c>
      <c r="B31">
        <v>4</v>
      </c>
      <c r="C31">
        <v>4</v>
      </c>
      <c r="D31">
        <f t="shared" si="4"/>
        <v>0</v>
      </c>
      <c r="E31" s="170"/>
      <c r="F31">
        <v>3</v>
      </c>
      <c r="G31">
        <v>4</v>
      </c>
      <c r="H31" s="173">
        <f t="shared" si="1"/>
        <v>1</v>
      </c>
      <c r="I31" s="170"/>
      <c r="J31">
        <v>3</v>
      </c>
      <c r="K31">
        <v>4</v>
      </c>
      <c r="L31" s="173">
        <f t="shared" si="2"/>
        <v>1</v>
      </c>
      <c r="M31" s="170"/>
      <c r="N31">
        <v>3</v>
      </c>
      <c r="O31">
        <v>4</v>
      </c>
      <c r="P31" s="173">
        <f t="shared" si="3"/>
        <v>1</v>
      </c>
    </row>
    <row r="32" spans="1:16" ht="45" x14ac:dyDescent="0.25">
      <c r="A32" s="167" t="s">
        <v>472</v>
      </c>
      <c r="B32">
        <v>4</v>
      </c>
      <c r="C32">
        <v>4</v>
      </c>
      <c r="D32">
        <f t="shared" si="4"/>
        <v>0</v>
      </c>
      <c r="E32" s="170"/>
      <c r="F32">
        <v>3</v>
      </c>
      <c r="G32">
        <v>3</v>
      </c>
      <c r="H32" s="7">
        <f t="shared" si="1"/>
        <v>0</v>
      </c>
      <c r="I32" s="170"/>
      <c r="J32">
        <v>3</v>
      </c>
      <c r="K32">
        <v>2</v>
      </c>
      <c r="L32" s="174">
        <f t="shared" si="2"/>
        <v>-1</v>
      </c>
      <c r="M32" s="170"/>
      <c r="N32">
        <v>2</v>
      </c>
      <c r="O32">
        <v>3</v>
      </c>
      <c r="P32" s="173">
        <f t="shared" si="3"/>
        <v>1</v>
      </c>
    </row>
    <row r="33" spans="1:16" s="7" customFormat="1" x14ac:dyDescent="0.25">
      <c r="A33" s="168" t="s">
        <v>473</v>
      </c>
      <c r="B33" s="7">
        <f>AVERAGE(B34:B36)</f>
        <v>3</v>
      </c>
      <c r="C33" s="7">
        <f t="shared" ref="C33:O33" si="10">AVERAGE(C34:C36)</f>
        <v>4</v>
      </c>
      <c r="D33" s="172">
        <f t="shared" si="4"/>
        <v>1</v>
      </c>
      <c r="E33" s="171"/>
      <c r="F33" s="7">
        <f t="shared" si="10"/>
        <v>1.3333333333333333</v>
      </c>
      <c r="G33" s="7">
        <f t="shared" si="10"/>
        <v>3</v>
      </c>
      <c r="H33" s="173">
        <f t="shared" si="1"/>
        <v>1.6666666666666667</v>
      </c>
      <c r="I33" s="171"/>
      <c r="J33" s="7">
        <f t="shared" si="10"/>
        <v>1</v>
      </c>
      <c r="K33" s="7">
        <f t="shared" si="10"/>
        <v>3.6666666666666665</v>
      </c>
      <c r="L33" s="173">
        <f t="shared" si="2"/>
        <v>2.6666666666666665</v>
      </c>
      <c r="M33" s="171"/>
      <c r="N33" s="7">
        <f t="shared" si="10"/>
        <v>2.6666666666666665</v>
      </c>
      <c r="O33" s="7">
        <f t="shared" si="10"/>
        <v>3</v>
      </c>
      <c r="P33" s="173">
        <f t="shared" si="3"/>
        <v>0.33333333333333348</v>
      </c>
    </row>
    <row r="34" spans="1:16" ht="60" x14ac:dyDescent="0.25">
      <c r="A34" s="167" t="s">
        <v>474</v>
      </c>
      <c r="B34">
        <v>3</v>
      </c>
      <c r="C34">
        <v>4</v>
      </c>
      <c r="D34" s="172">
        <f t="shared" si="4"/>
        <v>1</v>
      </c>
      <c r="E34" s="170"/>
      <c r="F34">
        <v>2</v>
      </c>
      <c r="G34">
        <v>3</v>
      </c>
      <c r="H34" s="173">
        <f t="shared" si="1"/>
        <v>1</v>
      </c>
      <c r="I34" s="170"/>
      <c r="J34">
        <v>1</v>
      </c>
      <c r="K34">
        <v>4</v>
      </c>
      <c r="L34" s="173">
        <f t="shared" si="2"/>
        <v>3</v>
      </c>
      <c r="M34" s="170"/>
      <c r="N34">
        <v>3</v>
      </c>
      <c r="O34">
        <v>3</v>
      </c>
      <c r="P34" s="7">
        <f t="shared" si="3"/>
        <v>0</v>
      </c>
    </row>
    <row r="35" spans="1:16" ht="60" x14ac:dyDescent="0.25">
      <c r="A35" s="167" t="s">
        <v>475</v>
      </c>
      <c r="B35">
        <v>3</v>
      </c>
      <c r="C35">
        <v>4</v>
      </c>
      <c r="D35" s="172">
        <f t="shared" si="4"/>
        <v>1</v>
      </c>
      <c r="E35" s="170"/>
      <c r="F35">
        <v>1</v>
      </c>
      <c r="G35">
        <v>3</v>
      </c>
      <c r="H35" s="173">
        <f t="shared" si="1"/>
        <v>2</v>
      </c>
      <c r="I35" s="170"/>
      <c r="J35">
        <v>1</v>
      </c>
      <c r="K35">
        <v>4</v>
      </c>
      <c r="L35" s="173">
        <f t="shared" si="2"/>
        <v>3</v>
      </c>
      <c r="M35" s="170"/>
      <c r="N35">
        <v>3</v>
      </c>
      <c r="O35">
        <v>3</v>
      </c>
      <c r="P35" s="7">
        <f t="shared" si="3"/>
        <v>0</v>
      </c>
    </row>
    <row r="36" spans="1:16" ht="60" x14ac:dyDescent="0.25">
      <c r="A36" s="167" t="s">
        <v>476</v>
      </c>
      <c r="B36">
        <v>3</v>
      </c>
      <c r="C36">
        <v>4</v>
      </c>
      <c r="D36" s="172">
        <f t="shared" si="4"/>
        <v>1</v>
      </c>
      <c r="E36" s="170"/>
      <c r="F36">
        <v>1</v>
      </c>
      <c r="G36">
        <v>3</v>
      </c>
      <c r="H36" s="173">
        <f t="shared" si="1"/>
        <v>2</v>
      </c>
      <c r="I36" s="170"/>
      <c r="J36">
        <v>1</v>
      </c>
      <c r="K36">
        <v>3</v>
      </c>
      <c r="L36" s="173">
        <f t="shared" si="2"/>
        <v>2</v>
      </c>
      <c r="M36" s="170"/>
      <c r="N36">
        <v>2</v>
      </c>
      <c r="O36">
        <v>3</v>
      </c>
      <c r="P36" s="173">
        <f t="shared" si="3"/>
        <v>1</v>
      </c>
    </row>
    <row r="37" spans="1:16" x14ac:dyDescent="0.25">
      <c r="A37" s="167" t="s">
        <v>489</v>
      </c>
      <c r="B37">
        <f>SUM(B36,B35,B34,B32,B31,B30,B29,B27,B26,B25,B24,B22,B21,B20,B19,B17,B16,B15,B14,B12,B11,B10,B9,B8,B6,B5,B4,B3)</f>
        <v>90</v>
      </c>
      <c r="C37">
        <f t="shared" ref="C37:O37" si="11">SUM(C36,C35,C34,C32,C31,C30,C29,C27,C26,C25,C24,C22,C21,C20,C19,C17,C16,C15,C14,C12,C11,C10,C9,C8,C6,C5,C4,C3)</f>
        <v>109</v>
      </c>
      <c r="D37" s="172">
        <f>C37-B37</f>
        <v>19</v>
      </c>
      <c r="E37">
        <f t="shared" si="11"/>
        <v>0</v>
      </c>
      <c r="F37">
        <f t="shared" si="11"/>
        <v>91</v>
      </c>
      <c r="G37">
        <f t="shared" si="11"/>
        <v>91</v>
      </c>
      <c r="H37">
        <f>G37-F37</f>
        <v>0</v>
      </c>
      <c r="I37">
        <f t="shared" si="11"/>
        <v>0</v>
      </c>
      <c r="J37">
        <f t="shared" si="11"/>
        <v>77</v>
      </c>
      <c r="K37">
        <f t="shared" si="11"/>
        <v>86</v>
      </c>
      <c r="L37" s="172">
        <f>K37-J37</f>
        <v>9</v>
      </c>
      <c r="M37">
        <f t="shared" si="11"/>
        <v>0</v>
      </c>
      <c r="N37">
        <f t="shared" si="11"/>
        <v>87</v>
      </c>
      <c r="O37">
        <f t="shared" si="11"/>
        <v>91</v>
      </c>
      <c r="P37" s="172">
        <f>O37-N37</f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D1C8B-A6E2-4110-A112-611AC8FEFA0F}">
  <dimension ref="A1:F30"/>
  <sheetViews>
    <sheetView workbookViewId="0">
      <selection activeCell="F29" sqref="F29"/>
    </sheetView>
  </sheetViews>
  <sheetFormatPr defaultRowHeight="15" x14ac:dyDescent="0.25"/>
  <cols>
    <col min="1" max="1" width="41.85546875" customWidth="1"/>
    <col min="6" max="6" width="15.5703125" customWidth="1"/>
  </cols>
  <sheetData>
    <row r="1" spans="1:6" x14ac:dyDescent="0.25">
      <c r="A1" t="s">
        <v>435</v>
      </c>
      <c r="B1" t="s">
        <v>5</v>
      </c>
      <c r="C1" t="s">
        <v>6</v>
      </c>
      <c r="D1" t="s">
        <v>7</v>
      </c>
      <c r="E1" t="s">
        <v>70</v>
      </c>
      <c r="F1" t="s">
        <v>441</v>
      </c>
    </row>
    <row r="2" spans="1:6" x14ac:dyDescent="0.25">
      <c r="A2" t="s">
        <v>431</v>
      </c>
      <c r="B2" s="44">
        <v>1</v>
      </c>
      <c r="C2" s="44">
        <v>0.98</v>
      </c>
      <c r="D2" s="44">
        <v>1</v>
      </c>
      <c r="E2" s="44">
        <f>AVERAGE(B2:D2)</f>
        <v>0.99333333333333329</v>
      </c>
    </row>
    <row r="3" spans="1:6" x14ac:dyDescent="0.25">
      <c r="A3" t="s">
        <v>440</v>
      </c>
      <c r="B3" s="44">
        <v>0.88</v>
      </c>
      <c r="C3" s="44">
        <v>1</v>
      </c>
      <c r="D3" s="44">
        <v>1</v>
      </c>
      <c r="E3" s="44">
        <f t="shared" ref="E3:E30" si="0">AVERAGE(B3:D3)</f>
        <v>0.96</v>
      </c>
    </row>
    <row r="4" spans="1:6" x14ac:dyDescent="0.25">
      <c r="A4" t="s">
        <v>432</v>
      </c>
      <c r="B4" s="44" t="s">
        <v>263</v>
      </c>
      <c r="C4" s="44" t="s">
        <v>263</v>
      </c>
      <c r="D4" s="44" t="s">
        <v>263</v>
      </c>
      <c r="E4" s="44"/>
      <c r="F4" s="3">
        <f>AVERAGE(E2:E6)</f>
        <v>0.90916666666666668</v>
      </c>
    </row>
    <row r="5" spans="1:6" x14ac:dyDescent="0.25">
      <c r="A5" t="s">
        <v>433</v>
      </c>
      <c r="B5" s="44">
        <v>1</v>
      </c>
      <c r="C5" s="44">
        <v>0.6</v>
      </c>
      <c r="D5" s="44">
        <v>0.6</v>
      </c>
      <c r="E5" s="44">
        <f t="shared" si="0"/>
        <v>0.73333333333333339</v>
      </c>
    </row>
    <row r="6" spans="1:6" x14ac:dyDescent="0.25">
      <c r="A6" t="s">
        <v>434</v>
      </c>
      <c r="B6" s="44">
        <v>0.94</v>
      </c>
      <c r="C6" s="44">
        <v>0.98</v>
      </c>
      <c r="D6" s="44">
        <v>0.93</v>
      </c>
      <c r="E6" s="44">
        <f t="shared" si="0"/>
        <v>0.95000000000000007</v>
      </c>
    </row>
    <row r="7" spans="1:6" x14ac:dyDescent="0.25">
      <c r="A7" t="s">
        <v>436</v>
      </c>
      <c r="B7" s="44"/>
      <c r="C7" s="44"/>
      <c r="D7" s="44"/>
      <c r="E7" s="44"/>
    </row>
    <row r="8" spans="1:6" x14ac:dyDescent="0.25">
      <c r="A8" t="s">
        <v>431</v>
      </c>
      <c r="B8" s="44">
        <v>0.97</v>
      </c>
      <c r="C8" s="44">
        <v>1</v>
      </c>
      <c r="D8" s="44">
        <v>1</v>
      </c>
      <c r="E8" s="44">
        <f t="shared" si="0"/>
        <v>0.98999999999999988</v>
      </c>
    </row>
    <row r="9" spans="1:6" x14ac:dyDescent="0.25">
      <c r="A9" t="s">
        <v>440</v>
      </c>
      <c r="B9" s="44">
        <v>1</v>
      </c>
      <c r="C9" s="44">
        <v>1</v>
      </c>
      <c r="D9" s="44">
        <v>1</v>
      </c>
      <c r="E9" s="44">
        <f t="shared" si="0"/>
        <v>1</v>
      </c>
    </row>
    <row r="10" spans="1:6" x14ac:dyDescent="0.25">
      <c r="A10" t="s">
        <v>432</v>
      </c>
      <c r="B10" s="44">
        <v>0.85</v>
      </c>
      <c r="C10" s="44">
        <v>0.98</v>
      </c>
      <c r="D10" s="44">
        <v>0.99</v>
      </c>
      <c r="E10" s="44">
        <f t="shared" si="0"/>
        <v>0.94000000000000006</v>
      </c>
      <c r="F10" s="3">
        <f>AVERAGE(E8:E12)</f>
        <v>0.92133333333333334</v>
      </c>
    </row>
    <row r="11" spans="1:6" x14ac:dyDescent="0.25">
      <c r="A11" t="s">
        <v>433</v>
      </c>
      <c r="B11" s="44">
        <v>0.5</v>
      </c>
      <c r="C11" s="44">
        <v>0.8</v>
      </c>
      <c r="D11" s="44">
        <v>0.8</v>
      </c>
      <c r="E11" s="44">
        <f t="shared" si="0"/>
        <v>0.70000000000000007</v>
      </c>
    </row>
    <row r="12" spans="1:6" x14ac:dyDescent="0.25">
      <c r="A12" t="s">
        <v>434</v>
      </c>
      <c r="B12" s="44">
        <v>0.96</v>
      </c>
      <c r="C12" s="44">
        <v>1</v>
      </c>
      <c r="D12" s="44">
        <v>0.97</v>
      </c>
      <c r="E12" s="44">
        <f t="shared" si="0"/>
        <v>0.97666666666666657</v>
      </c>
    </row>
    <row r="13" spans="1:6" x14ac:dyDescent="0.25">
      <c r="A13" t="s">
        <v>437</v>
      </c>
      <c r="B13" s="44"/>
      <c r="C13" s="44"/>
      <c r="D13" s="44"/>
      <c r="E13" s="44"/>
    </row>
    <row r="14" spans="1:6" x14ac:dyDescent="0.25">
      <c r="A14" t="s">
        <v>431</v>
      </c>
      <c r="B14" s="44">
        <v>0.93</v>
      </c>
      <c r="C14" s="44">
        <v>1</v>
      </c>
      <c r="D14" s="44">
        <v>0.9</v>
      </c>
      <c r="E14" s="44">
        <f t="shared" si="0"/>
        <v>0.94333333333333336</v>
      </c>
    </row>
    <row r="15" spans="1:6" x14ac:dyDescent="0.25">
      <c r="A15" t="s">
        <v>440</v>
      </c>
      <c r="B15" s="44">
        <v>1</v>
      </c>
      <c r="C15" s="44">
        <v>1</v>
      </c>
      <c r="D15" s="44">
        <v>0.9</v>
      </c>
      <c r="E15" s="44">
        <f t="shared" si="0"/>
        <v>0.96666666666666667</v>
      </c>
    </row>
    <row r="16" spans="1:6" x14ac:dyDescent="0.25">
      <c r="A16" t="s">
        <v>432</v>
      </c>
      <c r="B16" s="44">
        <v>0.81</v>
      </c>
      <c r="C16" s="44">
        <v>0.98</v>
      </c>
      <c r="D16" s="44">
        <v>0.85</v>
      </c>
      <c r="E16" s="44">
        <f t="shared" si="0"/>
        <v>0.88</v>
      </c>
      <c r="F16" s="3">
        <f>AVERAGE(E14:E18)</f>
        <v>0.80666666666666664</v>
      </c>
    </row>
    <row r="17" spans="1:6" x14ac:dyDescent="0.25">
      <c r="A17" t="s">
        <v>433</v>
      </c>
      <c r="B17" s="44">
        <v>0.4</v>
      </c>
      <c r="C17" s="44">
        <v>0.6</v>
      </c>
      <c r="D17" s="44">
        <v>0.2</v>
      </c>
      <c r="E17" s="44">
        <f t="shared" si="0"/>
        <v>0.39999999999999997</v>
      </c>
    </row>
    <row r="18" spans="1:6" x14ac:dyDescent="0.25">
      <c r="A18" t="s">
        <v>434</v>
      </c>
      <c r="B18" s="44">
        <v>0.86</v>
      </c>
      <c r="C18" s="44">
        <v>0.91</v>
      </c>
      <c r="D18" s="44">
        <v>0.76</v>
      </c>
      <c r="E18" s="44">
        <f t="shared" si="0"/>
        <v>0.84333333333333338</v>
      </c>
    </row>
    <row r="19" spans="1:6" x14ac:dyDescent="0.25">
      <c r="A19" t="s">
        <v>438</v>
      </c>
      <c r="B19" s="44"/>
      <c r="C19" s="44"/>
      <c r="D19" s="44"/>
      <c r="E19" s="44"/>
    </row>
    <row r="20" spans="1:6" x14ac:dyDescent="0.25">
      <c r="A20" t="s">
        <v>431</v>
      </c>
      <c r="B20" s="44">
        <v>1</v>
      </c>
      <c r="C20" s="44">
        <v>1</v>
      </c>
      <c r="D20" s="44">
        <v>0.93</v>
      </c>
      <c r="E20" s="44">
        <f t="shared" si="0"/>
        <v>0.97666666666666668</v>
      </c>
    </row>
    <row r="21" spans="1:6" x14ac:dyDescent="0.25">
      <c r="A21" t="s">
        <v>440</v>
      </c>
      <c r="B21" s="44">
        <v>0.91</v>
      </c>
      <c r="C21" s="44">
        <v>1</v>
      </c>
      <c r="D21" s="44">
        <v>1</v>
      </c>
      <c r="E21" s="44">
        <f t="shared" si="0"/>
        <v>0.97000000000000008</v>
      </c>
    </row>
    <row r="22" spans="1:6" x14ac:dyDescent="0.25">
      <c r="A22" t="s">
        <v>432</v>
      </c>
      <c r="B22" s="44">
        <v>0.64</v>
      </c>
      <c r="C22" s="44">
        <v>0.98</v>
      </c>
      <c r="D22" s="44">
        <v>0.98</v>
      </c>
      <c r="E22" s="44">
        <f t="shared" si="0"/>
        <v>0.8666666666666667</v>
      </c>
      <c r="F22" s="3">
        <f>AVERAGE(E20:E24)</f>
        <v>0.93799999999999994</v>
      </c>
    </row>
    <row r="23" spans="1:6" x14ac:dyDescent="0.25">
      <c r="A23" t="s">
        <v>433</v>
      </c>
      <c r="B23" s="44">
        <v>1</v>
      </c>
      <c r="C23" s="44">
        <v>0.8</v>
      </c>
      <c r="D23" s="44">
        <v>1</v>
      </c>
      <c r="E23" s="44">
        <f t="shared" si="0"/>
        <v>0.93333333333333324</v>
      </c>
    </row>
    <row r="24" spans="1:6" x14ac:dyDescent="0.25">
      <c r="A24" t="s">
        <v>434</v>
      </c>
      <c r="B24" s="44">
        <v>0.97</v>
      </c>
      <c r="C24" s="44">
        <v>0.92</v>
      </c>
      <c r="D24" s="44">
        <v>0.94</v>
      </c>
      <c r="E24" s="44">
        <f t="shared" si="0"/>
        <v>0.94333333333333336</v>
      </c>
    </row>
    <row r="25" spans="1:6" x14ac:dyDescent="0.25">
      <c r="A25" t="s">
        <v>439</v>
      </c>
      <c r="B25" s="44"/>
      <c r="C25" s="44"/>
      <c r="D25" s="44"/>
      <c r="E25" s="44"/>
    </row>
    <row r="26" spans="1:6" x14ac:dyDescent="0.25">
      <c r="A26" t="s">
        <v>431</v>
      </c>
      <c r="B26" s="44">
        <v>1</v>
      </c>
      <c r="C26" s="44">
        <v>1</v>
      </c>
      <c r="D26" s="44">
        <v>1</v>
      </c>
      <c r="E26" s="44">
        <f t="shared" si="0"/>
        <v>1</v>
      </c>
    </row>
    <row r="27" spans="1:6" x14ac:dyDescent="0.25">
      <c r="A27" t="s">
        <v>440</v>
      </c>
      <c r="B27" s="44">
        <v>1</v>
      </c>
      <c r="C27" s="44">
        <v>0.8</v>
      </c>
      <c r="D27" s="44">
        <v>1</v>
      </c>
      <c r="E27" s="44">
        <f t="shared" si="0"/>
        <v>0.93333333333333324</v>
      </c>
    </row>
    <row r="28" spans="1:6" x14ac:dyDescent="0.25">
      <c r="A28" t="s">
        <v>432</v>
      </c>
      <c r="B28" s="44">
        <v>0.93</v>
      </c>
      <c r="C28" s="44">
        <v>1</v>
      </c>
      <c r="D28" s="44">
        <v>1</v>
      </c>
      <c r="E28" s="44">
        <f t="shared" si="0"/>
        <v>0.97666666666666668</v>
      </c>
      <c r="F28" s="3">
        <f>AVERAGE(E26:E30)</f>
        <v>0.98066666666666669</v>
      </c>
    </row>
    <row r="29" spans="1:6" x14ac:dyDescent="0.25">
      <c r="A29" t="s">
        <v>433</v>
      </c>
      <c r="B29" s="44">
        <v>1</v>
      </c>
      <c r="C29" s="44">
        <v>1</v>
      </c>
      <c r="D29" s="44">
        <v>1</v>
      </c>
      <c r="E29" s="44">
        <f t="shared" si="0"/>
        <v>1</v>
      </c>
    </row>
    <row r="30" spans="1:6" x14ac:dyDescent="0.25">
      <c r="A30" t="s">
        <v>434</v>
      </c>
      <c r="B30" s="44">
        <v>0.98</v>
      </c>
      <c r="C30" s="44">
        <v>1</v>
      </c>
      <c r="D30" s="44">
        <v>1</v>
      </c>
      <c r="E30" s="44">
        <f t="shared" si="0"/>
        <v>0.99333333333333329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25"/>
  <sheetViews>
    <sheetView topLeftCell="B5" workbookViewId="0">
      <selection activeCell="H5" sqref="H5"/>
    </sheetView>
  </sheetViews>
  <sheetFormatPr defaultRowHeight="15" x14ac:dyDescent="0.25"/>
  <cols>
    <col min="1" max="1" width="26" customWidth="1"/>
    <col min="2" max="2" width="25.5703125" customWidth="1"/>
    <col min="3" max="3" width="30.7109375" customWidth="1"/>
    <col min="4" max="4" width="23" customWidth="1"/>
    <col min="5" max="5" width="30.140625" customWidth="1"/>
    <col min="6" max="19" width="30.7109375" customWidth="1"/>
  </cols>
  <sheetData>
    <row r="1" spans="1:9" ht="19.5" customHeight="1" x14ac:dyDescent="0.25">
      <c r="A1" s="7" t="s">
        <v>0</v>
      </c>
      <c r="B1" s="7" t="s">
        <v>1</v>
      </c>
      <c r="C1" s="8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</row>
    <row r="2" spans="1:9" ht="45" customHeight="1" x14ac:dyDescent="0.25">
      <c r="A2" s="2" t="s">
        <v>8</v>
      </c>
      <c r="B2" s="2" t="s">
        <v>9</v>
      </c>
      <c r="C2" s="9" t="s">
        <v>10</v>
      </c>
      <c r="D2" s="2" t="s">
        <v>11</v>
      </c>
      <c r="E2" s="2" t="s">
        <v>12</v>
      </c>
      <c r="F2" s="2" t="s">
        <v>289</v>
      </c>
      <c r="G2" s="2" t="s">
        <v>289</v>
      </c>
      <c r="H2" s="2" t="s">
        <v>289</v>
      </c>
      <c r="I2" s="2"/>
    </row>
    <row r="3" spans="1:9" ht="45" customHeight="1" x14ac:dyDescent="0.25">
      <c r="A3" s="2" t="s">
        <v>13</v>
      </c>
      <c r="B3" s="2" t="s">
        <v>14</v>
      </c>
      <c r="C3" s="9" t="s">
        <v>15</v>
      </c>
      <c r="D3" s="2" t="s">
        <v>11</v>
      </c>
      <c r="E3" s="2" t="s">
        <v>16</v>
      </c>
      <c r="F3" s="176"/>
      <c r="G3" s="176"/>
      <c r="H3" s="176"/>
      <c r="I3" s="2"/>
    </row>
    <row r="4" spans="1:9" ht="97.5" customHeight="1" x14ac:dyDescent="0.25">
      <c r="A4" s="11" t="s">
        <v>267</v>
      </c>
      <c r="B4" s="11" t="s">
        <v>18</v>
      </c>
      <c r="C4" s="12" t="s">
        <v>19</v>
      </c>
      <c r="D4" s="11" t="s">
        <v>11</v>
      </c>
      <c r="E4" s="11" t="s">
        <v>20</v>
      </c>
      <c r="F4" s="12" t="s">
        <v>291</v>
      </c>
      <c r="G4" s="12" t="s">
        <v>310</v>
      </c>
      <c r="H4" s="12">
        <v>173</v>
      </c>
      <c r="I4" s="2"/>
    </row>
    <row r="5" spans="1:9" ht="75.75" customHeight="1" x14ac:dyDescent="0.25">
      <c r="A5" s="5" t="s">
        <v>268</v>
      </c>
      <c r="B5" s="5" t="s">
        <v>18</v>
      </c>
      <c r="C5" s="13" t="s">
        <v>21</v>
      </c>
      <c r="D5" s="5" t="s">
        <v>11</v>
      </c>
      <c r="E5" s="5" t="s">
        <v>17</v>
      </c>
      <c r="F5" s="13" t="s">
        <v>297</v>
      </c>
      <c r="G5" s="13" t="s">
        <v>309</v>
      </c>
      <c r="H5" s="5">
        <v>90.24</v>
      </c>
      <c r="I5" s="107">
        <v>0.90500000000000003</v>
      </c>
    </row>
    <row r="6" spans="1:9" ht="59.25" customHeight="1" x14ac:dyDescent="0.25">
      <c r="A6" s="2" t="s">
        <v>269</v>
      </c>
      <c r="B6" s="9" t="s">
        <v>270</v>
      </c>
      <c r="C6" s="9" t="s">
        <v>38</v>
      </c>
      <c r="D6" s="2" t="s">
        <v>24</v>
      </c>
      <c r="E6" s="9" t="s">
        <v>271</v>
      </c>
      <c r="F6" s="9" t="s">
        <v>296</v>
      </c>
      <c r="G6" s="9" t="s">
        <v>311</v>
      </c>
      <c r="H6" s="153">
        <v>0.77700000000000002</v>
      </c>
      <c r="I6" s="154">
        <f>(59.5+81.8+77.7)/3</f>
        <v>73</v>
      </c>
    </row>
    <row r="7" spans="1:9" ht="45" customHeight="1" x14ac:dyDescent="0.25">
      <c r="A7" s="2" t="s">
        <v>26</v>
      </c>
      <c r="B7" s="2" t="s">
        <v>27</v>
      </c>
      <c r="C7" s="9" t="s">
        <v>28</v>
      </c>
      <c r="D7" s="2" t="s">
        <v>11</v>
      </c>
      <c r="E7" s="2" t="s">
        <v>16</v>
      </c>
      <c r="F7" s="9" t="s">
        <v>272</v>
      </c>
      <c r="G7" s="2"/>
      <c r="H7" s="109"/>
      <c r="I7" s="2"/>
    </row>
    <row r="8" spans="1:9" ht="45" customHeight="1" x14ac:dyDescent="0.25">
      <c r="A8" s="9" t="s">
        <v>275</v>
      </c>
      <c r="B8" s="2" t="s">
        <v>274</v>
      </c>
      <c r="C8" s="9" t="s">
        <v>273</v>
      </c>
      <c r="D8" s="2" t="s">
        <v>11</v>
      </c>
      <c r="E8" s="2" t="s">
        <v>25</v>
      </c>
      <c r="F8" s="9" t="s">
        <v>298</v>
      </c>
      <c r="G8" s="9" t="s">
        <v>305</v>
      </c>
      <c r="H8" s="9" t="s">
        <v>390</v>
      </c>
      <c r="I8" s="9">
        <v>90.7</v>
      </c>
    </row>
    <row r="9" spans="1:9" ht="72.75" customHeight="1" x14ac:dyDescent="0.25">
      <c r="A9" s="2" t="s">
        <v>276</v>
      </c>
      <c r="B9" s="2" t="s">
        <v>18</v>
      </c>
      <c r="C9" s="9" t="s">
        <v>31</v>
      </c>
      <c r="D9" s="2" t="s">
        <v>11</v>
      </c>
      <c r="E9" s="2" t="s">
        <v>12</v>
      </c>
      <c r="F9" s="9" t="s">
        <v>290</v>
      </c>
      <c r="G9" s="9" t="s">
        <v>306</v>
      </c>
      <c r="H9" s="9" t="s">
        <v>410</v>
      </c>
      <c r="I9" s="9">
        <f>(91.3+91.3+90.1)/3</f>
        <v>90.899999999999991</v>
      </c>
    </row>
    <row r="10" spans="1:9" ht="45" customHeight="1" x14ac:dyDescent="0.25">
      <c r="A10" s="9" t="s">
        <v>277</v>
      </c>
      <c r="B10" s="2" t="s">
        <v>18</v>
      </c>
      <c r="C10" s="9"/>
      <c r="D10" s="2" t="s">
        <v>11</v>
      </c>
      <c r="E10" s="2" t="s">
        <v>32</v>
      </c>
      <c r="F10" s="110" t="s">
        <v>293</v>
      </c>
      <c r="G10" s="110" t="s">
        <v>308</v>
      </c>
      <c r="H10" s="111">
        <v>81.3</v>
      </c>
      <c r="I10" s="2"/>
    </row>
    <row r="11" spans="1:9" ht="68.25" customHeight="1" x14ac:dyDescent="0.25">
      <c r="A11" s="9" t="s">
        <v>278</v>
      </c>
      <c r="B11" s="2" t="s">
        <v>18</v>
      </c>
      <c r="C11" s="9"/>
      <c r="D11" s="2" t="s">
        <v>11</v>
      </c>
      <c r="E11" s="2" t="s">
        <v>32</v>
      </c>
      <c r="F11" s="110" t="s">
        <v>294</v>
      </c>
      <c r="G11" s="110" t="s">
        <v>307</v>
      </c>
      <c r="H11" s="110">
        <v>87.5</v>
      </c>
      <c r="I11" s="2"/>
    </row>
    <row r="12" spans="1:9" ht="45" customHeight="1" x14ac:dyDescent="0.25">
      <c r="A12" s="9" t="s">
        <v>33</v>
      </c>
      <c r="B12" s="2" t="s">
        <v>34</v>
      </c>
      <c r="C12" s="9" t="s">
        <v>35</v>
      </c>
      <c r="D12" s="2" t="s">
        <v>24</v>
      </c>
      <c r="E12" s="2" t="s">
        <v>16</v>
      </c>
      <c r="F12" s="9"/>
      <c r="G12" s="2"/>
      <c r="H12" s="2"/>
      <c r="I12" s="2"/>
    </row>
    <row r="13" spans="1:9" ht="45" customHeight="1" x14ac:dyDescent="0.25">
      <c r="A13" s="9" t="s">
        <v>279</v>
      </c>
      <c r="B13" s="2" t="s">
        <v>280</v>
      </c>
      <c r="C13" s="9" t="s">
        <v>281</v>
      </c>
      <c r="D13" s="2" t="s">
        <v>24</v>
      </c>
      <c r="E13" s="9" t="s">
        <v>282</v>
      </c>
      <c r="F13" s="2" t="s">
        <v>295</v>
      </c>
      <c r="G13" s="9" t="s">
        <v>312</v>
      </c>
      <c r="H13" s="107">
        <v>0.91300000000000003</v>
      </c>
      <c r="I13" s="107">
        <v>0.77100000000000002</v>
      </c>
    </row>
    <row r="14" spans="1:9" ht="45" customHeight="1" x14ac:dyDescent="0.25"/>
    <row r="15" spans="1:9" ht="45" customHeight="1" x14ac:dyDescent="0.25"/>
    <row r="16" spans="1:9" ht="45" customHeight="1" x14ac:dyDescent="0.25"/>
    <row r="17" ht="45" customHeight="1" x14ac:dyDescent="0.25"/>
    <row r="18" ht="45" customHeight="1" x14ac:dyDescent="0.25"/>
    <row r="19" ht="45" customHeight="1" x14ac:dyDescent="0.25"/>
    <row r="20" ht="45" customHeight="1" x14ac:dyDescent="0.25"/>
    <row r="21" ht="45" customHeight="1" x14ac:dyDescent="0.25"/>
    <row r="22" ht="45" customHeight="1" x14ac:dyDescent="0.25"/>
    <row r="23" ht="45" customHeight="1" x14ac:dyDescent="0.25"/>
    <row r="24" ht="45" customHeight="1" x14ac:dyDescent="0.25"/>
    <row r="25" ht="45" customHeight="1" x14ac:dyDescent="0.25"/>
  </sheetData>
  <mergeCells count="1">
    <mergeCell ref="F3:H3"/>
  </mergeCells>
  <pageMargins left="0.7" right="0.7" top="0.75" bottom="0.75" header="0.3" footer="0.3"/>
  <pageSetup scale="47" fitToHeight="0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11"/>
  <sheetViews>
    <sheetView workbookViewId="0">
      <selection activeCell="J10" sqref="J10"/>
    </sheetView>
  </sheetViews>
  <sheetFormatPr defaultRowHeight="15" x14ac:dyDescent="0.25"/>
  <cols>
    <col min="1" max="10" width="20.7109375" customWidth="1"/>
  </cols>
  <sheetData>
    <row r="1" spans="1:10" x14ac:dyDescent="0.25">
      <c r="E1" t="s">
        <v>356</v>
      </c>
      <c r="F1" t="s">
        <v>357</v>
      </c>
      <c r="G1" t="s">
        <v>89</v>
      </c>
      <c r="H1" t="s">
        <v>90</v>
      </c>
      <c r="I1" t="s">
        <v>238</v>
      </c>
      <c r="J1" t="s">
        <v>345</v>
      </c>
    </row>
    <row r="2" spans="1:10" ht="75" x14ac:dyDescent="0.25">
      <c r="A2" s="12" t="s">
        <v>362</v>
      </c>
      <c r="B2" s="12"/>
      <c r="C2" s="12" t="s">
        <v>364</v>
      </c>
      <c r="D2" s="12" t="s">
        <v>11</v>
      </c>
      <c r="E2" s="12" t="s">
        <v>358</v>
      </c>
      <c r="F2" s="12" t="s">
        <v>359</v>
      </c>
      <c r="G2" s="12" t="s">
        <v>360</v>
      </c>
      <c r="H2" s="12" t="s">
        <v>361</v>
      </c>
      <c r="I2" s="96">
        <v>113</v>
      </c>
      <c r="J2" s="175" t="s">
        <v>491</v>
      </c>
    </row>
    <row r="3" spans="1:10" ht="30" x14ac:dyDescent="0.25">
      <c r="A3" s="5" t="s">
        <v>363</v>
      </c>
      <c r="B3" s="13" t="s">
        <v>372</v>
      </c>
      <c r="C3" s="13" t="s">
        <v>364</v>
      </c>
      <c r="D3" s="5" t="s">
        <v>11</v>
      </c>
      <c r="E3" s="117">
        <v>0.81599999999999995</v>
      </c>
      <c r="F3" s="117">
        <v>0.88800000000000001</v>
      </c>
      <c r="G3" s="139">
        <v>0.85799999999999998</v>
      </c>
      <c r="H3" s="117">
        <v>0.86699999999999999</v>
      </c>
      <c r="I3" s="117">
        <v>0.89600000000000002</v>
      </c>
      <c r="J3" s="150">
        <v>0.90500000000000003</v>
      </c>
    </row>
    <row r="4" spans="1:10" ht="45" x14ac:dyDescent="0.25">
      <c r="A4" s="5" t="s">
        <v>370</v>
      </c>
      <c r="B4" s="5"/>
      <c r="C4" s="13"/>
      <c r="D4" s="5"/>
      <c r="E4" s="117"/>
      <c r="F4" s="117"/>
      <c r="G4" s="139" t="s">
        <v>373</v>
      </c>
      <c r="H4" s="140" t="s">
        <v>374</v>
      </c>
      <c r="I4" s="140" t="s">
        <v>375</v>
      </c>
      <c r="J4" s="140" t="s">
        <v>388</v>
      </c>
    </row>
    <row r="5" spans="1:10" ht="30" x14ac:dyDescent="0.25">
      <c r="A5" s="13" t="s">
        <v>371</v>
      </c>
      <c r="B5" s="5"/>
      <c r="C5" s="13"/>
      <c r="D5" s="5"/>
      <c r="E5" s="117"/>
      <c r="F5" s="117"/>
      <c r="G5" s="139" t="s">
        <v>376</v>
      </c>
      <c r="H5" s="117" t="s">
        <v>377</v>
      </c>
      <c r="I5" s="117" t="s">
        <v>378</v>
      </c>
      <c r="J5" s="150" t="s">
        <v>387</v>
      </c>
    </row>
    <row r="6" spans="1:10" ht="30" x14ac:dyDescent="0.25">
      <c r="A6" s="13" t="s">
        <v>379</v>
      </c>
      <c r="B6" s="5"/>
      <c r="C6" s="13"/>
      <c r="D6" s="5"/>
      <c r="E6" s="117"/>
      <c r="F6" s="117"/>
      <c r="G6" s="139" t="s">
        <v>381</v>
      </c>
      <c r="H6" s="140" t="s">
        <v>380</v>
      </c>
      <c r="I6" s="140" t="s">
        <v>380</v>
      </c>
      <c r="J6" s="13" t="s">
        <v>389</v>
      </c>
    </row>
    <row r="7" spans="1:10" ht="45" x14ac:dyDescent="0.25">
      <c r="A7" s="9" t="s">
        <v>365</v>
      </c>
      <c r="B7" s="9" t="s">
        <v>22</v>
      </c>
      <c r="C7" s="9" t="s">
        <v>23</v>
      </c>
      <c r="D7" s="2" t="s">
        <v>24</v>
      </c>
      <c r="E7" s="9"/>
      <c r="F7" s="9"/>
      <c r="G7" s="108"/>
      <c r="H7" s="112">
        <v>0.84</v>
      </c>
      <c r="I7" s="107">
        <v>0.82499999999999996</v>
      </c>
      <c r="J7" s="112">
        <v>0.73</v>
      </c>
    </row>
    <row r="8" spans="1:10" ht="30" x14ac:dyDescent="0.25">
      <c r="A8" s="9" t="s">
        <v>367</v>
      </c>
      <c r="B8" s="2" t="s">
        <v>29</v>
      </c>
      <c r="C8" s="9" t="s">
        <v>30</v>
      </c>
      <c r="D8" s="2" t="s">
        <v>11</v>
      </c>
      <c r="E8" s="9"/>
      <c r="F8" s="9"/>
      <c r="G8" s="9"/>
      <c r="H8" s="138">
        <v>0.58299999999999996</v>
      </c>
      <c r="I8" s="107">
        <v>0.83799999999999997</v>
      </c>
      <c r="J8" s="107">
        <v>0.90700000000000003</v>
      </c>
    </row>
    <row r="9" spans="1:10" ht="30" x14ac:dyDescent="0.25">
      <c r="A9" s="9" t="s">
        <v>366</v>
      </c>
      <c r="B9" s="9" t="s">
        <v>18</v>
      </c>
      <c r="C9" s="9" t="s">
        <v>31</v>
      </c>
      <c r="D9" s="9" t="s">
        <v>11</v>
      </c>
      <c r="E9" s="9"/>
      <c r="F9" s="9"/>
      <c r="G9" s="9"/>
      <c r="H9" s="108">
        <v>0.88</v>
      </c>
      <c r="I9" s="138">
        <v>0.89600000000000002</v>
      </c>
      <c r="J9" s="138">
        <v>0.90500000000000003</v>
      </c>
    </row>
    <row r="10" spans="1:10" ht="45" x14ac:dyDescent="0.25">
      <c r="A10" s="9" t="s">
        <v>369</v>
      </c>
      <c r="B10" s="9" t="s">
        <v>18</v>
      </c>
      <c r="C10" s="9"/>
      <c r="D10" s="9" t="s">
        <v>24</v>
      </c>
      <c r="E10" s="2"/>
      <c r="F10" s="112"/>
      <c r="G10" s="110" t="s">
        <v>265</v>
      </c>
      <c r="H10" s="110" t="s">
        <v>383</v>
      </c>
      <c r="I10" s="110" t="s">
        <v>368</v>
      </c>
      <c r="J10" s="107">
        <v>0.81299999999999994</v>
      </c>
    </row>
    <row r="11" spans="1:10" ht="45" x14ac:dyDescent="0.25">
      <c r="A11" s="9" t="s">
        <v>382</v>
      </c>
      <c r="B11" s="2"/>
      <c r="C11" s="2"/>
      <c r="D11" s="2"/>
      <c r="E11" s="110"/>
      <c r="F11" s="152">
        <v>0.77</v>
      </c>
      <c r="G11" s="112">
        <v>0.9</v>
      </c>
      <c r="H11" s="107">
        <v>0.83099999999999996</v>
      </c>
      <c r="I11" s="107">
        <v>0.88500000000000001</v>
      </c>
      <c r="J11" s="107">
        <v>0.875</v>
      </c>
    </row>
  </sheetData>
  <pageMargins left="0.7" right="0.7" top="0.75" bottom="0.75" header="0.3" footer="0.3"/>
  <pageSetup scale="6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9"/>
  <sheetViews>
    <sheetView workbookViewId="0">
      <selection activeCell="H4" sqref="H4"/>
    </sheetView>
  </sheetViews>
  <sheetFormatPr defaultRowHeight="15" x14ac:dyDescent="0.25"/>
  <cols>
    <col min="1" max="8" width="35.7109375" customWidth="1"/>
  </cols>
  <sheetData>
    <row r="1" spans="1:8" ht="45" customHeight="1" x14ac:dyDescent="0.25">
      <c r="A1" s="111" t="s">
        <v>0</v>
      </c>
      <c r="B1" s="111" t="s">
        <v>1</v>
      </c>
      <c r="C1" s="111" t="s">
        <v>2</v>
      </c>
      <c r="D1" s="111" t="s">
        <v>3</v>
      </c>
      <c r="E1" s="111" t="s">
        <v>4</v>
      </c>
      <c r="F1" s="111" t="s">
        <v>5</v>
      </c>
      <c r="G1" s="111" t="s">
        <v>6</v>
      </c>
      <c r="H1" s="111" t="s">
        <v>7</v>
      </c>
    </row>
    <row r="2" spans="1:8" ht="45" customHeight="1" x14ac:dyDescent="0.25">
      <c r="A2" s="2" t="s">
        <v>37</v>
      </c>
      <c r="B2" s="2" t="s">
        <v>38</v>
      </c>
      <c r="C2" s="9" t="s">
        <v>39</v>
      </c>
      <c r="D2" s="2" t="s">
        <v>11</v>
      </c>
      <c r="E2" s="2" t="s">
        <v>40</v>
      </c>
      <c r="F2" s="2"/>
      <c r="G2" s="2"/>
      <c r="H2" s="9" t="s">
        <v>429</v>
      </c>
    </row>
    <row r="3" spans="1:8" ht="45" customHeight="1" x14ac:dyDescent="0.25">
      <c r="A3" s="2" t="s">
        <v>41</v>
      </c>
      <c r="B3" s="2" t="s">
        <v>38</v>
      </c>
      <c r="C3" s="9" t="s">
        <v>42</v>
      </c>
      <c r="D3" s="2" t="s">
        <v>11</v>
      </c>
      <c r="E3" s="2" t="s">
        <v>40</v>
      </c>
      <c r="F3" s="2"/>
      <c r="G3" s="2"/>
      <c r="H3" s="9" t="s">
        <v>429</v>
      </c>
    </row>
    <row r="4" spans="1:8" ht="45" customHeight="1" x14ac:dyDescent="0.25">
      <c r="A4" s="2" t="s">
        <v>43</v>
      </c>
      <c r="B4" s="2" t="s">
        <v>38</v>
      </c>
      <c r="C4" s="9" t="s">
        <v>44</v>
      </c>
      <c r="D4" s="2" t="s">
        <v>11</v>
      </c>
      <c r="E4" s="2" t="s">
        <v>40</v>
      </c>
      <c r="F4" s="2"/>
      <c r="G4" s="2"/>
      <c r="H4" s="2" t="s">
        <v>430</v>
      </c>
    </row>
    <row r="5" spans="1:8" ht="45" customHeight="1" x14ac:dyDescent="0.25">
      <c r="A5" s="2" t="s">
        <v>283</v>
      </c>
      <c r="B5" s="2" t="s">
        <v>45</v>
      </c>
      <c r="C5" s="2" t="s">
        <v>46</v>
      </c>
      <c r="D5" s="2" t="s">
        <v>24</v>
      </c>
      <c r="E5" s="2" t="s">
        <v>25</v>
      </c>
      <c r="F5" s="9" t="s">
        <v>302</v>
      </c>
      <c r="G5" s="9" t="s">
        <v>299</v>
      </c>
      <c r="H5" s="2" t="s">
        <v>418</v>
      </c>
    </row>
    <row r="6" spans="1:8" ht="45" customHeight="1" x14ac:dyDescent="0.25">
      <c r="A6" s="2" t="s">
        <v>284</v>
      </c>
      <c r="B6" s="2" t="s">
        <v>45</v>
      </c>
      <c r="C6" s="2" t="s">
        <v>285</v>
      </c>
      <c r="D6" s="2" t="s">
        <v>24</v>
      </c>
      <c r="E6" s="2" t="s">
        <v>25</v>
      </c>
      <c r="F6" s="9" t="s">
        <v>303</v>
      </c>
      <c r="G6" s="9" t="s">
        <v>413</v>
      </c>
      <c r="H6" s="9" t="s">
        <v>414</v>
      </c>
    </row>
    <row r="7" spans="1:8" ht="45" customHeight="1" x14ac:dyDescent="0.25">
      <c r="A7" s="2" t="s">
        <v>51</v>
      </c>
      <c r="B7" s="2" t="s">
        <v>52</v>
      </c>
      <c r="C7" s="9" t="s">
        <v>286</v>
      </c>
      <c r="D7" s="2" t="s">
        <v>54</v>
      </c>
      <c r="E7" s="2" t="s">
        <v>55</v>
      </c>
      <c r="F7" s="177">
        <v>24.39</v>
      </c>
      <c r="G7" s="178"/>
      <c r="H7" s="178"/>
    </row>
    <row r="8" spans="1:8" ht="45" customHeight="1" x14ac:dyDescent="0.25">
      <c r="A8" s="2" t="s">
        <v>56</v>
      </c>
      <c r="B8" s="2" t="s">
        <v>52</v>
      </c>
      <c r="C8" s="9" t="s">
        <v>287</v>
      </c>
      <c r="D8" s="2" t="s">
        <v>54</v>
      </c>
      <c r="E8" s="2" t="s">
        <v>55</v>
      </c>
      <c r="F8" s="177">
        <v>31.05</v>
      </c>
      <c r="G8" s="177"/>
      <c r="H8" s="177"/>
    </row>
    <row r="9" spans="1:8" ht="75" x14ac:dyDescent="0.25">
      <c r="A9" s="2" t="s">
        <v>239</v>
      </c>
      <c r="B9" s="2" t="s">
        <v>240</v>
      </c>
      <c r="C9" s="2" t="s">
        <v>241</v>
      </c>
      <c r="D9" s="2" t="s">
        <v>242</v>
      </c>
      <c r="E9" s="9" t="s">
        <v>244</v>
      </c>
      <c r="F9" s="9" t="s">
        <v>292</v>
      </c>
      <c r="G9" s="9" t="s">
        <v>415</v>
      </c>
      <c r="H9" s="2"/>
    </row>
  </sheetData>
  <mergeCells count="2">
    <mergeCell ref="F7:H7"/>
    <mergeCell ref="F8:H8"/>
  </mergeCells>
  <pageMargins left="0.25" right="0.25" top="0.75" bottom="0.75" header="0.3" footer="0.3"/>
  <pageSetup scale="4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M8"/>
  <sheetViews>
    <sheetView topLeftCell="C1" workbookViewId="0">
      <selection activeCell="M4" sqref="M4"/>
    </sheetView>
  </sheetViews>
  <sheetFormatPr defaultRowHeight="15" x14ac:dyDescent="0.25"/>
  <cols>
    <col min="1" max="8" width="20.7109375" customWidth="1"/>
    <col min="10" max="10" width="16.5703125" customWidth="1"/>
    <col min="11" max="11" width="14.5703125" customWidth="1"/>
    <col min="12" max="12" width="16.85546875" customWidth="1"/>
    <col min="13" max="13" width="16.7109375" customWidth="1"/>
  </cols>
  <sheetData>
    <row r="1" spans="1:13" x14ac:dyDescent="0.25">
      <c r="K1" t="s">
        <v>351</v>
      </c>
      <c r="L1" t="s">
        <v>350</v>
      </c>
      <c r="M1" t="s">
        <v>347</v>
      </c>
    </row>
    <row r="2" spans="1:13" ht="45" x14ac:dyDescent="0.25">
      <c r="A2" s="9" t="s">
        <v>57</v>
      </c>
      <c r="B2" s="9" t="s">
        <v>45</v>
      </c>
      <c r="C2" s="9" t="s">
        <v>46</v>
      </c>
      <c r="D2" s="9" t="s">
        <v>24</v>
      </c>
      <c r="E2" s="9" t="s">
        <v>25</v>
      </c>
      <c r="F2" s="9" t="s">
        <v>420</v>
      </c>
      <c r="G2" s="9" t="s">
        <v>421</v>
      </c>
      <c r="H2" s="9" t="s">
        <v>422</v>
      </c>
      <c r="J2" s="155" t="s">
        <v>419</v>
      </c>
      <c r="K2" s="44">
        <v>0.2447</v>
      </c>
      <c r="L2" s="44">
        <v>0.29399999999999998</v>
      </c>
      <c r="M2" s="44">
        <v>0.24</v>
      </c>
    </row>
    <row r="3" spans="1:13" ht="45" x14ac:dyDescent="0.25">
      <c r="A3" s="9" t="s">
        <v>59</v>
      </c>
      <c r="B3" s="9"/>
      <c r="C3" s="9"/>
      <c r="D3" s="9"/>
      <c r="E3" s="9"/>
      <c r="F3" s="9" t="s">
        <v>300</v>
      </c>
      <c r="G3" s="9" t="s">
        <v>301</v>
      </c>
      <c r="H3" s="9" t="s">
        <v>423</v>
      </c>
      <c r="J3" s="155" t="s">
        <v>424</v>
      </c>
      <c r="K3" s="44">
        <f>33.9/68</f>
        <v>0.49852941176470589</v>
      </c>
      <c r="L3" s="44">
        <f>31.18/68</f>
        <v>0.45852941176470585</v>
      </c>
      <c r="M3" s="44">
        <f>24.39/60</f>
        <v>0.40650000000000003</v>
      </c>
    </row>
    <row r="4" spans="1:13" ht="60" x14ac:dyDescent="0.25">
      <c r="A4" s="9" t="s">
        <v>58</v>
      </c>
      <c r="B4" s="9" t="s">
        <v>45</v>
      </c>
      <c r="C4" s="9" t="s">
        <v>47</v>
      </c>
      <c r="D4" s="9" t="s">
        <v>24</v>
      </c>
      <c r="E4" s="9" t="s">
        <v>25</v>
      </c>
      <c r="F4" s="9" t="s">
        <v>48</v>
      </c>
      <c r="G4" s="9" t="s">
        <v>49</v>
      </c>
      <c r="H4" s="9" t="s">
        <v>50</v>
      </c>
      <c r="J4" s="155" t="s">
        <v>425</v>
      </c>
      <c r="K4" s="44">
        <f>34/68</f>
        <v>0.5</v>
      </c>
      <c r="L4" s="44">
        <f>33.26/68</f>
        <v>0.48911764705882349</v>
      </c>
      <c r="M4" s="44">
        <f>31/69</f>
        <v>0.44927536231884058</v>
      </c>
    </row>
    <row r="5" spans="1:13" ht="96" customHeight="1" x14ac:dyDescent="0.25">
      <c r="A5" s="9" t="s">
        <v>60</v>
      </c>
      <c r="B5" s="9"/>
      <c r="C5" s="9"/>
      <c r="D5" s="9"/>
      <c r="E5" s="9"/>
      <c r="F5" s="9" t="s">
        <v>234</v>
      </c>
      <c r="G5" s="9" t="s">
        <v>264</v>
      </c>
      <c r="H5" s="9" t="s">
        <v>266</v>
      </c>
      <c r="J5" s="14" t="s">
        <v>426</v>
      </c>
      <c r="K5" s="14" t="s">
        <v>427</v>
      </c>
      <c r="L5" s="14" t="s">
        <v>428</v>
      </c>
      <c r="M5" s="14" t="s">
        <v>490</v>
      </c>
    </row>
    <row r="6" spans="1:13" ht="45" x14ac:dyDescent="0.25">
      <c r="A6" s="9" t="s">
        <v>51</v>
      </c>
      <c r="B6" s="9" t="s">
        <v>52</v>
      </c>
      <c r="C6" s="9" t="s">
        <v>53</v>
      </c>
      <c r="D6" s="9" t="s">
        <v>54</v>
      </c>
      <c r="E6" s="9" t="s">
        <v>55</v>
      </c>
      <c r="F6" s="179" t="s">
        <v>416</v>
      </c>
      <c r="G6" s="179"/>
      <c r="H6" s="179"/>
    </row>
    <row r="7" spans="1:13" ht="45" x14ac:dyDescent="0.25">
      <c r="A7" s="9" t="s">
        <v>56</v>
      </c>
      <c r="B7" s="9" t="s">
        <v>52</v>
      </c>
      <c r="C7" s="9" t="s">
        <v>53</v>
      </c>
      <c r="D7" s="9" t="s">
        <v>54</v>
      </c>
      <c r="E7" s="9" t="s">
        <v>55</v>
      </c>
      <c r="F7" s="177" t="s">
        <v>417</v>
      </c>
      <c r="G7" s="177"/>
      <c r="H7" s="177"/>
    </row>
    <row r="8" spans="1:13" ht="120" x14ac:dyDescent="0.25">
      <c r="A8" s="9" t="s">
        <v>239</v>
      </c>
      <c r="B8" s="9" t="s">
        <v>240</v>
      </c>
      <c r="C8" s="9" t="s">
        <v>241</v>
      </c>
      <c r="D8" s="9" t="s">
        <v>242</v>
      </c>
      <c r="E8" s="9" t="s">
        <v>244</v>
      </c>
      <c r="F8" s="9" t="s">
        <v>243</v>
      </c>
      <c r="G8" s="9" t="s">
        <v>256</v>
      </c>
      <c r="H8" s="9"/>
    </row>
  </sheetData>
  <mergeCells count="2">
    <mergeCell ref="F6:H6"/>
    <mergeCell ref="F7:H7"/>
  </mergeCells>
  <pageMargins left="0.7" right="0.7" top="0.75" bottom="0.75" header="0.3" footer="0.3"/>
  <pageSetup scale="7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A89"/>
  <sheetViews>
    <sheetView topLeftCell="B7" workbookViewId="0">
      <selection activeCell="U27" sqref="U27"/>
    </sheetView>
  </sheetViews>
  <sheetFormatPr defaultRowHeight="15" x14ac:dyDescent="0.25"/>
  <sheetData>
    <row r="1" spans="1:27" x14ac:dyDescent="0.25">
      <c r="A1" s="2" t="s">
        <v>61</v>
      </c>
      <c r="B1" s="176" t="s">
        <v>62</v>
      </c>
      <c r="C1" s="176"/>
      <c r="D1" s="176" t="s">
        <v>63</v>
      </c>
      <c r="E1" s="176"/>
      <c r="F1" s="176" t="s">
        <v>64</v>
      </c>
      <c r="G1" s="176"/>
      <c r="H1" s="176" t="s">
        <v>65</v>
      </c>
      <c r="I1" s="180"/>
      <c r="J1" s="176" t="s">
        <v>66</v>
      </c>
      <c r="K1" s="176"/>
      <c r="L1" s="176" t="s">
        <v>67</v>
      </c>
      <c r="M1" s="176"/>
      <c r="N1" s="176" t="s">
        <v>68</v>
      </c>
      <c r="O1" s="176"/>
      <c r="P1" s="176" t="s">
        <v>235</v>
      </c>
      <c r="Q1" s="176"/>
      <c r="R1" s="176" t="s">
        <v>255</v>
      </c>
      <c r="S1" s="180"/>
      <c r="T1" s="2" t="s">
        <v>262</v>
      </c>
      <c r="U1" s="2"/>
      <c r="V1" s="176" t="s">
        <v>288</v>
      </c>
      <c r="W1" s="176"/>
      <c r="X1" s="176" t="s">
        <v>304</v>
      </c>
      <c r="Y1" s="176"/>
      <c r="Z1" s="176" t="s">
        <v>384</v>
      </c>
      <c r="AA1" s="176"/>
    </row>
    <row r="2" spans="1:27" x14ac:dyDescent="0.25">
      <c r="A2" s="2" t="s">
        <v>69</v>
      </c>
      <c r="B2" s="10"/>
      <c r="C2" s="15"/>
      <c r="D2" s="10"/>
      <c r="E2" s="10"/>
      <c r="F2" s="2"/>
      <c r="G2" s="2"/>
      <c r="H2" s="2"/>
      <c r="I2" s="16"/>
      <c r="J2" s="2"/>
      <c r="K2" s="2"/>
      <c r="L2" s="2"/>
      <c r="M2" s="2"/>
      <c r="N2" s="2"/>
      <c r="O2" s="2"/>
      <c r="P2" s="2"/>
      <c r="Q2" s="2"/>
      <c r="R2" s="2"/>
      <c r="S2" s="16"/>
      <c r="T2" s="2"/>
      <c r="U2" s="2"/>
      <c r="V2" s="2"/>
      <c r="W2" s="2"/>
      <c r="X2" s="2"/>
      <c r="Y2" s="2"/>
      <c r="Z2" s="2"/>
      <c r="AA2" s="2"/>
    </row>
    <row r="3" spans="1:27" x14ac:dyDescent="0.25">
      <c r="A3" s="17" t="s">
        <v>70</v>
      </c>
      <c r="B3" s="17" t="s">
        <v>71</v>
      </c>
      <c r="C3" s="18">
        <v>211.71</v>
      </c>
      <c r="D3" s="17" t="s">
        <v>71</v>
      </c>
      <c r="E3" s="17">
        <v>213.54</v>
      </c>
      <c r="F3" s="17" t="s">
        <v>71</v>
      </c>
      <c r="G3" s="17">
        <v>212.9</v>
      </c>
      <c r="H3" s="17" t="s">
        <v>71</v>
      </c>
      <c r="I3" s="19">
        <v>218.32</v>
      </c>
      <c r="J3" s="17" t="s">
        <v>71</v>
      </c>
      <c r="K3" s="17">
        <v>220.89</v>
      </c>
      <c r="L3" s="17" t="s">
        <v>71</v>
      </c>
      <c r="M3" s="17">
        <v>220.8</v>
      </c>
      <c r="N3" s="17" t="s">
        <v>71</v>
      </c>
      <c r="O3" s="17">
        <v>221.86</v>
      </c>
      <c r="P3" s="17" t="s">
        <v>71</v>
      </c>
      <c r="Q3" s="17">
        <v>217.18</v>
      </c>
      <c r="R3" s="17" t="s">
        <v>71</v>
      </c>
      <c r="S3" s="19">
        <v>218.37</v>
      </c>
      <c r="T3" s="17" t="s">
        <v>71</v>
      </c>
      <c r="U3" s="17">
        <v>213.3</v>
      </c>
      <c r="V3" s="17" t="s">
        <v>71</v>
      </c>
      <c r="W3" s="17">
        <v>218.91</v>
      </c>
      <c r="X3" s="17" t="s">
        <v>71</v>
      </c>
      <c r="Y3" s="17">
        <v>217.92</v>
      </c>
      <c r="Z3" s="17" t="s">
        <v>71</v>
      </c>
      <c r="AA3" s="17">
        <v>212.69</v>
      </c>
    </row>
    <row r="4" spans="1:27" x14ac:dyDescent="0.25">
      <c r="A4" s="17"/>
      <c r="B4" s="20" t="s">
        <v>72</v>
      </c>
      <c r="C4" s="18">
        <v>220.91</v>
      </c>
      <c r="D4" s="20" t="s">
        <v>72</v>
      </c>
      <c r="E4" s="17">
        <v>216.31</v>
      </c>
      <c r="F4" s="20" t="s">
        <v>72</v>
      </c>
      <c r="G4" s="17">
        <v>217</v>
      </c>
      <c r="H4" s="20" t="s">
        <v>72</v>
      </c>
      <c r="I4" s="19">
        <v>222.55</v>
      </c>
      <c r="J4" s="20" t="s">
        <v>72</v>
      </c>
      <c r="K4" s="17">
        <v>229.23</v>
      </c>
      <c r="L4" s="20" t="s">
        <v>72</v>
      </c>
      <c r="M4" s="17">
        <v>223.84</v>
      </c>
      <c r="N4" s="20" t="s">
        <v>72</v>
      </c>
      <c r="O4" s="17">
        <v>226.15</v>
      </c>
      <c r="P4" s="20" t="s">
        <v>72</v>
      </c>
      <c r="Q4" s="17">
        <v>224.84</v>
      </c>
      <c r="R4" s="17" t="s">
        <v>72</v>
      </c>
      <c r="S4" s="104">
        <v>223.51</v>
      </c>
      <c r="T4" s="17" t="s">
        <v>72</v>
      </c>
      <c r="U4" s="17">
        <v>225.38</v>
      </c>
      <c r="V4" s="17" t="s">
        <v>72</v>
      </c>
      <c r="W4" s="17">
        <v>225.38</v>
      </c>
      <c r="X4" s="17" t="s">
        <v>72</v>
      </c>
      <c r="Y4" s="17">
        <v>226.71</v>
      </c>
      <c r="Z4" s="17" t="s">
        <v>72</v>
      </c>
      <c r="AA4" s="17">
        <v>222.91</v>
      </c>
    </row>
    <row r="5" spans="1:27" x14ac:dyDescent="0.25">
      <c r="A5" s="17"/>
      <c r="B5" s="20" t="s">
        <v>73</v>
      </c>
      <c r="C5" s="18">
        <v>211.4</v>
      </c>
      <c r="D5" s="20" t="s">
        <v>73</v>
      </c>
      <c r="E5" s="17">
        <v>208.24</v>
      </c>
      <c r="F5" s="20" t="s">
        <v>73</v>
      </c>
      <c r="G5" s="17">
        <v>211.1</v>
      </c>
      <c r="H5" s="20" t="s">
        <v>73</v>
      </c>
      <c r="I5" s="19">
        <v>214.05</v>
      </c>
      <c r="J5" s="20" t="s">
        <v>73</v>
      </c>
      <c r="K5" s="17">
        <v>217.55</v>
      </c>
      <c r="L5" s="20" t="s">
        <v>73</v>
      </c>
      <c r="M5" s="17">
        <v>216.48</v>
      </c>
      <c r="N5" s="20" t="s">
        <v>73</v>
      </c>
      <c r="O5" s="17">
        <v>217.66</v>
      </c>
      <c r="P5" s="20" t="s">
        <v>73</v>
      </c>
      <c r="Q5" s="17">
        <v>216.16</v>
      </c>
      <c r="R5" s="17" t="s">
        <v>73</v>
      </c>
      <c r="S5" s="104">
        <v>216.02</v>
      </c>
      <c r="T5" s="17" t="s">
        <v>73</v>
      </c>
      <c r="U5" s="17">
        <v>213.63</v>
      </c>
      <c r="V5" s="17" t="s">
        <v>73</v>
      </c>
      <c r="W5" s="17">
        <v>216.12</v>
      </c>
      <c r="X5" s="17" t="s">
        <v>73</v>
      </c>
      <c r="Y5" s="17">
        <v>214.98</v>
      </c>
      <c r="Z5" s="17" t="s">
        <v>73</v>
      </c>
      <c r="AA5" s="17">
        <v>212.62</v>
      </c>
    </row>
    <row r="6" spans="1:27" x14ac:dyDescent="0.25">
      <c r="A6" s="21" t="s">
        <v>71</v>
      </c>
      <c r="B6" s="21" t="s">
        <v>74</v>
      </c>
      <c r="C6" s="22">
        <v>0.62857142857142856</v>
      </c>
      <c r="D6" s="21" t="s">
        <v>74</v>
      </c>
      <c r="E6" s="23">
        <v>0.68888888888888888</v>
      </c>
      <c r="F6" s="21" t="s">
        <v>74</v>
      </c>
      <c r="G6" s="26">
        <v>0.69199999999999995</v>
      </c>
      <c r="H6" s="21" t="s">
        <v>74</v>
      </c>
      <c r="I6" s="24">
        <v>0.54100000000000004</v>
      </c>
      <c r="J6" s="21" t="s">
        <v>74</v>
      </c>
      <c r="K6" s="25">
        <v>0.6</v>
      </c>
      <c r="L6" s="21" t="s">
        <v>74</v>
      </c>
      <c r="M6" s="26">
        <v>0.7142857142857143</v>
      </c>
      <c r="N6" s="21" t="s">
        <v>74</v>
      </c>
      <c r="O6" s="26">
        <v>0.59499999999999997</v>
      </c>
      <c r="P6" s="21" t="s">
        <v>74</v>
      </c>
      <c r="Q6" s="26">
        <v>0.49099999999999999</v>
      </c>
      <c r="R6" s="21" t="s">
        <v>74</v>
      </c>
      <c r="S6" s="118">
        <v>0.58099999999999996</v>
      </c>
      <c r="T6" s="21" t="s">
        <v>74</v>
      </c>
      <c r="U6" s="27">
        <v>0.35099999999999998</v>
      </c>
      <c r="V6" s="21" t="s">
        <v>74</v>
      </c>
      <c r="W6" s="26">
        <v>0.50900000000000001</v>
      </c>
      <c r="X6" s="21" t="s">
        <v>74</v>
      </c>
      <c r="Y6" s="26">
        <v>0.5625</v>
      </c>
      <c r="Z6" s="21" t="s">
        <v>74</v>
      </c>
      <c r="AA6" s="26">
        <v>0.37780000000000002</v>
      </c>
    </row>
    <row r="7" spans="1:27" x14ac:dyDescent="0.25">
      <c r="A7" s="21"/>
      <c r="B7" s="21" t="s">
        <v>75</v>
      </c>
      <c r="C7" s="22">
        <v>0.14285714285714285</v>
      </c>
      <c r="D7" s="21" t="s">
        <v>75</v>
      </c>
      <c r="E7" s="23">
        <v>6.5217391304347824E-2</v>
      </c>
      <c r="F7" s="21" t="s">
        <v>75</v>
      </c>
      <c r="G7" s="26">
        <v>7.6999999999999999E-2</v>
      </c>
      <c r="H7" s="21" t="s">
        <v>75</v>
      </c>
      <c r="I7" s="24">
        <v>0.16200000000000001</v>
      </c>
      <c r="J7" s="21" t="s">
        <v>75</v>
      </c>
      <c r="K7" s="27">
        <v>8.5999999999999993E-2</v>
      </c>
      <c r="L7" s="21" t="s">
        <v>75</v>
      </c>
      <c r="M7" s="26">
        <v>8.1632653061224483E-2</v>
      </c>
      <c r="N7" s="21" t="s">
        <v>75</v>
      </c>
      <c r="O7" s="26">
        <v>0.14299999999999999</v>
      </c>
      <c r="P7" s="21" t="s">
        <v>75</v>
      </c>
      <c r="Q7" s="26">
        <v>0.123</v>
      </c>
      <c r="R7" s="21" t="s">
        <v>75</v>
      </c>
      <c r="S7" s="118">
        <v>4.7E-2</v>
      </c>
      <c r="T7" s="21" t="s">
        <v>75</v>
      </c>
      <c r="U7" s="27">
        <v>0.216</v>
      </c>
      <c r="V7" s="21" t="s">
        <v>75</v>
      </c>
      <c r="W7" s="26">
        <v>7.4999999999999997E-2</v>
      </c>
      <c r="X7" s="21" t="s">
        <v>75</v>
      </c>
      <c r="Y7" s="26">
        <v>4.1700000000000001E-2</v>
      </c>
      <c r="Z7" s="21" t="s">
        <v>75</v>
      </c>
      <c r="AA7" s="26">
        <v>0.1333</v>
      </c>
    </row>
    <row r="8" spans="1:27" x14ac:dyDescent="0.25">
      <c r="A8" s="21"/>
      <c r="B8" s="21" t="s">
        <v>76</v>
      </c>
      <c r="C8" s="22">
        <v>0.22857142857142856</v>
      </c>
      <c r="D8" s="21" t="s">
        <v>76</v>
      </c>
      <c r="E8" s="23">
        <v>0.2608695652173913</v>
      </c>
      <c r="F8" s="21" t="s">
        <v>76</v>
      </c>
      <c r="G8" s="26">
        <v>0.23100000000000001</v>
      </c>
      <c r="H8" s="21" t="s">
        <v>76</v>
      </c>
      <c r="I8" s="24">
        <v>0.29699999999999999</v>
      </c>
      <c r="J8" s="21" t="s">
        <v>76</v>
      </c>
      <c r="K8" s="27">
        <v>0.314</v>
      </c>
      <c r="L8" s="21" t="s">
        <v>76</v>
      </c>
      <c r="M8" s="26">
        <v>0.20408163265306123</v>
      </c>
      <c r="N8" s="21" t="s">
        <v>76</v>
      </c>
      <c r="O8" s="26">
        <v>0.26200000000000001</v>
      </c>
      <c r="P8" s="21" t="s">
        <v>76</v>
      </c>
      <c r="Q8" s="26">
        <v>0.38600000000000001</v>
      </c>
      <c r="R8" s="21" t="s">
        <v>76</v>
      </c>
      <c r="S8" s="118">
        <v>0.372</v>
      </c>
      <c r="T8" s="21" t="s">
        <v>76</v>
      </c>
      <c r="U8" s="27">
        <v>0.433</v>
      </c>
      <c r="V8" s="21" t="s">
        <v>76</v>
      </c>
      <c r="W8" s="26">
        <v>0.41499999999999998</v>
      </c>
      <c r="X8" s="21" t="s">
        <v>76</v>
      </c>
      <c r="Y8" s="26">
        <v>0.39579999999999999</v>
      </c>
      <c r="Z8" s="21" t="s">
        <v>76</v>
      </c>
      <c r="AA8" s="26">
        <v>0.4889</v>
      </c>
    </row>
    <row r="9" spans="1:27" x14ac:dyDescent="0.25">
      <c r="A9" s="28" t="s">
        <v>77</v>
      </c>
      <c r="B9" s="28" t="s">
        <v>74</v>
      </c>
      <c r="C9" s="29">
        <v>0.78125</v>
      </c>
      <c r="D9" s="28" t="s">
        <v>74</v>
      </c>
      <c r="E9" s="30">
        <v>0.53846153846153844</v>
      </c>
      <c r="F9" s="28" t="s">
        <v>74</v>
      </c>
      <c r="G9" s="31">
        <v>0.51600000000000001</v>
      </c>
      <c r="H9" s="28" t="s">
        <v>74</v>
      </c>
      <c r="I9" s="32">
        <v>0.67500000000000004</v>
      </c>
      <c r="J9" s="28" t="s">
        <v>74</v>
      </c>
      <c r="K9" s="31">
        <v>0.64100000000000001</v>
      </c>
      <c r="L9" s="28" t="s">
        <v>74</v>
      </c>
      <c r="M9" s="31">
        <v>0.55555555555555558</v>
      </c>
      <c r="N9" s="28" t="s">
        <v>74</v>
      </c>
      <c r="O9" s="31">
        <v>0.63400000000000001</v>
      </c>
      <c r="P9" s="28" t="s">
        <v>74</v>
      </c>
      <c r="Q9" s="31">
        <v>0.57099999999999995</v>
      </c>
      <c r="R9" s="28" t="s">
        <v>74</v>
      </c>
      <c r="S9" s="32">
        <v>0.57399999999999995</v>
      </c>
      <c r="T9" s="28" t="s">
        <v>74</v>
      </c>
      <c r="U9" s="119">
        <v>0.66700000000000004</v>
      </c>
      <c r="V9" s="28" t="s">
        <v>74</v>
      </c>
      <c r="W9" s="31">
        <v>0.53900000000000003</v>
      </c>
      <c r="X9" s="28" t="s">
        <v>74</v>
      </c>
      <c r="Y9" s="31">
        <v>0.54169999999999996</v>
      </c>
      <c r="Z9" s="28" t="s">
        <v>74</v>
      </c>
      <c r="AA9" s="31">
        <v>0.39529999999999998</v>
      </c>
    </row>
    <row r="10" spans="1:27" x14ac:dyDescent="0.25">
      <c r="A10" s="28"/>
      <c r="B10" s="28" t="s">
        <v>75</v>
      </c>
      <c r="C10" s="29">
        <v>0.125</v>
      </c>
      <c r="D10" s="28" t="s">
        <v>75</v>
      </c>
      <c r="E10" s="30">
        <v>0.23076923076923078</v>
      </c>
      <c r="F10" s="28" t="s">
        <v>75</v>
      </c>
      <c r="G10" s="31">
        <v>0.24199999999999999</v>
      </c>
      <c r="H10" s="28" t="s">
        <v>75</v>
      </c>
      <c r="I10" s="32">
        <v>0.05</v>
      </c>
      <c r="J10" s="28" t="s">
        <v>75</v>
      </c>
      <c r="K10" s="31">
        <v>0.154</v>
      </c>
      <c r="L10" s="28" t="s">
        <v>75</v>
      </c>
      <c r="M10" s="31">
        <v>0.13333333333333333</v>
      </c>
      <c r="N10" s="28" t="s">
        <v>75</v>
      </c>
      <c r="O10" s="31">
        <v>0.14599999999999999</v>
      </c>
      <c r="P10" s="28" t="s">
        <v>75</v>
      </c>
      <c r="Q10" s="31">
        <v>0.17899999999999999</v>
      </c>
      <c r="R10" s="28" t="s">
        <v>75</v>
      </c>
      <c r="S10" s="32">
        <v>0.17</v>
      </c>
      <c r="T10" s="28" t="s">
        <v>75</v>
      </c>
      <c r="U10" s="119">
        <v>0.10299999999999999</v>
      </c>
      <c r="V10" s="28" t="s">
        <v>75</v>
      </c>
      <c r="W10" s="31">
        <v>0.17299999999999999</v>
      </c>
      <c r="X10" s="28" t="s">
        <v>75</v>
      </c>
      <c r="Y10" s="31">
        <v>0.125</v>
      </c>
      <c r="Z10" s="28" t="s">
        <v>75</v>
      </c>
      <c r="AA10" s="31">
        <v>0.25580000000000003</v>
      </c>
    </row>
    <row r="11" spans="1:27" x14ac:dyDescent="0.25">
      <c r="A11" s="28"/>
      <c r="B11" s="28" t="s">
        <v>76</v>
      </c>
      <c r="C11" s="29">
        <v>9.375E-2</v>
      </c>
      <c r="D11" s="28" t="s">
        <v>76</v>
      </c>
      <c r="E11" s="30">
        <v>0.23076923076923078</v>
      </c>
      <c r="F11" s="28" t="s">
        <v>76</v>
      </c>
      <c r="G11" s="31">
        <v>0.24199999999999999</v>
      </c>
      <c r="H11" s="28" t="s">
        <v>76</v>
      </c>
      <c r="I11" s="32">
        <v>0.27500000000000002</v>
      </c>
      <c r="J11" s="28" t="s">
        <v>76</v>
      </c>
      <c r="K11" s="31">
        <v>0.20499999999999999</v>
      </c>
      <c r="L11" s="28" t="s">
        <v>76</v>
      </c>
      <c r="M11" s="31">
        <v>0.31111111111111112</v>
      </c>
      <c r="N11" s="28" t="s">
        <v>76</v>
      </c>
      <c r="O11" s="31">
        <v>0.22</v>
      </c>
      <c r="P11" s="28" t="s">
        <v>76</v>
      </c>
      <c r="Q11" s="31">
        <v>0.25</v>
      </c>
      <c r="R11" s="28" t="s">
        <v>76</v>
      </c>
      <c r="S11" s="32">
        <v>0.255</v>
      </c>
      <c r="T11" s="28" t="s">
        <v>76</v>
      </c>
      <c r="U11" s="119">
        <v>0.23100000000000001</v>
      </c>
      <c r="V11" s="28" t="s">
        <v>76</v>
      </c>
      <c r="W11" s="31">
        <v>0.28799999999999998</v>
      </c>
      <c r="X11" s="28" t="s">
        <v>76</v>
      </c>
      <c r="Y11" s="31">
        <v>0.33300000000000002</v>
      </c>
      <c r="Z11" s="28" t="s">
        <v>76</v>
      </c>
      <c r="AA11" s="31">
        <v>0.3488</v>
      </c>
    </row>
    <row r="12" spans="1:27" x14ac:dyDescent="0.25">
      <c r="A12" s="33" t="s">
        <v>73</v>
      </c>
      <c r="B12" s="143" t="s">
        <v>74</v>
      </c>
      <c r="C12" s="144">
        <v>0.74285714285714288</v>
      </c>
      <c r="D12" s="143" t="s">
        <v>74</v>
      </c>
      <c r="E12" s="145">
        <v>0.60869565217391308</v>
      </c>
      <c r="F12" s="143" t="s">
        <v>74</v>
      </c>
      <c r="G12" s="34">
        <v>0.66600000000000004</v>
      </c>
      <c r="H12" s="143" t="s">
        <v>74</v>
      </c>
      <c r="I12" s="146">
        <v>0.79500000000000004</v>
      </c>
      <c r="J12" s="143" t="s">
        <v>74</v>
      </c>
      <c r="K12" s="34">
        <v>0.9</v>
      </c>
      <c r="L12" s="143" t="s">
        <v>74</v>
      </c>
      <c r="M12" s="34">
        <v>0.89583333333333337</v>
      </c>
      <c r="N12" s="143" t="s">
        <v>74</v>
      </c>
      <c r="O12" s="34">
        <v>0.82899999999999996</v>
      </c>
      <c r="P12" s="143" t="s">
        <v>74</v>
      </c>
      <c r="Q12" s="34">
        <v>0.80400000000000005</v>
      </c>
      <c r="R12" s="143" t="s">
        <v>74</v>
      </c>
      <c r="S12" s="146">
        <v>0.82599999999999996</v>
      </c>
      <c r="T12" s="143" t="s">
        <v>74</v>
      </c>
      <c r="U12" s="147">
        <v>0.77500000000000002</v>
      </c>
      <c r="V12" s="143" t="s">
        <v>74</v>
      </c>
      <c r="W12" s="34">
        <v>0.67300000000000004</v>
      </c>
      <c r="X12" s="143" t="s">
        <v>74</v>
      </c>
      <c r="Y12" s="34">
        <v>0.64600000000000002</v>
      </c>
      <c r="Z12" s="143" t="s">
        <v>74</v>
      </c>
      <c r="AA12" s="34">
        <v>0.54049999999999998</v>
      </c>
    </row>
    <row r="13" spans="1:27" x14ac:dyDescent="0.25">
      <c r="A13" s="33"/>
      <c r="B13" s="143" t="s">
        <v>75</v>
      </c>
      <c r="C13" s="144">
        <v>0.17142857142857143</v>
      </c>
      <c r="D13" s="143" t="s">
        <v>75</v>
      </c>
      <c r="E13" s="145">
        <v>0.15217391304347827</v>
      </c>
      <c r="F13" s="143" t="s">
        <v>75</v>
      </c>
      <c r="G13" s="34">
        <v>0.10299999999999999</v>
      </c>
      <c r="H13" s="143" t="s">
        <v>75</v>
      </c>
      <c r="I13" s="146">
        <v>7.6999999999999999E-2</v>
      </c>
      <c r="J13" s="143" t="s">
        <v>75</v>
      </c>
      <c r="K13" s="34">
        <v>2.5000000000000001E-2</v>
      </c>
      <c r="L13" s="143" t="s">
        <v>75</v>
      </c>
      <c r="M13" s="34">
        <v>4.1666666666666664E-2</v>
      </c>
      <c r="N13" s="143" t="s">
        <v>75</v>
      </c>
      <c r="O13" s="34">
        <v>0.122</v>
      </c>
      <c r="P13" s="143" t="s">
        <v>75</v>
      </c>
      <c r="Q13" s="34">
        <v>7.8E-2</v>
      </c>
      <c r="R13" s="143" t="s">
        <v>75</v>
      </c>
      <c r="S13" s="146">
        <v>8.6999999999999994E-2</v>
      </c>
      <c r="T13" s="143" t="s">
        <v>75</v>
      </c>
      <c r="U13" s="147">
        <v>7.4999999999999997E-2</v>
      </c>
      <c r="V13" s="143" t="s">
        <v>75</v>
      </c>
      <c r="W13" s="34">
        <v>7.6999999999999999E-2</v>
      </c>
      <c r="X13" s="143" t="s">
        <v>75</v>
      </c>
      <c r="Y13" s="34">
        <v>0.104</v>
      </c>
      <c r="Z13" s="143" t="s">
        <v>75</v>
      </c>
      <c r="AA13" s="34">
        <v>0.1351</v>
      </c>
    </row>
    <row r="14" spans="1:27" x14ac:dyDescent="0.25">
      <c r="A14" s="33"/>
      <c r="B14" s="143" t="s">
        <v>76</v>
      </c>
      <c r="C14" s="144">
        <v>8.5714285714285715E-2</v>
      </c>
      <c r="D14" s="143" t="s">
        <v>76</v>
      </c>
      <c r="E14" s="145">
        <v>0.2391304347826087</v>
      </c>
      <c r="F14" s="143" t="s">
        <v>76</v>
      </c>
      <c r="G14" s="34">
        <v>0.23100000000000001</v>
      </c>
      <c r="H14" s="143" t="s">
        <v>76</v>
      </c>
      <c r="I14" s="146">
        <v>0.128</v>
      </c>
      <c r="J14" s="143" t="s">
        <v>76</v>
      </c>
      <c r="K14" s="34">
        <v>7.4999999999999997E-2</v>
      </c>
      <c r="L14" s="143" t="s">
        <v>76</v>
      </c>
      <c r="M14" s="34">
        <v>6.25E-2</v>
      </c>
      <c r="N14" s="143" t="s">
        <v>76</v>
      </c>
      <c r="O14" s="34">
        <v>4.9000000000000002E-2</v>
      </c>
      <c r="P14" s="143" t="s">
        <v>76</v>
      </c>
      <c r="Q14" s="34">
        <v>0.11799999999999999</v>
      </c>
      <c r="R14" s="143" t="s">
        <v>76</v>
      </c>
      <c r="S14" s="146">
        <v>4.2999999999999997E-2</v>
      </c>
      <c r="T14" s="143" t="s">
        <v>76</v>
      </c>
      <c r="U14" s="147">
        <v>0.15</v>
      </c>
      <c r="V14" s="143" t="s">
        <v>76</v>
      </c>
      <c r="W14" s="34">
        <v>0.25</v>
      </c>
      <c r="X14" s="143" t="s">
        <v>76</v>
      </c>
      <c r="Y14" s="34">
        <v>0.25</v>
      </c>
      <c r="Z14" s="143" t="s">
        <v>76</v>
      </c>
      <c r="AA14" s="34">
        <v>0.32429999999999998</v>
      </c>
    </row>
    <row r="15" spans="1:27" x14ac:dyDescent="0.25">
      <c r="A15" s="5" t="s">
        <v>78</v>
      </c>
      <c r="B15" s="35">
        <v>9</v>
      </c>
      <c r="C15" s="36">
        <v>4</v>
      </c>
      <c r="D15" s="35">
        <v>9</v>
      </c>
      <c r="E15" s="5">
        <v>8</v>
      </c>
      <c r="F15" s="35">
        <v>9</v>
      </c>
      <c r="G15" s="5">
        <v>10</v>
      </c>
      <c r="H15" s="35">
        <v>9</v>
      </c>
      <c r="I15" s="37">
        <v>8</v>
      </c>
      <c r="J15" s="35">
        <v>9</v>
      </c>
      <c r="K15" s="5">
        <v>9</v>
      </c>
      <c r="L15" s="35">
        <v>9</v>
      </c>
      <c r="M15" s="5">
        <v>15</v>
      </c>
      <c r="N15" s="35">
        <v>9</v>
      </c>
      <c r="O15" s="5">
        <v>11</v>
      </c>
      <c r="P15" s="35">
        <v>9</v>
      </c>
      <c r="Q15" s="5">
        <v>16</v>
      </c>
      <c r="R15" s="97">
        <v>9</v>
      </c>
      <c r="S15" s="37">
        <v>14</v>
      </c>
      <c r="T15" s="35">
        <v>9</v>
      </c>
      <c r="U15" s="5">
        <v>14</v>
      </c>
      <c r="V15" s="97">
        <v>9</v>
      </c>
      <c r="W15" s="5">
        <v>13</v>
      </c>
      <c r="X15" s="35">
        <v>9</v>
      </c>
      <c r="Y15" s="5">
        <v>13</v>
      </c>
      <c r="Z15" s="35">
        <v>9</v>
      </c>
      <c r="AA15" s="5">
        <v>14</v>
      </c>
    </row>
    <row r="16" spans="1:27" x14ac:dyDescent="0.25">
      <c r="A16" s="5"/>
      <c r="B16" s="35">
        <v>10</v>
      </c>
      <c r="C16" s="36">
        <v>5</v>
      </c>
      <c r="D16" s="35">
        <v>10</v>
      </c>
      <c r="E16" s="5">
        <v>7</v>
      </c>
      <c r="F16" s="35">
        <v>10</v>
      </c>
      <c r="G16" s="5">
        <v>7</v>
      </c>
      <c r="H16" s="35">
        <v>10</v>
      </c>
      <c r="I16" s="37">
        <v>9</v>
      </c>
      <c r="J16" s="35">
        <v>10</v>
      </c>
      <c r="K16" s="5">
        <v>10</v>
      </c>
      <c r="L16" s="35">
        <v>10</v>
      </c>
      <c r="M16" s="5">
        <v>12</v>
      </c>
      <c r="N16" s="35">
        <v>10</v>
      </c>
      <c r="O16" s="5">
        <v>8</v>
      </c>
      <c r="P16" s="35">
        <v>10</v>
      </c>
      <c r="Q16" s="5">
        <v>14</v>
      </c>
      <c r="R16" s="97">
        <v>10</v>
      </c>
      <c r="S16" s="37">
        <v>13</v>
      </c>
      <c r="T16" s="35">
        <v>10</v>
      </c>
      <c r="U16" s="5">
        <v>9</v>
      </c>
      <c r="V16" s="97">
        <v>10</v>
      </c>
      <c r="W16" s="5">
        <v>15</v>
      </c>
      <c r="X16" s="35">
        <v>10</v>
      </c>
      <c r="Y16" s="5">
        <v>15</v>
      </c>
      <c r="Z16" s="35">
        <v>10</v>
      </c>
      <c r="AA16" s="5">
        <v>15</v>
      </c>
    </row>
    <row r="17" spans="1:27" x14ac:dyDescent="0.25">
      <c r="A17" s="5"/>
      <c r="B17" s="35">
        <v>11</v>
      </c>
      <c r="C17" s="36">
        <v>14</v>
      </c>
      <c r="D17" s="35">
        <v>11</v>
      </c>
      <c r="E17" s="5">
        <v>18</v>
      </c>
      <c r="F17" s="35">
        <v>11</v>
      </c>
      <c r="G17" s="5">
        <v>10</v>
      </c>
      <c r="H17" s="35">
        <v>11</v>
      </c>
      <c r="I17" s="37">
        <v>11</v>
      </c>
      <c r="J17" s="35">
        <v>11</v>
      </c>
      <c r="K17" s="5">
        <v>13</v>
      </c>
      <c r="L17" s="35">
        <v>11</v>
      </c>
      <c r="M17" s="5">
        <v>14</v>
      </c>
      <c r="N17" s="35">
        <v>11</v>
      </c>
      <c r="O17" s="5">
        <v>10</v>
      </c>
      <c r="P17" s="35">
        <v>11</v>
      </c>
      <c r="Q17" s="5">
        <v>12</v>
      </c>
      <c r="R17" s="97">
        <v>11</v>
      </c>
      <c r="S17" s="37">
        <v>11</v>
      </c>
      <c r="T17" s="35">
        <v>11</v>
      </c>
      <c r="U17" s="5">
        <v>13</v>
      </c>
      <c r="V17" s="97">
        <v>11</v>
      </c>
      <c r="W17" s="5">
        <v>12</v>
      </c>
      <c r="X17" s="35">
        <v>11</v>
      </c>
      <c r="Y17" s="5">
        <v>8</v>
      </c>
      <c r="Z17" s="35">
        <v>11</v>
      </c>
      <c r="AA17" s="5">
        <v>9</v>
      </c>
    </row>
    <row r="18" spans="1:27" x14ac:dyDescent="0.25">
      <c r="A18" s="5"/>
      <c r="B18" s="35">
        <v>12</v>
      </c>
      <c r="C18" s="36">
        <v>12</v>
      </c>
      <c r="D18" s="35">
        <v>12</v>
      </c>
      <c r="E18" s="5">
        <v>13</v>
      </c>
      <c r="F18" s="35">
        <v>12</v>
      </c>
      <c r="G18" s="5">
        <v>12</v>
      </c>
      <c r="H18" s="35">
        <v>12</v>
      </c>
      <c r="I18" s="37">
        <v>12</v>
      </c>
      <c r="J18" s="35">
        <v>12</v>
      </c>
      <c r="K18" s="5">
        <v>7</v>
      </c>
      <c r="L18" s="35">
        <v>12</v>
      </c>
      <c r="M18" s="5">
        <v>14</v>
      </c>
      <c r="N18" s="35">
        <v>12</v>
      </c>
      <c r="O18" s="5">
        <v>13</v>
      </c>
      <c r="P18" s="35">
        <v>12</v>
      </c>
      <c r="Q18" s="5">
        <v>14</v>
      </c>
      <c r="R18" s="97">
        <v>12</v>
      </c>
      <c r="S18" s="37">
        <v>9</v>
      </c>
      <c r="T18" s="35">
        <v>12</v>
      </c>
      <c r="U18" s="5">
        <v>3</v>
      </c>
      <c r="V18" s="97">
        <v>12</v>
      </c>
      <c r="W18" s="5">
        <v>13</v>
      </c>
      <c r="X18" s="35">
        <v>12</v>
      </c>
      <c r="Y18" s="5">
        <v>12</v>
      </c>
      <c r="Z18" s="35">
        <v>12</v>
      </c>
      <c r="AA18" s="5">
        <v>7</v>
      </c>
    </row>
    <row r="19" spans="1:27" x14ac:dyDescent="0.25">
      <c r="A19" s="38"/>
      <c r="B19" s="38"/>
      <c r="C19" s="39"/>
      <c r="D19" s="38"/>
      <c r="E19" s="38"/>
      <c r="F19" s="2"/>
      <c r="G19" s="2"/>
      <c r="H19" s="2"/>
      <c r="I19" s="16"/>
      <c r="J19" s="2"/>
      <c r="K19" s="2"/>
      <c r="L19" s="2"/>
      <c r="M19" s="2"/>
      <c r="N19" s="2"/>
      <c r="O19" s="2"/>
      <c r="P19" s="2"/>
      <c r="Q19" s="2"/>
      <c r="R19" s="2"/>
      <c r="S19" s="16"/>
      <c r="T19" s="2"/>
      <c r="U19" s="2"/>
      <c r="V19" s="2"/>
      <c r="W19" s="2"/>
      <c r="X19" s="2"/>
      <c r="Y19" s="2"/>
      <c r="Z19" s="2"/>
      <c r="AA19" s="2"/>
    </row>
    <row r="20" spans="1:27" x14ac:dyDescent="0.25">
      <c r="A20" s="2" t="s">
        <v>61</v>
      </c>
      <c r="B20" s="176" t="s">
        <v>62</v>
      </c>
      <c r="C20" s="176"/>
      <c r="D20" s="176" t="s">
        <v>63</v>
      </c>
      <c r="E20" s="176"/>
      <c r="F20" s="180" t="s">
        <v>64</v>
      </c>
      <c r="G20" s="181"/>
      <c r="H20" s="176" t="s">
        <v>65</v>
      </c>
      <c r="I20" s="180"/>
      <c r="J20" s="176" t="s">
        <v>66</v>
      </c>
      <c r="K20" s="176"/>
      <c r="L20" s="176" t="s">
        <v>67</v>
      </c>
      <c r="M20" s="176"/>
      <c r="N20" s="176" t="s">
        <v>68</v>
      </c>
      <c r="O20" s="176"/>
      <c r="P20" s="176" t="s">
        <v>235</v>
      </c>
      <c r="Q20" s="176"/>
      <c r="R20" s="176" t="s">
        <v>255</v>
      </c>
      <c r="S20" s="180"/>
      <c r="T20" s="2" t="s">
        <v>262</v>
      </c>
      <c r="U20" s="2"/>
      <c r="V20" s="176" t="s">
        <v>288</v>
      </c>
      <c r="W20" s="176"/>
      <c r="X20" s="176" t="s">
        <v>304</v>
      </c>
      <c r="Y20" s="176"/>
      <c r="Z20" s="176" t="s">
        <v>384</v>
      </c>
      <c r="AA20" s="176"/>
    </row>
    <row r="21" spans="1:27" x14ac:dyDescent="0.25">
      <c r="A21" s="2" t="s">
        <v>79</v>
      </c>
      <c r="B21" s="2"/>
      <c r="C21" s="15"/>
      <c r="D21" s="2"/>
      <c r="E21" s="2"/>
      <c r="F21" s="2"/>
      <c r="G21" s="2"/>
      <c r="H21" s="2"/>
      <c r="I21" s="16"/>
      <c r="J21" s="2"/>
      <c r="K21" s="2"/>
      <c r="L21" s="2"/>
      <c r="M21" s="2"/>
      <c r="N21" s="2"/>
      <c r="O21" s="2"/>
      <c r="P21" s="2"/>
      <c r="Q21" s="2"/>
      <c r="R21" s="2"/>
      <c r="S21" s="16"/>
      <c r="T21" s="2"/>
      <c r="U21" s="2"/>
      <c r="V21" s="2"/>
      <c r="W21" s="2"/>
      <c r="X21" s="2"/>
      <c r="Y21" s="2"/>
      <c r="Z21" s="2"/>
      <c r="AA21" s="2"/>
    </row>
    <row r="22" spans="1:27" x14ac:dyDescent="0.25">
      <c r="A22" s="17"/>
      <c r="B22" s="17" t="s">
        <v>71</v>
      </c>
      <c r="C22" s="18">
        <v>211.97</v>
      </c>
      <c r="D22" s="17" t="s">
        <v>71</v>
      </c>
      <c r="E22" s="17">
        <v>214.07</v>
      </c>
      <c r="F22" s="17" t="s">
        <v>71</v>
      </c>
      <c r="G22" s="17">
        <v>213.4</v>
      </c>
      <c r="H22" s="17" t="s">
        <v>71</v>
      </c>
      <c r="I22" s="19">
        <v>219.57</v>
      </c>
      <c r="J22" s="17" t="s">
        <v>71</v>
      </c>
      <c r="K22" s="17">
        <v>221.68</v>
      </c>
      <c r="L22" s="17" t="s">
        <v>71</v>
      </c>
      <c r="M22" s="17">
        <v>218.38</v>
      </c>
      <c r="N22" s="17" t="s">
        <v>71</v>
      </c>
      <c r="O22" s="17">
        <v>222.05</v>
      </c>
      <c r="P22" s="17" t="s">
        <v>71</v>
      </c>
      <c r="Q22" s="17">
        <v>220.51</v>
      </c>
      <c r="R22" s="17" t="s">
        <v>71</v>
      </c>
      <c r="S22" s="19">
        <v>216.15</v>
      </c>
      <c r="T22" s="17" t="s">
        <v>71</v>
      </c>
      <c r="U22" s="17">
        <v>213.64</v>
      </c>
      <c r="V22" s="17" t="s">
        <v>71</v>
      </c>
      <c r="W22" s="17">
        <v>219.58</v>
      </c>
      <c r="X22" s="17" t="s">
        <v>71</v>
      </c>
      <c r="Y22" s="17">
        <v>220.01</v>
      </c>
      <c r="Z22" s="17" t="s">
        <v>71</v>
      </c>
      <c r="AA22" s="17">
        <v>212.81</v>
      </c>
    </row>
    <row r="23" spans="1:27" x14ac:dyDescent="0.25">
      <c r="A23" s="17"/>
      <c r="B23" s="20" t="s">
        <v>72</v>
      </c>
      <c r="C23" s="18">
        <v>220.29</v>
      </c>
      <c r="D23" s="20" t="s">
        <v>72</v>
      </c>
      <c r="E23" s="17">
        <v>220.79</v>
      </c>
      <c r="F23" s="20" t="s">
        <v>72</v>
      </c>
      <c r="G23" s="17">
        <v>219.3</v>
      </c>
      <c r="H23" s="20" t="s">
        <v>72</v>
      </c>
      <c r="I23" s="19">
        <v>223.59</v>
      </c>
      <c r="J23" s="20" t="s">
        <v>72</v>
      </c>
      <c r="K23" s="17">
        <v>230.94</v>
      </c>
      <c r="L23" s="20" t="s">
        <v>72</v>
      </c>
      <c r="M23" s="17">
        <v>220</v>
      </c>
      <c r="N23" s="20" t="s">
        <v>72</v>
      </c>
      <c r="O23" s="17">
        <v>227.28</v>
      </c>
      <c r="P23" s="20" t="s">
        <v>72</v>
      </c>
      <c r="Q23" s="17">
        <v>228.75</v>
      </c>
      <c r="R23" s="17" t="s">
        <v>72</v>
      </c>
      <c r="S23" s="19">
        <v>226.48</v>
      </c>
      <c r="T23" s="17" t="s">
        <v>72</v>
      </c>
      <c r="U23" s="17">
        <v>225.42</v>
      </c>
      <c r="V23" s="17" t="s">
        <v>72</v>
      </c>
      <c r="W23" s="17">
        <v>228.58</v>
      </c>
      <c r="X23" s="17" t="s">
        <v>72</v>
      </c>
      <c r="Y23" s="17">
        <v>228.31</v>
      </c>
      <c r="Z23" s="17" t="s">
        <v>72</v>
      </c>
      <c r="AA23" s="17">
        <v>224.23</v>
      </c>
    </row>
    <row r="24" spans="1:27" x14ac:dyDescent="0.25">
      <c r="A24" s="17"/>
      <c r="B24" s="20" t="s">
        <v>73</v>
      </c>
      <c r="C24" s="18">
        <v>211.4</v>
      </c>
      <c r="D24" s="20" t="s">
        <v>73</v>
      </c>
      <c r="E24" s="17">
        <v>209.77</v>
      </c>
      <c r="F24" s="20" t="s">
        <v>73</v>
      </c>
      <c r="G24" s="17">
        <v>212</v>
      </c>
      <c r="H24" s="20" t="s">
        <v>73</v>
      </c>
      <c r="I24" s="19">
        <v>214.61</v>
      </c>
      <c r="J24" s="20" t="s">
        <v>73</v>
      </c>
      <c r="K24" s="17">
        <v>217.33</v>
      </c>
      <c r="L24" s="20" t="s">
        <v>73</v>
      </c>
      <c r="M24" s="17">
        <v>214.29</v>
      </c>
      <c r="N24" s="20" t="s">
        <v>73</v>
      </c>
      <c r="O24" s="17">
        <v>217.89</v>
      </c>
      <c r="P24" s="20" t="s">
        <v>73</v>
      </c>
      <c r="Q24" s="17">
        <v>215</v>
      </c>
      <c r="R24" s="17" t="s">
        <v>73</v>
      </c>
      <c r="S24" s="19">
        <v>215.81</v>
      </c>
      <c r="T24" s="17" t="s">
        <v>73</v>
      </c>
      <c r="U24" s="17">
        <v>214.19</v>
      </c>
      <c r="V24" s="17" t="s">
        <v>73</v>
      </c>
      <c r="W24" s="17">
        <v>218.07</v>
      </c>
      <c r="X24" s="17" t="s">
        <v>73</v>
      </c>
      <c r="Y24" s="17">
        <v>216.85</v>
      </c>
      <c r="Z24" s="17" t="s">
        <v>73</v>
      </c>
      <c r="AA24" s="17">
        <v>212.5</v>
      </c>
    </row>
    <row r="25" spans="1:27" x14ac:dyDescent="0.25">
      <c r="A25" s="40" t="s">
        <v>71</v>
      </c>
      <c r="B25" s="21" t="s">
        <v>74</v>
      </c>
      <c r="C25" s="22">
        <v>0.64516129032258063</v>
      </c>
      <c r="D25" s="21" t="s">
        <v>74</v>
      </c>
      <c r="E25" s="23">
        <v>0.7</v>
      </c>
      <c r="F25" s="21" t="s">
        <v>74</v>
      </c>
      <c r="G25" s="26">
        <v>0.70799999999999996</v>
      </c>
      <c r="H25" s="21" t="s">
        <v>74</v>
      </c>
      <c r="I25" s="24">
        <v>0.52200000000000002</v>
      </c>
      <c r="J25" s="21" t="s">
        <v>74</v>
      </c>
      <c r="K25" s="26">
        <v>0.57199999999999995</v>
      </c>
      <c r="L25" s="21" t="s">
        <v>74</v>
      </c>
      <c r="M25" s="26">
        <v>0.6</v>
      </c>
      <c r="N25" s="21" t="s">
        <v>74</v>
      </c>
      <c r="O25" s="26">
        <v>0.622</v>
      </c>
      <c r="P25" s="21" t="s">
        <v>74</v>
      </c>
      <c r="Q25" s="26">
        <v>0.55200000000000005</v>
      </c>
      <c r="R25" s="21" t="s">
        <v>74</v>
      </c>
      <c r="S25" s="118">
        <v>0.55000000000000004</v>
      </c>
      <c r="T25" s="21" t="s">
        <v>74</v>
      </c>
      <c r="U25" s="27">
        <v>0.36399999999999999</v>
      </c>
      <c r="V25" s="21" t="s">
        <v>74</v>
      </c>
      <c r="W25" s="26">
        <v>0.53600000000000003</v>
      </c>
      <c r="X25" s="21" t="s">
        <v>74</v>
      </c>
      <c r="Y25" s="26">
        <v>0.58799999999999997</v>
      </c>
      <c r="Z25" s="21" t="s">
        <v>74</v>
      </c>
      <c r="AA25" s="116">
        <v>0.40500000000000003</v>
      </c>
    </row>
    <row r="26" spans="1:27" x14ac:dyDescent="0.25">
      <c r="A26" s="40"/>
      <c r="B26" s="21" t="s">
        <v>75</v>
      </c>
      <c r="C26" s="22">
        <v>0.12903225806451613</v>
      </c>
      <c r="D26" s="21" t="s">
        <v>75</v>
      </c>
      <c r="E26" s="23">
        <v>6.6666666666666666E-2</v>
      </c>
      <c r="F26" s="21" t="s">
        <v>75</v>
      </c>
      <c r="G26" s="26">
        <v>0.107</v>
      </c>
      <c r="H26" s="21" t="s">
        <v>75</v>
      </c>
      <c r="I26" s="24">
        <v>0.217</v>
      </c>
      <c r="J26" s="21" t="s">
        <v>75</v>
      </c>
      <c r="K26" s="26">
        <v>0.107</v>
      </c>
      <c r="L26" s="21" t="s">
        <v>75</v>
      </c>
      <c r="M26" s="26">
        <v>0.1</v>
      </c>
      <c r="N26" s="21" t="s">
        <v>75</v>
      </c>
      <c r="O26" s="26">
        <v>0.13500000000000001</v>
      </c>
      <c r="P26" s="21" t="s">
        <v>75</v>
      </c>
      <c r="Q26" s="26">
        <v>0.13800000000000001</v>
      </c>
      <c r="R26" s="21" t="s">
        <v>75</v>
      </c>
      <c r="S26" s="118">
        <v>0.1</v>
      </c>
      <c r="T26" s="21" t="s">
        <v>75</v>
      </c>
      <c r="U26" s="27">
        <v>0.21199999999999999</v>
      </c>
      <c r="V26" s="21" t="s">
        <v>75</v>
      </c>
      <c r="W26" s="26">
        <v>9.8000000000000004E-2</v>
      </c>
      <c r="X26" s="21" t="s">
        <v>75</v>
      </c>
      <c r="Y26" s="26">
        <v>5.8999999999999997E-2</v>
      </c>
      <c r="Z26" s="21" t="s">
        <v>75</v>
      </c>
      <c r="AA26" s="26">
        <v>0.14299999999999999</v>
      </c>
    </row>
    <row r="27" spans="1:27" x14ac:dyDescent="0.25">
      <c r="A27" s="40"/>
      <c r="B27" s="21" t="s">
        <v>76</v>
      </c>
      <c r="C27" s="22">
        <v>0.22580645161290322</v>
      </c>
      <c r="D27" s="21" t="s">
        <v>76</v>
      </c>
      <c r="E27" s="23">
        <v>0.26666666666666666</v>
      </c>
      <c r="F27" s="21" t="s">
        <v>76</v>
      </c>
      <c r="G27" s="26">
        <v>0.185</v>
      </c>
      <c r="H27" s="21" t="s">
        <v>76</v>
      </c>
      <c r="I27" s="24">
        <v>0.26100000000000001</v>
      </c>
      <c r="J27" s="21" t="s">
        <v>76</v>
      </c>
      <c r="K27" s="26">
        <v>0.32100000000000001</v>
      </c>
      <c r="L27" s="21" t="s">
        <v>76</v>
      </c>
      <c r="M27" s="26">
        <v>0.3</v>
      </c>
      <c r="N27" s="21" t="s">
        <v>76</v>
      </c>
      <c r="O27" s="26">
        <v>0.24299999999999999</v>
      </c>
      <c r="P27" s="21" t="s">
        <v>76</v>
      </c>
      <c r="Q27" s="26">
        <v>0.31</v>
      </c>
      <c r="R27" s="21" t="s">
        <v>76</v>
      </c>
      <c r="S27" s="118">
        <v>0.35</v>
      </c>
      <c r="T27" s="21" t="s">
        <v>76</v>
      </c>
      <c r="U27" s="27">
        <v>0.42399999999999999</v>
      </c>
      <c r="V27" s="21" t="s">
        <v>76</v>
      </c>
      <c r="W27" s="26">
        <v>0.36599999999999999</v>
      </c>
      <c r="X27" s="21" t="s">
        <v>76</v>
      </c>
      <c r="Y27" s="26">
        <v>0.35299999999999998</v>
      </c>
      <c r="Z27" s="21" t="s">
        <v>76</v>
      </c>
      <c r="AA27" s="26">
        <v>0.45200000000000001</v>
      </c>
    </row>
    <row r="28" spans="1:27" x14ac:dyDescent="0.25">
      <c r="A28" s="28" t="s">
        <v>77</v>
      </c>
      <c r="B28" s="28" t="s">
        <v>74</v>
      </c>
      <c r="C28" s="29">
        <v>0.70833333333333337</v>
      </c>
      <c r="D28" s="28" t="s">
        <v>74</v>
      </c>
      <c r="E28" s="41">
        <v>0.625</v>
      </c>
      <c r="F28" s="28" t="s">
        <v>74</v>
      </c>
      <c r="G28" s="31">
        <v>0.56000000000000005</v>
      </c>
      <c r="H28" s="28" t="s">
        <v>74</v>
      </c>
      <c r="I28" s="32">
        <v>0.69599999999999995</v>
      </c>
      <c r="J28" s="28" t="s">
        <v>74</v>
      </c>
      <c r="K28" s="31">
        <v>0.67700000000000005</v>
      </c>
      <c r="L28" s="28" t="s">
        <v>74</v>
      </c>
      <c r="M28" s="31">
        <v>0.42857142857142855</v>
      </c>
      <c r="N28" s="28" t="s">
        <v>74</v>
      </c>
      <c r="O28" s="31">
        <v>0.69499999999999995</v>
      </c>
      <c r="P28" s="28" t="s">
        <v>74</v>
      </c>
      <c r="Q28" s="31">
        <v>0.64300000000000002</v>
      </c>
      <c r="R28" s="28" t="s">
        <v>74</v>
      </c>
      <c r="S28" s="32">
        <v>0.71399999999999997</v>
      </c>
      <c r="T28" s="28" t="s">
        <v>74</v>
      </c>
      <c r="U28" s="119">
        <v>0.68600000000000005</v>
      </c>
      <c r="V28" s="28" t="s">
        <v>74</v>
      </c>
      <c r="W28" s="31">
        <v>0.63400000000000001</v>
      </c>
      <c r="X28" s="28" t="s">
        <v>74</v>
      </c>
      <c r="Y28" s="31">
        <v>0.57099999999999995</v>
      </c>
      <c r="Z28" s="28" t="s">
        <v>74</v>
      </c>
      <c r="AA28" s="31">
        <v>0.436</v>
      </c>
    </row>
    <row r="29" spans="1:27" x14ac:dyDescent="0.25">
      <c r="A29" s="28"/>
      <c r="B29" s="28" t="s">
        <v>75</v>
      </c>
      <c r="C29" s="29">
        <v>0.16666666666666666</v>
      </c>
      <c r="D29" s="28" t="s">
        <v>75</v>
      </c>
      <c r="E29" s="41">
        <v>0.25</v>
      </c>
      <c r="F29" s="28" t="s">
        <v>75</v>
      </c>
      <c r="G29" s="31">
        <v>0.25900000000000001</v>
      </c>
      <c r="H29" s="28" t="s">
        <v>75</v>
      </c>
      <c r="I29" s="32">
        <v>4.2999999999999997E-2</v>
      </c>
      <c r="J29" s="28" t="s">
        <v>75</v>
      </c>
      <c r="K29" s="31">
        <v>0.19400000000000001</v>
      </c>
      <c r="L29" s="28" t="s">
        <v>75</v>
      </c>
      <c r="M29" s="31">
        <v>0.17857142857142858</v>
      </c>
      <c r="N29" s="28" t="s">
        <v>75</v>
      </c>
      <c r="O29" s="31">
        <v>0.111</v>
      </c>
      <c r="P29" s="28" t="s">
        <v>75</v>
      </c>
      <c r="Q29" s="31">
        <v>0.17899999999999999</v>
      </c>
      <c r="R29" s="28" t="s">
        <v>75</v>
      </c>
      <c r="S29" s="32">
        <v>0.14299999999999999</v>
      </c>
      <c r="T29" s="28" t="s">
        <v>75</v>
      </c>
      <c r="U29" s="119">
        <v>0.114</v>
      </c>
      <c r="V29" s="28" t="s">
        <v>75</v>
      </c>
      <c r="W29" s="31">
        <v>0.17100000000000001</v>
      </c>
      <c r="X29" s="28" t="s">
        <v>75</v>
      </c>
      <c r="Y29" s="31">
        <v>0.17100000000000001</v>
      </c>
      <c r="Z29" s="28" t="s">
        <v>75</v>
      </c>
      <c r="AA29" s="31">
        <v>0.25600000000000001</v>
      </c>
    </row>
    <row r="30" spans="1:27" x14ac:dyDescent="0.25">
      <c r="A30" s="28"/>
      <c r="B30" s="28" t="s">
        <v>76</v>
      </c>
      <c r="C30" s="29">
        <v>0.125</v>
      </c>
      <c r="D30" s="28" t="s">
        <v>76</v>
      </c>
      <c r="E30" s="41">
        <v>0.125</v>
      </c>
      <c r="F30" s="28" t="s">
        <v>76</v>
      </c>
      <c r="G30" s="31">
        <v>0.185</v>
      </c>
      <c r="H30" s="28" t="s">
        <v>76</v>
      </c>
      <c r="I30" s="32">
        <v>0.26100000000000001</v>
      </c>
      <c r="J30" s="28" t="s">
        <v>76</v>
      </c>
      <c r="K30" s="31">
        <v>0.129</v>
      </c>
      <c r="L30" s="28" t="s">
        <v>76</v>
      </c>
      <c r="M30" s="31">
        <v>0.39285714285714285</v>
      </c>
      <c r="N30" s="28" t="s">
        <v>76</v>
      </c>
      <c r="O30" s="31">
        <v>0.19400000000000001</v>
      </c>
      <c r="P30" s="28" t="s">
        <v>76</v>
      </c>
      <c r="Q30" s="31">
        <v>0.17899999999999999</v>
      </c>
      <c r="R30" s="28" t="s">
        <v>76</v>
      </c>
      <c r="S30" s="32">
        <v>0.14299999999999999</v>
      </c>
      <c r="T30" s="28" t="s">
        <v>76</v>
      </c>
      <c r="U30" s="119">
        <v>0.2</v>
      </c>
      <c r="V30" s="28" t="s">
        <v>76</v>
      </c>
      <c r="W30" s="31">
        <v>0.19500000000000001</v>
      </c>
      <c r="X30" s="28" t="s">
        <v>76</v>
      </c>
      <c r="Y30" s="31">
        <v>0.25700000000000001</v>
      </c>
      <c r="Z30" s="28" t="s">
        <v>76</v>
      </c>
      <c r="AA30" s="31">
        <v>0.308</v>
      </c>
    </row>
    <row r="31" spans="1:27" x14ac:dyDescent="0.25">
      <c r="A31" s="33" t="s">
        <v>73</v>
      </c>
      <c r="B31" s="143" t="s">
        <v>74</v>
      </c>
      <c r="C31" s="34">
        <v>0.76666666666666672</v>
      </c>
      <c r="D31" s="143" t="s">
        <v>74</v>
      </c>
      <c r="E31" s="145">
        <v>0.6333333333333333</v>
      </c>
      <c r="F31" s="143" t="s">
        <v>74</v>
      </c>
      <c r="G31" s="34">
        <v>0.84</v>
      </c>
      <c r="H31" s="143" t="s">
        <v>74</v>
      </c>
      <c r="I31" s="146">
        <v>0.82599999999999996</v>
      </c>
      <c r="J31" s="143" t="s">
        <v>74</v>
      </c>
      <c r="K31" s="34">
        <v>0.90300000000000002</v>
      </c>
      <c r="L31" s="143" t="s">
        <v>74</v>
      </c>
      <c r="M31" s="34">
        <v>0.82758620689655171</v>
      </c>
      <c r="N31" s="143" t="s">
        <v>74</v>
      </c>
      <c r="O31" s="34">
        <v>0.82899999999999996</v>
      </c>
      <c r="P31" s="143" t="s">
        <v>74</v>
      </c>
      <c r="Q31" s="34">
        <v>0.95199999999999996</v>
      </c>
      <c r="R31" s="143" t="s">
        <v>74</v>
      </c>
      <c r="S31" s="146">
        <v>0.85699999999999998</v>
      </c>
      <c r="T31" s="143" t="s">
        <v>74</v>
      </c>
      <c r="U31" s="147">
        <v>0.80600000000000005</v>
      </c>
      <c r="V31" s="143" t="s">
        <v>74</v>
      </c>
      <c r="W31" s="34">
        <v>0.73199999999999998</v>
      </c>
      <c r="X31" s="143" t="s">
        <v>74</v>
      </c>
      <c r="Y31" s="34">
        <v>0.69699999999999995</v>
      </c>
      <c r="Z31" s="143" t="s">
        <v>74</v>
      </c>
      <c r="AA31" s="34">
        <v>0.52900000000000003</v>
      </c>
    </row>
    <row r="32" spans="1:27" x14ac:dyDescent="0.25">
      <c r="A32" s="33"/>
      <c r="B32" s="143" t="s">
        <v>75</v>
      </c>
      <c r="C32" s="34">
        <v>0.13333333333333333</v>
      </c>
      <c r="D32" s="143" t="s">
        <v>75</v>
      </c>
      <c r="E32" s="145">
        <v>0.16666666666666666</v>
      </c>
      <c r="F32" s="143" t="s">
        <v>75</v>
      </c>
      <c r="G32" s="34">
        <v>6.5000000000000002E-2</v>
      </c>
      <c r="H32" s="143" t="s">
        <v>75</v>
      </c>
      <c r="I32" s="146">
        <v>8.6999999999999994E-2</v>
      </c>
      <c r="J32" s="143" t="s">
        <v>75</v>
      </c>
      <c r="K32" s="34">
        <v>3.2000000000000001E-2</v>
      </c>
      <c r="L32" s="143" t="s">
        <v>75</v>
      </c>
      <c r="M32" s="34">
        <v>6.8965517241379309E-2</v>
      </c>
      <c r="N32" s="143" t="s">
        <v>75</v>
      </c>
      <c r="O32" s="34">
        <v>0.114</v>
      </c>
      <c r="P32" s="143" t="s">
        <v>75</v>
      </c>
      <c r="Q32" s="34">
        <v>4.8000000000000001E-2</v>
      </c>
      <c r="R32" s="143" t="s">
        <v>75</v>
      </c>
      <c r="S32" s="146">
        <v>9.5000000000000001E-2</v>
      </c>
      <c r="T32" s="143" t="s">
        <v>75</v>
      </c>
      <c r="U32" s="147">
        <v>8.3000000000000004E-2</v>
      </c>
      <c r="V32" s="143" t="s">
        <v>75</v>
      </c>
      <c r="W32" s="34">
        <v>9.8000000000000004E-2</v>
      </c>
      <c r="X32" s="143" t="s">
        <v>75</v>
      </c>
      <c r="Y32" s="34">
        <v>9.0999999999999998E-2</v>
      </c>
      <c r="Z32" s="143" t="s">
        <v>75</v>
      </c>
      <c r="AA32" s="34">
        <v>0.11799999999999999</v>
      </c>
    </row>
    <row r="33" spans="1:27" x14ac:dyDescent="0.25">
      <c r="A33" s="33"/>
      <c r="B33" s="143" t="s">
        <v>76</v>
      </c>
      <c r="C33" s="34">
        <v>0.1</v>
      </c>
      <c r="D33" s="143" t="s">
        <v>76</v>
      </c>
      <c r="E33" s="145">
        <v>0.2</v>
      </c>
      <c r="F33" s="143" t="s">
        <v>76</v>
      </c>
      <c r="G33" s="34">
        <v>9.7000000000000003E-2</v>
      </c>
      <c r="H33" s="143" t="s">
        <v>76</v>
      </c>
      <c r="I33" s="146">
        <v>8.6999999999999994E-2</v>
      </c>
      <c r="J33" s="143" t="s">
        <v>76</v>
      </c>
      <c r="K33" s="34">
        <v>6.5000000000000002E-2</v>
      </c>
      <c r="L33" s="143" t="s">
        <v>76</v>
      </c>
      <c r="M33" s="34">
        <v>0.10344827586206896</v>
      </c>
      <c r="N33" s="143" t="s">
        <v>76</v>
      </c>
      <c r="O33" s="34">
        <v>5.7000000000000002E-2</v>
      </c>
      <c r="P33" s="143" t="s">
        <v>76</v>
      </c>
      <c r="Q33" s="34">
        <v>0</v>
      </c>
      <c r="R33" s="143" t="s">
        <v>76</v>
      </c>
      <c r="S33" s="146">
        <v>4.8000000000000001E-2</v>
      </c>
      <c r="T33" s="143" t="s">
        <v>76</v>
      </c>
      <c r="U33" s="147">
        <v>0.111</v>
      </c>
      <c r="V33" s="143" t="s">
        <v>76</v>
      </c>
      <c r="W33" s="34">
        <v>0.17100000000000001</v>
      </c>
      <c r="X33" s="143" t="s">
        <v>76</v>
      </c>
      <c r="Y33" s="34">
        <v>0.21199999999999999</v>
      </c>
      <c r="Z33" s="143" t="s">
        <v>76</v>
      </c>
      <c r="AA33" s="34">
        <v>0.35299999999999998</v>
      </c>
    </row>
    <row r="34" spans="1:27" x14ac:dyDescent="0.25">
      <c r="J34" s="2"/>
      <c r="K34" s="2"/>
      <c r="L34" s="2"/>
      <c r="M34" s="2"/>
      <c r="N34" s="2"/>
      <c r="O34" s="2"/>
      <c r="P34" s="2"/>
      <c r="Q34" s="2"/>
      <c r="R34" s="2"/>
      <c r="S34" s="16"/>
      <c r="T34" s="2"/>
      <c r="U34" s="2"/>
      <c r="V34" s="2"/>
      <c r="W34" s="2"/>
      <c r="X34" s="2"/>
      <c r="Y34" s="2"/>
      <c r="Z34" s="2"/>
      <c r="AA34" s="2"/>
    </row>
    <row r="35" spans="1:27" x14ac:dyDescent="0.25">
      <c r="A35" t="s">
        <v>80</v>
      </c>
      <c r="B35" s="176" t="s">
        <v>62</v>
      </c>
      <c r="C35" s="176"/>
      <c r="D35" s="176" t="s">
        <v>63</v>
      </c>
      <c r="E35" s="176"/>
      <c r="F35" s="180" t="s">
        <v>64</v>
      </c>
      <c r="G35" s="181"/>
      <c r="H35" s="176" t="s">
        <v>65</v>
      </c>
      <c r="I35" s="180"/>
      <c r="J35" s="176" t="s">
        <v>66</v>
      </c>
      <c r="K35" s="176"/>
      <c r="L35" s="176" t="s">
        <v>67</v>
      </c>
      <c r="M35" s="176"/>
      <c r="N35" s="176" t="s">
        <v>68</v>
      </c>
      <c r="O35" s="176"/>
      <c r="P35" s="176" t="s">
        <v>235</v>
      </c>
      <c r="Q35" s="176"/>
      <c r="R35" s="176" t="s">
        <v>255</v>
      </c>
      <c r="S35" s="180"/>
      <c r="T35" s="2" t="s">
        <v>262</v>
      </c>
      <c r="U35" s="2"/>
      <c r="V35" s="176" t="s">
        <v>288</v>
      </c>
      <c r="W35" s="176"/>
      <c r="X35" s="176" t="s">
        <v>304</v>
      </c>
      <c r="Y35" s="176"/>
      <c r="Z35" s="176" t="s">
        <v>384</v>
      </c>
      <c r="AA35" s="176"/>
    </row>
    <row r="36" spans="1:27" x14ac:dyDescent="0.25">
      <c r="A36" s="17"/>
      <c r="B36" s="17" t="s">
        <v>71</v>
      </c>
      <c r="C36" s="18">
        <v>208</v>
      </c>
      <c r="D36" s="17" t="s">
        <v>71</v>
      </c>
      <c r="E36" s="17">
        <v>206.17</v>
      </c>
      <c r="F36" s="17" t="s">
        <v>71</v>
      </c>
      <c r="G36" s="17">
        <v>213.1</v>
      </c>
      <c r="H36" s="17" t="s">
        <v>71</v>
      </c>
      <c r="I36" s="19">
        <v>216.17</v>
      </c>
      <c r="J36" s="17" t="s">
        <v>71</v>
      </c>
      <c r="K36" s="17">
        <v>213.38</v>
      </c>
      <c r="L36" s="17" t="s">
        <v>71</v>
      </c>
      <c r="M36" s="17">
        <v>207.27</v>
      </c>
      <c r="N36" s="17" t="s">
        <v>71</v>
      </c>
      <c r="O36" s="42">
        <v>213.11</v>
      </c>
      <c r="P36" s="17" t="s">
        <v>71</v>
      </c>
      <c r="Q36" s="42">
        <v>209</v>
      </c>
      <c r="R36" s="17" t="s">
        <v>71</v>
      </c>
      <c r="S36" s="19">
        <v>204.33</v>
      </c>
      <c r="T36" s="17" t="s">
        <v>71</v>
      </c>
      <c r="U36" s="17">
        <v>205.28</v>
      </c>
      <c r="V36" s="17" t="s">
        <v>71</v>
      </c>
      <c r="W36" s="42">
        <v>210.94</v>
      </c>
      <c r="X36" s="17" t="s">
        <v>71</v>
      </c>
      <c r="Y36" s="42">
        <v>214.92</v>
      </c>
      <c r="Z36" s="17" t="s">
        <v>71</v>
      </c>
      <c r="AA36" s="42">
        <v>207.75</v>
      </c>
    </row>
    <row r="37" spans="1:27" x14ac:dyDescent="0.25">
      <c r="A37" s="17"/>
      <c r="B37" s="20" t="s">
        <v>72</v>
      </c>
      <c r="C37" s="18">
        <v>216.27</v>
      </c>
      <c r="D37" s="20" t="s">
        <v>72</v>
      </c>
      <c r="E37" s="17">
        <v>213.18</v>
      </c>
      <c r="F37" s="20" t="s">
        <v>72</v>
      </c>
      <c r="G37" s="17">
        <v>200.9</v>
      </c>
      <c r="H37" s="20" t="s">
        <v>72</v>
      </c>
      <c r="I37" s="19">
        <v>210.92</v>
      </c>
      <c r="J37" s="20" t="s">
        <v>72</v>
      </c>
      <c r="K37" s="17">
        <v>230.11</v>
      </c>
      <c r="L37" s="20" t="s">
        <v>72</v>
      </c>
      <c r="M37" s="17">
        <v>209.76</v>
      </c>
      <c r="N37" s="20" t="s">
        <v>72</v>
      </c>
      <c r="O37" s="42">
        <v>210.33</v>
      </c>
      <c r="P37" s="20" t="s">
        <v>72</v>
      </c>
      <c r="Q37" s="42">
        <v>209.75</v>
      </c>
      <c r="R37" s="17" t="s">
        <v>72</v>
      </c>
      <c r="S37" s="19">
        <v>209</v>
      </c>
      <c r="T37" s="17" t="s">
        <v>72</v>
      </c>
      <c r="U37" s="17">
        <v>215.71</v>
      </c>
      <c r="V37" s="17" t="s">
        <v>72</v>
      </c>
      <c r="W37" s="42">
        <v>218.63</v>
      </c>
      <c r="X37" s="17" t="s">
        <v>72</v>
      </c>
      <c r="Y37" s="42">
        <v>218.07</v>
      </c>
      <c r="Z37" s="17" t="s">
        <v>72</v>
      </c>
      <c r="AA37" s="42">
        <v>215.55</v>
      </c>
    </row>
    <row r="38" spans="1:27" x14ac:dyDescent="0.25">
      <c r="A38" s="17"/>
      <c r="B38" s="20" t="s">
        <v>73</v>
      </c>
      <c r="C38" s="18">
        <v>207.42</v>
      </c>
      <c r="D38" s="20" t="s">
        <v>73</v>
      </c>
      <c r="E38" s="17">
        <v>205.55</v>
      </c>
      <c r="F38" s="20" t="s">
        <v>73</v>
      </c>
      <c r="G38" s="17">
        <v>203.2</v>
      </c>
      <c r="H38" s="20" t="s">
        <v>73</v>
      </c>
      <c r="I38" s="19">
        <v>207.91</v>
      </c>
      <c r="J38" s="20" t="s">
        <v>73</v>
      </c>
      <c r="K38" s="17">
        <v>212.9</v>
      </c>
      <c r="L38" s="20" t="s">
        <v>73</v>
      </c>
      <c r="M38" s="17">
        <v>204.25</v>
      </c>
      <c r="N38" s="20" t="s">
        <v>73</v>
      </c>
      <c r="O38" s="42">
        <v>209.88</v>
      </c>
      <c r="P38" s="20" t="s">
        <v>73</v>
      </c>
      <c r="Q38" s="42">
        <v>207.36</v>
      </c>
      <c r="R38" s="17" t="s">
        <v>73</v>
      </c>
      <c r="S38" s="19">
        <v>210.23</v>
      </c>
      <c r="T38" s="17" t="s">
        <v>73</v>
      </c>
      <c r="U38" s="17">
        <v>209.79</v>
      </c>
      <c r="V38" s="17" t="s">
        <v>73</v>
      </c>
      <c r="W38" s="42">
        <v>211.19</v>
      </c>
      <c r="X38" s="17" t="s">
        <v>73</v>
      </c>
      <c r="Y38" s="42">
        <v>211.5</v>
      </c>
      <c r="Z38" s="17" t="s">
        <v>73</v>
      </c>
      <c r="AA38" s="42">
        <v>208.87</v>
      </c>
    </row>
    <row r="39" spans="1:27" x14ac:dyDescent="0.25">
      <c r="A39" s="40" t="s">
        <v>71</v>
      </c>
      <c r="B39" s="21" t="s">
        <v>74</v>
      </c>
      <c r="C39" s="22">
        <v>0.5</v>
      </c>
      <c r="D39" s="21" t="s">
        <v>74</v>
      </c>
      <c r="E39" s="23">
        <v>0.5</v>
      </c>
      <c r="F39" s="21" t="s">
        <v>74</v>
      </c>
      <c r="G39" s="26">
        <v>0.61499999999999999</v>
      </c>
      <c r="H39" s="21" t="s">
        <v>74</v>
      </c>
      <c r="I39" s="24">
        <v>0.38</v>
      </c>
      <c r="J39" s="21" t="s">
        <v>74</v>
      </c>
      <c r="K39" s="26">
        <v>0.25</v>
      </c>
      <c r="L39" s="21" t="s">
        <v>74</v>
      </c>
      <c r="M39" s="26">
        <v>0.36363636363636365</v>
      </c>
      <c r="N39" s="21" t="s">
        <v>74</v>
      </c>
      <c r="O39" s="26">
        <v>0.44400000000000001</v>
      </c>
      <c r="P39" s="21" t="s">
        <v>74</v>
      </c>
      <c r="Q39" s="26">
        <v>0.313</v>
      </c>
      <c r="R39" s="21" t="s">
        <v>74</v>
      </c>
      <c r="S39" s="24">
        <v>0.25</v>
      </c>
      <c r="T39" s="21" t="s">
        <v>74</v>
      </c>
      <c r="U39" s="27">
        <v>0.154</v>
      </c>
      <c r="V39" s="21" t="s">
        <v>74</v>
      </c>
      <c r="W39" s="26">
        <v>0.188</v>
      </c>
      <c r="X39" s="21" t="s">
        <v>74</v>
      </c>
      <c r="Y39" s="26">
        <v>0.38500000000000001</v>
      </c>
      <c r="Z39" s="21" t="s">
        <v>74</v>
      </c>
      <c r="AA39" s="26">
        <v>0.16700000000000001</v>
      </c>
    </row>
    <row r="40" spans="1:27" x14ac:dyDescent="0.25">
      <c r="A40" s="40"/>
      <c r="B40" s="21" t="s">
        <v>75</v>
      </c>
      <c r="C40" s="22">
        <v>0.25</v>
      </c>
      <c r="D40" s="21" t="s">
        <v>75</v>
      </c>
      <c r="E40" s="23">
        <v>8.3000000000000004E-2</v>
      </c>
      <c r="F40" s="21" t="s">
        <v>75</v>
      </c>
      <c r="G40" s="26">
        <v>0</v>
      </c>
      <c r="H40" s="21" t="s">
        <v>75</v>
      </c>
      <c r="I40" s="24">
        <v>0.08</v>
      </c>
      <c r="J40" s="21" t="s">
        <v>75</v>
      </c>
      <c r="K40" s="26">
        <v>0</v>
      </c>
      <c r="L40" s="21" t="s">
        <v>75</v>
      </c>
      <c r="M40" s="26">
        <v>0</v>
      </c>
      <c r="N40" s="21" t="s">
        <v>75</v>
      </c>
      <c r="O40" s="26">
        <v>0.111</v>
      </c>
      <c r="P40" s="21" t="s">
        <v>75</v>
      </c>
      <c r="Q40" s="26">
        <v>0.125</v>
      </c>
      <c r="R40" s="21" t="s">
        <v>75</v>
      </c>
      <c r="S40" s="24">
        <v>0</v>
      </c>
      <c r="T40" s="21" t="s">
        <v>75</v>
      </c>
      <c r="U40" s="27">
        <v>0.154</v>
      </c>
      <c r="V40" s="21" t="s">
        <v>75</v>
      </c>
      <c r="W40" s="26">
        <v>0.188</v>
      </c>
      <c r="X40" s="21" t="s">
        <v>75</v>
      </c>
      <c r="Y40" s="26">
        <v>0</v>
      </c>
      <c r="Z40" s="21" t="s">
        <v>75</v>
      </c>
      <c r="AA40" s="26">
        <v>0.16700000000000001</v>
      </c>
    </row>
    <row r="41" spans="1:27" x14ac:dyDescent="0.25">
      <c r="A41" s="40"/>
      <c r="B41" s="21" t="s">
        <v>76</v>
      </c>
      <c r="C41" s="22">
        <v>0.25</v>
      </c>
      <c r="D41" s="21" t="s">
        <v>76</v>
      </c>
      <c r="E41" s="23">
        <v>0.41699999999999998</v>
      </c>
      <c r="F41" s="21" t="s">
        <v>76</v>
      </c>
      <c r="G41" s="26">
        <v>0.38500000000000001</v>
      </c>
      <c r="H41" s="21" t="s">
        <v>76</v>
      </c>
      <c r="I41" s="24">
        <v>0.54</v>
      </c>
      <c r="J41" s="21" t="s">
        <v>76</v>
      </c>
      <c r="K41" s="26">
        <v>0.75</v>
      </c>
      <c r="L41" s="21" t="s">
        <v>76</v>
      </c>
      <c r="M41" s="26">
        <v>0.63636363636363635</v>
      </c>
      <c r="N41" s="21" t="s">
        <v>76</v>
      </c>
      <c r="O41" s="26">
        <v>0.44400000000000001</v>
      </c>
      <c r="P41" s="21" t="s">
        <v>76</v>
      </c>
      <c r="Q41" s="26">
        <v>0.56299999999999994</v>
      </c>
      <c r="R41" s="21" t="s">
        <v>76</v>
      </c>
      <c r="S41" s="24">
        <v>0.75</v>
      </c>
      <c r="T41" s="21" t="s">
        <v>76</v>
      </c>
      <c r="U41" s="27">
        <v>0.69199999999999995</v>
      </c>
      <c r="V41" s="21" t="s">
        <v>76</v>
      </c>
      <c r="W41" s="26">
        <v>0.625</v>
      </c>
      <c r="X41" s="21" t="s">
        <v>76</v>
      </c>
      <c r="Y41" s="26">
        <v>0.61499999999999999</v>
      </c>
      <c r="Z41" s="21" t="s">
        <v>76</v>
      </c>
      <c r="AA41" s="26">
        <v>0.66700000000000004</v>
      </c>
    </row>
    <row r="42" spans="1:27" x14ac:dyDescent="0.25">
      <c r="A42" s="28" t="s">
        <v>77</v>
      </c>
      <c r="B42" s="28" t="s">
        <v>74</v>
      </c>
      <c r="C42" s="29">
        <v>0.63600000000000001</v>
      </c>
      <c r="D42" s="28" t="s">
        <v>74</v>
      </c>
      <c r="E42" s="41">
        <v>0.36</v>
      </c>
      <c r="F42" s="28" t="s">
        <v>74</v>
      </c>
      <c r="G42" s="31">
        <v>0.182</v>
      </c>
      <c r="H42" s="28" t="s">
        <v>74</v>
      </c>
      <c r="I42" s="32">
        <v>0.42</v>
      </c>
      <c r="J42" s="28" t="s">
        <v>74</v>
      </c>
      <c r="K42" s="31">
        <v>0.66700000000000004</v>
      </c>
      <c r="L42" s="28" t="s">
        <v>74</v>
      </c>
      <c r="M42" s="31">
        <v>0.18181818181818182</v>
      </c>
      <c r="N42" s="28" t="s">
        <v>74</v>
      </c>
      <c r="O42" s="31">
        <v>0.222</v>
      </c>
      <c r="P42" s="28" t="s">
        <v>74</v>
      </c>
      <c r="Q42" s="31">
        <v>0.188</v>
      </c>
      <c r="R42" s="28" t="s">
        <v>74</v>
      </c>
      <c r="S42" s="32">
        <v>0.23100000000000001</v>
      </c>
      <c r="T42" s="28" t="s">
        <v>74</v>
      </c>
      <c r="U42" s="119">
        <v>0.5</v>
      </c>
      <c r="V42" s="28" t="s">
        <v>74</v>
      </c>
      <c r="W42" s="31">
        <v>0.375</v>
      </c>
      <c r="X42" s="28" t="s">
        <v>74</v>
      </c>
      <c r="Y42" s="31">
        <v>0.308</v>
      </c>
      <c r="Z42" s="28" t="s">
        <v>74</v>
      </c>
      <c r="AA42" s="31">
        <v>0.27300000000000002</v>
      </c>
    </row>
    <row r="43" spans="1:27" x14ac:dyDescent="0.25">
      <c r="A43" s="28"/>
      <c r="B43" s="28" t="s">
        <v>75</v>
      </c>
      <c r="C43" s="29">
        <v>0.182</v>
      </c>
      <c r="D43" s="28" t="s">
        <v>75</v>
      </c>
      <c r="E43" s="41">
        <v>0.45</v>
      </c>
      <c r="F43" s="28" t="s">
        <v>75</v>
      </c>
      <c r="G43" s="31">
        <v>0.36399999999999999</v>
      </c>
      <c r="H43" s="28" t="s">
        <v>75</v>
      </c>
      <c r="I43" s="32">
        <v>0.08</v>
      </c>
      <c r="J43" s="28" t="s">
        <v>75</v>
      </c>
      <c r="K43" s="31">
        <v>0.222</v>
      </c>
      <c r="L43" s="28" t="s">
        <v>75</v>
      </c>
      <c r="M43" s="31">
        <v>9.0909090909090912E-2</v>
      </c>
      <c r="N43" s="28" t="s">
        <v>75</v>
      </c>
      <c r="O43" s="31">
        <v>0.222</v>
      </c>
      <c r="P43" s="28" t="s">
        <v>75</v>
      </c>
      <c r="Q43" s="31">
        <v>0.188</v>
      </c>
      <c r="R43" s="28" t="s">
        <v>75</v>
      </c>
      <c r="S43" s="32">
        <v>0.154</v>
      </c>
      <c r="T43" s="28" t="s">
        <v>75</v>
      </c>
      <c r="U43" s="119">
        <v>7.0999999999999994E-2</v>
      </c>
      <c r="V43" s="28" t="s">
        <v>75</v>
      </c>
      <c r="W43" s="31">
        <v>0.188</v>
      </c>
      <c r="X43" s="28" t="s">
        <v>75</v>
      </c>
      <c r="Y43" s="31">
        <v>0.308</v>
      </c>
      <c r="Z43" s="28" t="s">
        <v>75</v>
      </c>
      <c r="AA43" s="31">
        <v>0.27300000000000002</v>
      </c>
    </row>
    <row r="44" spans="1:27" x14ac:dyDescent="0.25">
      <c r="A44" s="28"/>
      <c r="B44" s="28" t="s">
        <v>76</v>
      </c>
      <c r="C44" s="29">
        <v>0.182</v>
      </c>
      <c r="D44" s="28" t="s">
        <v>76</v>
      </c>
      <c r="E44" s="41">
        <v>0.18</v>
      </c>
      <c r="F44" s="28" t="s">
        <v>76</v>
      </c>
      <c r="G44" s="31">
        <v>0.45</v>
      </c>
      <c r="H44" s="28" t="s">
        <v>76</v>
      </c>
      <c r="I44" s="32">
        <v>0.5</v>
      </c>
      <c r="J44" s="28" t="s">
        <v>76</v>
      </c>
      <c r="K44" s="31">
        <v>0.111</v>
      </c>
      <c r="L44" s="28" t="s">
        <v>76</v>
      </c>
      <c r="M44" s="31">
        <v>0.72727272727272729</v>
      </c>
      <c r="N44" s="28" t="s">
        <v>76</v>
      </c>
      <c r="O44" s="31">
        <v>0.55600000000000005</v>
      </c>
      <c r="P44" s="28" t="s">
        <v>76</v>
      </c>
      <c r="Q44" s="31">
        <v>0.625</v>
      </c>
      <c r="R44" s="28" t="s">
        <v>76</v>
      </c>
      <c r="S44" s="32">
        <v>0.61499999999999999</v>
      </c>
      <c r="T44" s="28" t="s">
        <v>76</v>
      </c>
      <c r="U44" s="119">
        <v>0.42899999999999999</v>
      </c>
      <c r="V44" s="28" t="s">
        <v>76</v>
      </c>
      <c r="W44" s="31">
        <v>0.438</v>
      </c>
      <c r="X44" s="28" t="s">
        <v>76</v>
      </c>
      <c r="Y44" s="31">
        <v>0.38500000000000001</v>
      </c>
      <c r="Z44" s="28" t="s">
        <v>76</v>
      </c>
      <c r="AA44" s="31">
        <v>0.45500000000000002</v>
      </c>
    </row>
    <row r="45" spans="1:27" x14ac:dyDescent="0.25">
      <c r="A45" s="33" t="s">
        <v>73</v>
      </c>
      <c r="B45" s="143" t="s">
        <v>74</v>
      </c>
      <c r="C45" s="34">
        <v>0.66700000000000004</v>
      </c>
      <c r="D45" s="143" t="s">
        <v>74</v>
      </c>
      <c r="E45" s="145">
        <v>0.58299999999999996</v>
      </c>
      <c r="F45" s="143" t="s">
        <v>74</v>
      </c>
      <c r="G45" s="34">
        <v>0.41699999999999998</v>
      </c>
      <c r="H45" s="143" t="s">
        <v>74</v>
      </c>
      <c r="I45" s="146">
        <v>0.54</v>
      </c>
      <c r="J45" s="143" t="s">
        <v>74</v>
      </c>
      <c r="K45" s="34">
        <v>0.8</v>
      </c>
      <c r="L45" s="143" t="s">
        <v>74</v>
      </c>
      <c r="M45" s="34">
        <v>0.44444444444444442</v>
      </c>
      <c r="N45" s="143" t="s">
        <v>74</v>
      </c>
      <c r="O45" s="34">
        <v>0.75</v>
      </c>
      <c r="P45" s="143" t="s">
        <v>74</v>
      </c>
      <c r="Q45" s="34">
        <v>0.57099999999999995</v>
      </c>
      <c r="R45" s="143" t="s">
        <v>74</v>
      </c>
      <c r="S45" s="146">
        <v>0.76900000000000002</v>
      </c>
      <c r="T45" s="143" t="s">
        <v>74</v>
      </c>
      <c r="U45" s="147">
        <v>0.71399999999999997</v>
      </c>
      <c r="V45" s="143" t="s">
        <v>74</v>
      </c>
      <c r="W45" s="34">
        <v>0.56299999999999994</v>
      </c>
      <c r="X45" s="143" t="s">
        <v>74</v>
      </c>
      <c r="Y45" s="34">
        <v>0.58299999999999996</v>
      </c>
      <c r="Z45" s="143" t="s">
        <v>74</v>
      </c>
      <c r="AA45" s="34">
        <v>0.45500000000000002</v>
      </c>
    </row>
    <row r="46" spans="1:27" x14ac:dyDescent="0.25">
      <c r="A46" s="33"/>
      <c r="B46" s="143" t="s">
        <v>75</v>
      </c>
      <c r="C46" s="34">
        <v>0.25</v>
      </c>
      <c r="D46" s="143" t="s">
        <v>75</v>
      </c>
      <c r="E46" s="145">
        <v>8.3000000000000004E-2</v>
      </c>
      <c r="F46" s="143" t="s">
        <v>75</v>
      </c>
      <c r="G46" s="34">
        <v>8.3000000000000004E-2</v>
      </c>
      <c r="H46" s="143" t="s">
        <v>75</v>
      </c>
      <c r="I46" s="146">
        <v>0.15</v>
      </c>
      <c r="J46" s="143" t="s">
        <v>75</v>
      </c>
      <c r="K46" s="34">
        <v>0</v>
      </c>
      <c r="L46" s="143" t="s">
        <v>75</v>
      </c>
      <c r="M46" s="34">
        <v>0.22222222222222221</v>
      </c>
      <c r="N46" s="143" t="s">
        <v>75</v>
      </c>
      <c r="O46" s="34">
        <v>0</v>
      </c>
      <c r="P46" s="143" t="s">
        <v>75</v>
      </c>
      <c r="Q46" s="34">
        <v>0.14299999999999999</v>
      </c>
      <c r="R46" s="143" t="s">
        <v>75</v>
      </c>
      <c r="S46" s="146">
        <v>7.6999999999999999E-2</v>
      </c>
      <c r="T46" s="143" t="s">
        <v>75</v>
      </c>
      <c r="U46" s="147">
        <v>7.0999999999999994E-2</v>
      </c>
      <c r="V46" s="143" t="s">
        <v>75</v>
      </c>
      <c r="W46" s="34">
        <v>0.125</v>
      </c>
      <c r="X46" s="143" t="s">
        <v>75</v>
      </c>
      <c r="Y46" s="34">
        <v>0</v>
      </c>
      <c r="Z46" s="143" t="s">
        <v>75</v>
      </c>
      <c r="AA46" s="34">
        <v>0</v>
      </c>
    </row>
    <row r="47" spans="1:27" x14ac:dyDescent="0.25">
      <c r="A47" s="33"/>
      <c r="B47" s="143" t="s">
        <v>76</v>
      </c>
      <c r="C47" s="34">
        <v>8.3000000000000004E-2</v>
      </c>
      <c r="D47" s="143" t="s">
        <v>76</v>
      </c>
      <c r="E47" s="145">
        <v>0.16700000000000001</v>
      </c>
      <c r="F47" s="143" t="s">
        <v>76</v>
      </c>
      <c r="G47" s="34">
        <v>0.5</v>
      </c>
      <c r="H47" s="143" t="s">
        <v>76</v>
      </c>
      <c r="I47" s="146">
        <v>0.31</v>
      </c>
      <c r="J47" s="143" t="s">
        <v>76</v>
      </c>
      <c r="K47" s="34">
        <v>0.2</v>
      </c>
      <c r="L47" s="143" t="s">
        <v>76</v>
      </c>
      <c r="M47" s="34">
        <v>0.33333333333333331</v>
      </c>
      <c r="N47" s="143" t="s">
        <v>76</v>
      </c>
      <c r="O47" s="34">
        <v>0.25</v>
      </c>
      <c r="P47" s="143" t="s">
        <v>76</v>
      </c>
      <c r="Q47" s="34">
        <v>0.28599999999999998</v>
      </c>
      <c r="R47" s="143" t="s">
        <v>76</v>
      </c>
      <c r="S47" s="146">
        <v>0.154</v>
      </c>
      <c r="T47" s="143" t="s">
        <v>76</v>
      </c>
      <c r="U47" s="147">
        <v>0.214</v>
      </c>
      <c r="V47" s="143" t="s">
        <v>76</v>
      </c>
      <c r="W47" s="34">
        <v>0.313</v>
      </c>
      <c r="X47" s="143" t="s">
        <v>76</v>
      </c>
      <c r="Y47" s="34">
        <v>0.41699999999999998</v>
      </c>
      <c r="Z47" s="143" t="s">
        <v>76</v>
      </c>
      <c r="AA47" s="34">
        <v>0.54500000000000004</v>
      </c>
    </row>
    <row r="48" spans="1:27" x14ac:dyDescent="0.25">
      <c r="J48" s="2"/>
      <c r="K48" s="2"/>
      <c r="L48" s="2"/>
      <c r="M48" s="2"/>
      <c r="N48" s="2"/>
      <c r="O48" s="2"/>
      <c r="P48" s="2"/>
      <c r="Q48" s="2"/>
      <c r="R48" s="2"/>
      <c r="S48" s="16"/>
      <c r="T48" s="2"/>
      <c r="U48" s="2"/>
      <c r="V48" s="2"/>
      <c r="W48" s="2"/>
      <c r="X48" s="2"/>
      <c r="Y48" s="2"/>
      <c r="Z48" s="2"/>
      <c r="AA48" s="2"/>
    </row>
    <row r="49" spans="1:27" x14ac:dyDescent="0.25">
      <c r="A49" t="s">
        <v>81</v>
      </c>
      <c r="B49" s="176" t="s">
        <v>62</v>
      </c>
      <c r="C49" s="176"/>
      <c r="D49" s="176" t="s">
        <v>63</v>
      </c>
      <c r="E49" s="176"/>
      <c r="F49" s="180" t="s">
        <v>64</v>
      </c>
      <c r="G49" s="181"/>
      <c r="H49" s="176" t="s">
        <v>65</v>
      </c>
      <c r="I49" s="180"/>
      <c r="J49" s="176" t="s">
        <v>66</v>
      </c>
      <c r="K49" s="176"/>
      <c r="L49" s="176" t="s">
        <v>67</v>
      </c>
      <c r="M49" s="176"/>
      <c r="N49" s="176" t="s">
        <v>68</v>
      </c>
      <c r="O49" s="176"/>
      <c r="P49" s="176" t="s">
        <v>235</v>
      </c>
      <c r="Q49" s="176"/>
      <c r="R49" s="176" t="s">
        <v>255</v>
      </c>
      <c r="S49" s="180"/>
      <c r="T49" s="2" t="s">
        <v>262</v>
      </c>
      <c r="U49" s="2"/>
      <c r="V49" s="176" t="s">
        <v>288</v>
      </c>
      <c r="W49" s="176"/>
      <c r="X49" s="176" t="s">
        <v>304</v>
      </c>
      <c r="Y49" s="176"/>
      <c r="Z49" s="176" t="s">
        <v>384</v>
      </c>
      <c r="AA49" s="176"/>
    </row>
    <row r="50" spans="1:27" x14ac:dyDescent="0.25">
      <c r="A50" s="17"/>
      <c r="B50" s="17" t="s">
        <v>71</v>
      </c>
      <c r="C50" s="18">
        <v>214.47</v>
      </c>
      <c r="D50" s="17" t="s">
        <v>71</v>
      </c>
      <c r="E50" s="17">
        <v>217.95</v>
      </c>
      <c r="F50" s="17" t="s">
        <v>71</v>
      </c>
      <c r="G50" s="17">
        <v>216.7</v>
      </c>
      <c r="H50" s="17" t="s">
        <v>71</v>
      </c>
      <c r="I50" s="19">
        <v>219.36</v>
      </c>
      <c r="J50" s="17" t="s">
        <v>71</v>
      </c>
      <c r="K50" s="17">
        <v>223.11</v>
      </c>
      <c r="L50" s="17" t="s">
        <v>71</v>
      </c>
      <c r="M50" s="17">
        <v>224.71</v>
      </c>
      <c r="N50" s="17" t="s">
        <v>71</v>
      </c>
      <c r="O50" s="42">
        <v>224.24</v>
      </c>
      <c r="P50" s="17" t="s">
        <v>71</v>
      </c>
      <c r="Q50" s="42">
        <v>220.61</v>
      </c>
      <c r="R50" s="17" t="s">
        <v>71</v>
      </c>
      <c r="S50" s="19">
        <v>223.81</v>
      </c>
      <c r="T50" s="17" t="s">
        <v>71</v>
      </c>
      <c r="U50" s="17">
        <v>218.58</v>
      </c>
      <c r="V50" s="17" t="s">
        <v>71</v>
      </c>
      <c r="W50" s="42">
        <v>219.59</v>
      </c>
      <c r="X50" s="17" t="s">
        <v>71</v>
      </c>
      <c r="Y50" s="42">
        <v>219.03</v>
      </c>
      <c r="Z50" s="17" t="s">
        <v>71</v>
      </c>
      <c r="AA50" s="42">
        <v>214.48</v>
      </c>
    </row>
    <row r="51" spans="1:27" x14ac:dyDescent="0.25">
      <c r="A51" s="17"/>
      <c r="B51" s="20" t="s">
        <v>72</v>
      </c>
      <c r="C51" s="18">
        <v>223.69</v>
      </c>
      <c r="D51" s="20" t="s">
        <v>72</v>
      </c>
      <c r="E51" s="17">
        <v>227.23</v>
      </c>
      <c r="F51" s="20" t="s">
        <v>72</v>
      </c>
      <c r="G51" s="17">
        <v>224.5</v>
      </c>
      <c r="H51" s="20" t="s">
        <v>72</v>
      </c>
      <c r="I51" s="19">
        <v>227.54</v>
      </c>
      <c r="J51" s="20" t="s">
        <v>72</v>
      </c>
      <c r="K51" s="42">
        <v>228.97</v>
      </c>
      <c r="L51" s="20" t="s">
        <v>72</v>
      </c>
      <c r="M51" s="17">
        <v>229.12</v>
      </c>
      <c r="N51" s="20" t="s">
        <v>72</v>
      </c>
      <c r="O51" s="42">
        <v>230.59</v>
      </c>
      <c r="P51" s="20" t="s">
        <v>72</v>
      </c>
      <c r="Q51" s="42">
        <v>230.88</v>
      </c>
      <c r="R51" s="17" t="s">
        <v>72</v>
      </c>
      <c r="S51" s="19">
        <v>229.05</v>
      </c>
      <c r="T51" s="17" t="s">
        <v>72</v>
      </c>
      <c r="U51" s="17">
        <v>230.8</v>
      </c>
      <c r="V51" s="17" t="s">
        <v>72</v>
      </c>
      <c r="W51" s="42">
        <v>228.39</v>
      </c>
      <c r="X51" s="17" t="s">
        <v>72</v>
      </c>
      <c r="Y51" s="42">
        <v>229.91</v>
      </c>
      <c r="Z51" s="17" t="s">
        <v>72</v>
      </c>
      <c r="AA51" s="42">
        <v>224.94</v>
      </c>
    </row>
    <row r="52" spans="1:27" x14ac:dyDescent="0.25">
      <c r="A52" s="17"/>
      <c r="B52" s="20" t="s">
        <v>73</v>
      </c>
      <c r="C52" s="18">
        <v>213.44</v>
      </c>
      <c r="D52" s="20" t="s">
        <v>73</v>
      </c>
      <c r="E52" s="17">
        <v>212.72</v>
      </c>
      <c r="F52" s="20" t="s">
        <v>73</v>
      </c>
      <c r="G52" s="17">
        <v>214.6</v>
      </c>
      <c r="H52" s="20" t="s">
        <v>73</v>
      </c>
      <c r="I52" s="19">
        <v>217.62</v>
      </c>
      <c r="J52" s="20" t="s">
        <v>73</v>
      </c>
      <c r="K52" s="42">
        <v>219.1</v>
      </c>
      <c r="L52" s="20" t="s">
        <v>73</v>
      </c>
      <c r="M52" s="17">
        <v>218.93</v>
      </c>
      <c r="N52" s="20" t="s">
        <v>73</v>
      </c>
      <c r="O52" s="42">
        <v>219.55</v>
      </c>
      <c r="P52" s="20" t="s">
        <v>73</v>
      </c>
      <c r="Q52" s="42">
        <v>219.49</v>
      </c>
      <c r="R52" s="17" t="s">
        <v>73</v>
      </c>
      <c r="S52" s="19">
        <v>218.3</v>
      </c>
      <c r="T52" s="17" t="s">
        <v>73</v>
      </c>
      <c r="U52" s="17">
        <v>215.69</v>
      </c>
      <c r="V52" s="17" t="s">
        <v>73</v>
      </c>
      <c r="W52" s="42">
        <v>218.31</v>
      </c>
      <c r="X52" s="17" t="s">
        <v>73</v>
      </c>
      <c r="Y52" s="42">
        <v>216.14</v>
      </c>
      <c r="Z52" s="17" t="s">
        <v>73</v>
      </c>
      <c r="AA52" s="42">
        <v>214.31</v>
      </c>
    </row>
    <row r="53" spans="1:27" x14ac:dyDescent="0.25">
      <c r="A53" s="40" t="s">
        <v>71</v>
      </c>
      <c r="B53" s="21" t="s">
        <v>74</v>
      </c>
      <c r="C53" s="22">
        <v>0.72199999999999998</v>
      </c>
      <c r="D53" s="21" t="s">
        <v>74</v>
      </c>
      <c r="E53" s="23">
        <v>0.78900000000000003</v>
      </c>
      <c r="F53" s="21" t="s">
        <v>74</v>
      </c>
      <c r="G53" s="26">
        <v>0.73099999999999998</v>
      </c>
      <c r="H53" s="21" t="s">
        <v>74</v>
      </c>
      <c r="I53" s="24">
        <v>0.625</v>
      </c>
      <c r="J53" s="21" t="s">
        <v>74</v>
      </c>
      <c r="K53" s="26">
        <v>0.70399999999999996</v>
      </c>
      <c r="L53" s="21" t="s">
        <v>74</v>
      </c>
      <c r="M53" s="26">
        <v>0.89473684210526316</v>
      </c>
      <c r="N53" s="21" t="s">
        <v>74</v>
      </c>
      <c r="O53" s="26">
        <v>0.63600000000000001</v>
      </c>
      <c r="P53" s="21" t="s">
        <v>74</v>
      </c>
      <c r="Q53" s="26">
        <v>0.63400000000000001</v>
      </c>
      <c r="R53" s="21" t="s">
        <v>74</v>
      </c>
      <c r="S53" s="24">
        <v>0.71899999999999997</v>
      </c>
      <c r="T53" s="21" t="s">
        <v>74</v>
      </c>
      <c r="U53" s="27">
        <v>0.45800000000000002</v>
      </c>
      <c r="V53" s="21" t="s">
        <v>74</v>
      </c>
      <c r="W53" s="26">
        <v>0.64900000000000002</v>
      </c>
      <c r="X53" s="21" t="s">
        <v>74</v>
      </c>
      <c r="Y53" s="26">
        <v>0.629</v>
      </c>
      <c r="Z53" s="21" t="s">
        <v>74</v>
      </c>
      <c r="AA53" s="26">
        <v>0.45500000000000002</v>
      </c>
    </row>
    <row r="54" spans="1:27" x14ac:dyDescent="0.25">
      <c r="A54" s="40"/>
      <c r="B54" s="21" t="s">
        <v>75</v>
      </c>
      <c r="C54" s="22">
        <v>5.6000000000000001E-2</v>
      </c>
      <c r="D54" s="21" t="s">
        <v>75</v>
      </c>
      <c r="E54" s="23">
        <v>5.2999999999999999E-2</v>
      </c>
      <c r="F54" s="21" t="s">
        <v>75</v>
      </c>
      <c r="G54" s="26">
        <v>0.115</v>
      </c>
      <c r="H54" s="21" t="s">
        <v>75</v>
      </c>
      <c r="I54" s="24">
        <v>0.20799999999999999</v>
      </c>
      <c r="J54" s="21" t="s">
        <v>75</v>
      </c>
      <c r="K54" s="26">
        <v>0.111</v>
      </c>
      <c r="L54" s="21" t="s">
        <v>75</v>
      </c>
      <c r="M54" s="26">
        <v>2.6315789473684209E-2</v>
      </c>
      <c r="N54" s="21" t="s">
        <v>75</v>
      </c>
      <c r="O54" s="26">
        <v>0.152</v>
      </c>
      <c r="P54" s="21" t="s">
        <v>75</v>
      </c>
      <c r="Q54" s="26">
        <v>0.122</v>
      </c>
      <c r="R54" s="21" t="s">
        <v>75</v>
      </c>
      <c r="S54" s="24">
        <v>6.3E-2</v>
      </c>
      <c r="T54" s="21" t="s">
        <v>75</v>
      </c>
      <c r="U54" s="27">
        <v>0.25</v>
      </c>
      <c r="V54" s="21" t="s">
        <v>75</v>
      </c>
      <c r="W54" s="26">
        <v>2.7E-2</v>
      </c>
      <c r="X54" s="21" t="s">
        <v>75</v>
      </c>
      <c r="Y54" s="26">
        <v>5.7000000000000002E-2</v>
      </c>
      <c r="Z54" s="21" t="s">
        <v>75</v>
      </c>
      <c r="AA54" s="26">
        <v>0.121</v>
      </c>
    </row>
    <row r="55" spans="1:27" x14ac:dyDescent="0.25">
      <c r="A55" s="40"/>
      <c r="B55" s="21" t="s">
        <v>76</v>
      </c>
      <c r="C55" s="22">
        <v>0.222</v>
      </c>
      <c r="D55" s="21" t="s">
        <v>76</v>
      </c>
      <c r="E55" s="23">
        <v>0.158</v>
      </c>
      <c r="F55" s="21" t="s">
        <v>76</v>
      </c>
      <c r="G55" s="26">
        <v>0.154</v>
      </c>
      <c r="H55" s="21" t="s">
        <v>76</v>
      </c>
      <c r="I55" s="24">
        <v>0.16700000000000001</v>
      </c>
      <c r="J55" s="21" t="s">
        <v>76</v>
      </c>
      <c r="K55" s="26">
        <v>0.185</v>
      </c>
      <c r="L55" s="21" t="s">
        <v>76</v>
      </c>
      <c r="M55" s="26">
        <v>7.8947368421052627E-2</v>
      </c>
      <c r="N55" s="21" t="s">
        <v>76</v>
      </c>
      <c r="O55" s="26">
        <v>0.21199999999999999</v>
      </c>
      <c r="P55" s="21" t="s">
        <v>76</v>
      </c>
      <c r="Q55" s="26">
        <v>0.317</v>
      </c>
      <c r="R55" s="21" t="s">
        <v>76</v>
      </c>
      <c r="S55" s="24">
        <v>0.219</v>
      </c>
      <c r="T55" s="21" t="s">
        <v>76</v>
      </c>
      <c r="U55" s="27">
        <v>0.29199999999999998</v>
      </c>
      <c r="V55" s="21" t="s">
        <v>76</v>
      </c>
      <c r="W55" s="26">
        <v>0.32400000000000001</v>
      </c>
      <c r="X55" s="21" t="s">
        <v>76</v>
      </c>
      <c r="Y55" s="26">
        <v>0.314</v>
      </c>
      <c r="Z55" s="21" t="s">
        <v>76</v>
      </c>
      <c r="AA55" s="26">
        <v>0.42399999999999999</v>
      </c>
    </row>
    <row r="56" spans="1:27" x14ac:dyDescent="0.25">
      <c r="A56" s="28" t="s">
        <v>77</v>
      </c>
      <c r="B56" s="28" t="s">
        <v>74</v>
      </c>
      <c r="C56" s="29">
        <v>0.76900000000000002</v>
      </c>
      <c r="D56" s="28" t="s">
        <v>74</v>
      </c>
      <c r="E56" s="41">
        <v>0.85</v>
      </c>
      <c r="F56" s="28" t="s">
        <v>74</v>
      </c>
      <c r="G56" s="31">
        <v>0.68200000000000005</v>
      </c>
      <c r="H56" s="28" t="s">
        <v>74</v>
      </c>
      <c r="I56" s="32">
        <v>0.78500000000000003</v>
      </c>
      <c r="J56" s="28" t="s">
        <v>74</v>
      </c>
      <c r="K56" s="31">
        <v>0.63400000000000001</v>
      </c>
      <c r="L56" s="28" t="s">
        <v>74</v>
      </c>
      <c r="M56" s="31">
        <v>0.67647058823529416</v>
      </c>
      <c r="N56" s="28" t="s">
        <v>74</v>
      </c>
      <c r="O56" s="31">
        <v>0.75</v>
      </c>
      <c r="P56" s="28" t="s">
        <v>74</v>
      </c>
      <c r="Q56" s="31">
        <v>0.52500000000000002</v>
      </c>
      <c r="R56" s="28" t="s">
        <v>74</v>
      </c>
      <c r="S56" s="32">
        <v>0.70599999999999996</v>
      </c>
      <c r="T56" s="28" t="s">
        <v>74</v>
      </c>
      <c r="U56" s="119">
        <v>0.76</v>
      </c>
      <c r="V56" s="28" t="s">
        <v>74</v>
      </c>
      <c r="W56" s="31">
        <v>0.61099999999999999</v>
      </c>
      <c r="X56" s="28" t="s">
        <v>74</v>
      </c>
      <c r="Y56" s="31">
        <v>0.629</v>
      </c>
      <c r="Z56" s="28" t="s">
        <v>74</v>
      </c>
      <c r="AA56" s="31">
        <v>0.438</v>
      </c>
    </row>
    <row r="57" spans="1:27" x14ac:dyDescent="0.25">
      <c r="A57" s="28"/>
      <c r="B57" s="28" t="s">
        <v>75</v>
      </c>
      <c r="C57" s="29">
        <v>0.154</v>
      </c>
      <c r="D57" s="28" t="s">
        <v>75</v>
      </c>
      <c r="E57" s="41">
        <v>0</v>
      </c>
      <c r="F57" s="28" t="s">
        <v>75</v>
      </c>
      <c r="G57" s="31">
        <v>0.182</v>
      </c>
      <c r="H57" s="28" t="s">
        <v>75</v>
      </c>
      <c r="I57" s="32">
        <v>3.5999999999999997E-2</v>
      </c>
      <c r="J57" s="28" t="s">
        <v>75</v>
      </c>
      <c r="K57" s="31">
        <v>0.13300000000000001</v>
      </c>
      <c r="L57" s="28" t="s">
        <v>75</v>
      </c>
      <c r="M57" s="31">
        <v>0.14705882352941177</v>
      </c>
      <c r="N57" s="28" t="s">
        <v>75</v>
      </c>
      <c r="O57" s="31">
        <v>0.125</v>
      </c>
      <c r="P57" s="28" t="s">
        <v>75</v>
      </c>
      <c r="Q57" s="31">
        <v>0.375</v>
      </c>
      <c r="R57" s="28" t="s">
        <v>75</v>
      </c>
      <c r="S57" s="32">
        <v>0.17599999999999999</v>
      </c>
      <c r="T57" s="28" t="s">
        <v>75</v>
      </c>
      <c r="U57" s="119">
        <v>0.12</v>
      </c>
      <c r="V57" s="28" t="s">
        <v>75</v>
      </c>
      <c r="W57" s="31">
        <v>0.16700000000000001</v>
      </c>
      <c r="X57" s="28" t="s">
        <v>75</v>
      </c>
      <c r="Y57" s="31">
        <v>5.7000000000000002E-2</v>
      </c>
      <c r="Z57" s="28" t="s">
        <v>75</v>
      </c>
      <c r="AA57" s="31">
        <v>0.25</v>
      </c>
    </row>
    <row r="58" spans="1:27" x14ac:dyDescent="0.25">
      <c r="A58" s="28"/>
      <c r="B58" s="28" t="s">
        <v>76</v>
      </c>
      <c r="C58" s="29">
        <v>7.6999999999999999E-2</v>
      </c>
      <c r="D58" s="28" t="s">
        <v>76</v>
      </c>
      <c r="E58" s="41">
        <v>0.15</v>
      </c>
      <c r="F58" s="28" t="s">
        <v>76</v>
      </c>
      <c r="G58" s="31">
        <v>0.13600000000000001</v>
      </c>
      <c r="H58" s="28" t="s">
        <v>76</v>
      </c>
      <c r="I58" s="32">
        <v>0.17899999999999999</v>
      </c>
      <c r="J58" s="28" t="s">
        <v>76</v>
      </c>
      <c r="K58" s="31">
        <v>0.23300000000000001</v>
      </c>
      <c r="L58" s="28" t="s">
        <v>76</v>
      </c>
      <c r="M58" s="31">
        <v>0.17647058823529413</v>
      </c>
      <c r="N58" s="28" t="s">
        <v>76</v>
      </c>
      <c r="O58" s="31">
        <v>0.125</v>
      </c>
      <c r="P58" s="28" t="s">
        <v>76</v>
      </c>
      <c r="Q58" s="31">
        <v>0.1</v>
      </c>
      <c r="R58" s="28" t="s">
        <v>76</v>
      </c>
      <c r="S58" s="32">
        <v>0.11799999999999999</v>
      </c>
      <c r="T58" s="28" t="s">
        <v>76</v>
      </c>
      <c r="U58" s="119">
        <v>0.12</v>
      </c>
      <c r="V58" s="28" t="s">
        <v>76</v>
      </c>
      <c r="W58" s="31">
        <v>0.222</v>
      </c>
      <c r="X58" s="28" t="s">
        <v>76</v>
      </c>
      <c r="Y58" s="31">
        <v>0.314</v>
      </c>
      <c r="Z58" s="28" t="s">
        <v>76</v>
      </c>
      <c r="AA58" s="31">
        <v>0.313</v>
      </c>
    </row>
    <row r="59" spans="1:27" x14ac:dyDescent="0.25">
      <c r="A59" s="33" t="s">
        <v>73</v>
      </c>
      <c r="B59" s="143" t="s">
        <v>74</v>
      </c>
      <c r="C59" s="34">
        <v>0.82399999999999995</v>
      </c>
      <c r="D59" s="143" t="s">
        <v>74</v>
      </c>
      <c r="E59" s="145">
        <v>0.66700000000000004</v>
      </c>
      <c r="F59" s="143" t="s">
        <v>74</v>
      </c>
      <c r="G59" s="34">
        <v>0.77800000000000002</v>
      </c>
      <c r="H59" s="143" t="s">
        <v>74</v>
      </c>
      <c r="I59" s="146">
        <v>0.92400000000000004</v>
      </c>
      <c r="J59" s="143" t="s">
        <v>74</v>
      </c>
      <c r="K59" s="34">
        <v>0.93340000000000001</v>
      </c>
      <c r="L59" s="143" t="s">
        <v>74</v>
      </c>
      <c r="M59" s="34">
        <v>1</v>
      </c>
      <c r="N59" s="143" t="s">
        <v>74</v>
      </c>
      <c r="O59" s="34">
        <v>0.84799999999999998</v>
      </c>
      <c r="P59" s="143" t="s">
        <v>74</v>
      </c>
      <c r="Q59" s="34">
        <v>0.89200000000000002</v>
      </c>
      <c r="R59" s="143" t="s">
        <v>74</v>
      </c>
      <c r="S59" s="146">
        <v>0.90900000000000003</v>
      </c>
      <c r="T59" s="143" t="s">
        <v>74</v>
      </c>
      <c r="U59" s="147">
        <v>0.80700000000000005</v>
      </c>
      <c r="V59" s="143" t="s">
        <v>74</v>
      </c>
      <c r="W59" s="34">
        <v>0.75</v>
      </c>
      <c r="X59" s="143" t="s">
        <v>74</v>
      </c>
      <c r="Y59" s="34">
        <v>0.66700000000000004</v>
      </c>
      <c r="Z59" s="143" t="s">
        <v>74</v>
      </c>
      <c r="AA59" s="34">
        <v>0.57699999999999996</v>
      </c>
    </row>
    <row r="60" spans="1:27" x14ac:dyDescent="0.25">
      <c r="A60" s="33"/>
      <c r="B60" s="143" t="s">
        <v>75</v>
      </c>
      <c r="C60" s="34">
        <v>5.8999999999999997E-2</v>
      </c>
      <c r="D60" s="143" t="s">
        <v>75</v>
      </c>
      <c r="E60" s="145">
        <v>0.222</v>
      </c>
      <c r="F60" s="143" t="s">
        <v>75</v>
      </c>
      <c r="G60" s="34">
        <v>0.111</v>
      </c>
      <c r="H60" s="143" t="s">
        <v>75</v>
      </c>
      <c r="I60" s="146">
        <v>3.7999999999999999E-2</v>
      </c>
      <c r="J60" s="143" t="s">
        <v>75</v>
      </c>
      <c r="K60" s="34">
        <v>3.3300000000000003E-2</v>
      </c>
      <c r="L60" s="143" t="s">
        <v>75</v>
      </c>
      <c r="M60" s="34">
        <v>0</v>
      </c>
      <c r="N60" s="143" t="s">
        <v>75</v>
      </c>
      <c r="O60" s="34">
        <v>0.152</v>
      </c>
      <c r="P60" s="143" t="s">
        <v>75</v>
      </c>
      <c r="Q60" s="34">
        <v>5.3999999999999999E-2</v>
      </c>
      <c r="R60" s="143" t="s">
        <v>75</v>
      </c>
      <c r="S60" s="146">
        <v>9.0999999999999998E-2</v>
      </c>
      <c r="T60" s="143" t="s">
        <v>75</v>
      </c>
      <c r="U60" s="147">
        <v>7.6999999999999999E-2</v>
      </c>
      <c r="V60" s="143" t="s">
        <v>75</v>
      </c>
      <c r="W60" s="34">
        <v>5.6000000000000001E-2</v>
      </c>
      <c r="X60" s="143" t="s">
        <v>75</v>
      </c>
      <c r="Y60" s="34">
        <v>0.13900000000000001</v>
      </c>
      <c r="Z60" s="143" t="s">
        <v>75</v>
      </c>
      <c r="AA60" s="34">
        <v>0.192</v>
      </c>
    </row>
    <row r="61" spans="1:27" x14ac:dyDescent="0.25">
      <c r="A61" s="33"/>
      <c r="B61" s="143" t="s">
        <v>76</v>
      </c>
      <c r="C61" s="34">
        <v>0.11799999999999999</v>
      </c>
      <c r="D61" s="143" t="s">
        <v>76</v>
      </c>
      <c r="E61" s="145">
        <v>0.111</v>
      </c>
      <c r="F61" s="143" t="s">
        <v>76</v>
      </c>
      <c r="G61" s="34">
        <v>0.111</v>
      </c>
      <c r="H61" s="143" t="s">
        <v>76</v>
      </c>
      <c r="I61" s="146">
        <v>3.7999999999999999E-2</v>
      </c>
      <c r="J61" s="143" t="s">
        <v>76</v>
      </c>
      <c r="K61" s="34">
        <v>3.3300000000000003E-2</v>
      </c>
      <c r="L61" s="143" t="s">
        <v>76</v>
      </c>
      <c r="M61" s="34">
        <v>0</v>
      </c>
      <c r="N61" s="143" t="s">
        <v>76</v>
      </c>
      <c r="O61" s="34">
        <v>0</v>
      </c>
      <c r="P61" s="143" t="s">
        <v>76</v>
      </c>
      <c r="Q61" s="34">
        <v>5.3999999999999999E-2</v>
      </c>
      <c r="R61" s="143" t="s">
        <v>76</v>
      </c>
      <c r="S61" s="146">
        <v>0</v>
      </c>
      <c r="T61" s="143" t="s">
        <v>76</v>
      </c>
      <c r="U61" s="147">
        <v>0.115</v>
      </c>
      <c r="V61" s="143" t="s">
        <v>76</v>
      </c>
      <c r="W61" s="34">
        <v>0.19400000000000001</v>
      </c>
      <c r="X61" s="143" t="s">
        <v>76</v>
      </c>
      <c r="Y61" s="34">
        <v>0.2</v>
      </c>
      <c r="Z61" s="143" t="s">
        <v>76</v>
      </c>
      <c r="AA61" s="34">
        <v>0.23100000000000001</v>
      </c>
    </row>
    <row r="62" spans="1:27" x14ac:dyDescent="0.25">
      <c r="P62" s="182" t="s">
        <v>236</v>
      </c>
      <c r="Q62" s="183"/>
      <c r="T62" s="2"/>
      <c r="U62" s="2"/>
      <c r="V62" s="2"/>
      <c r="W62" s="2"/>
      <c r="X62" s="2"/>
      <c r="Y62" s="2"/>
      <c r="Z62" s="2"/>
      <c r="AA62" s="2"/>
    </row>
    <row r="63" spans="1:27" x14ac:dyDescent="0.25">
      <c r="P63" s="180" t="s">
        <v>235</v>
      </c>
      <c r="Q63" s="181"/>
      <c r="R63" s="176" t="s">
        <v>255</v>
      </c>
      <c r="S63" s="180"/>
      <c r="T63" s="2" t="s">
        <v>262</v>
      </c>
      <c r="U63" s="2"/>
      <c r="V63" s="176" t="s">
        <v>288</v>
      </c>
      <c r="W63" s="176"/>
      <c r="X63" s="176" t="s">
        <v>304</v>
      </c>
      <c r="Y63" s="176"/>
      <c r="Z63" s="176" t="s">
        <v>384</v>
      </c>
      <c r="AA63" s="176"/>
    </row>
    <row r="64" spans="1:27" x14ac:dyDescent="0.25">
      <c r="P64" s="17" t="s">
        <v>71</v>
      </c>
      <c r="Q64" s="42">
        <v>212</v>
      </c>
      <c r="R64" s="17" t="s">
        <v>71</v>
      </c>
      <c r="S64" s="19">
        <v>202.5</v>
      </c>
      <c r="T64" s="17" t="s">
        <v>71</v>
      </c>
      <c r="U64" s="17">
        <v>201</v>
      </c>
      <c r="V64" s="17" t="s">
        <v>71</v>
      </c>
      <c r="W64" s="42">
        <v>212.86</v>
      </c>
      <c r="X64" s="17" t="s">
        <v>71</v>
      </c>
      <c r="Y64" s="42">
        <v>216.67</v>
      </c>
      <c r="Z64" s="17" t="s">
        <v>71</v>
      </c>
      <c r="AA64" s="42">
        <v>207.75</v>
      </c>
    </row>
    <row r="65" spans="15:27" x14ac:dyDescent="0.25">
      <c r="P65" s="20" t="s">
        <v>72</v>
      </c>
      <c r="Q65" s="42">
        <v>207.2</v>
      </c>
      <c r="R65" s="17" t="s">
        <v>72</v>
      </c>
      <c r="S65" s="19">
        <v>209.75</v>
      </c>
      <c r="T65" s="17" t="s">
        <v>72</v>
      </c>
      <c r="U65" s="17">
        <v>213.83</v>
      </c>
      <c r="V65" s="17" t="s">
        <v>72</v>
      </c>
      <c r="W65" s="17">
        <v>220.71</v>
      </c>
      <c r="X65" s="17" t="s">
        <v>72</v>
      </c>
      <c r="Y65" s="17">
        <v>219.08</v>
      </c>
      <c r="Z65" s="17" t="s">
        <v>72</v>
      </c>
      <c r="AA65" s="17">
        <v>215.55</v>
      </c>
    </row>
    <row r="66" spans="15:27" x14ac:dyDescent="0.25">
      <c r="P66" s="20" t="s">
        <v>73</v>
      </c>
      <c r="Q66" s="42">
        <v>215</v>
      </c>
      <c r="R66" s="17" t="s">
        <v>73</v>
      </c>
      <c r="S66" s="19">
        <v>209.4</v>
      </c>
      <c r="T66" s="17" t="s">
        <v>73</v>
      </c>
      <c r="U66" s="17">
        <v>209.17</v>
      </c>
      <c r="V66" s="17" t="s">
        <v>73</v>
      </c>
      <c r="W66" s="17">
        <v>212.86</v>
      </c>
      <c r="X66" s="17" t="s">
        <v>73</v>
      </c>
      <c r="Y66" s="17">
        <v>213.09</v>
      </c>
      <c r="Z66" s="17" t="s">
        <v>73</v>
      </c>
      <c r="AA66" s="17">
        <v>208.87</v>
      </c>
    </row>
    <row r="67" spans="15:27" x14ac:dyDescent="0.25">
      <c r="O67" t="s">
        <v>71</v>
      </c>
      <c r="P67" s="21" t="s">
        <v>74</v>
      </c>
      <c r="Q67" s="26">
        <v>0.4</v>
      </c>
      <c r="R67" s="21" t="s">
        <v>74</v>
      </c>
      <c r="S67" s="118">
        <v>0</v>
      </c>
      <c r="T67" s="21" t="s">
        <v>74</v>
      </c>
      <c r="U67" s="27">
        <v>9.0999999999999998E-2</v>
      </c>
      <c r="V67" s="21" t="s">
        <v>74</v>
      </c>
      <c r="W67" s="26">
        <v>0.25</v>
      </c>
      <c r="X67" s="21" t="s">
        <v>74</v>
      </c>
      <c r="Y67" s="26">
        <v>0.41699999999999998</v>
      </c>
      <c r="Z67" s="21" t="s">
        <v>74</v>
      </c>
      <c r="AA67" s="26">
        <v>0.16700000000000001</v>
      </c>
    </row>
    <row r="68" spans="15:27" x14ac:dyDescent="0.25">
      <c r="P68" s="21" t="s">
        <v>75</v>
      </c>
      <c r="Q68" s="26">
        <v>0.2</v>
      </c>
      <c r="R68" s="21" t="s">
        <v>75</v>
      </c>
      <c r="S68" s="118">
        <v>0</v>
      </c>
      <c r="T68" s="21" t="s">
        <v>75</v>
      </c>
      <c r="U68" s="27">
        <v>0.182</v>
      </c>
      <c r="V68" s="21" t="s">
        <v>75</v>
      </c>
      <c r="W68" s="26">
        <v>0.25</v>
      </c>
      <c r="X68" s="21" t="s">
        <v>75</v>
      </c>
      <c r="Y68" s="26">
        <v>0</v>
      </c>
      <c r="Z68" s="21" t="s">
        <v>75</v>
      </c>
      <c r="AA68" s="26">
        <v>0.16700000000000001</v>
      </c>
    </row>
    <row r="69" spans="15:27" x14ac:dyDescent="0.25">
      <c r="P69" s="21" t="s">
        <v>76</v>
      </c>
      <c r="Q69" s="26">
        <v>0.4</v>
      </c>
      <c r="R69" s="21" t="s">
        <v>76</v>
      </c>
      <c r="S69" s="118">
        <v>1</v>
      </c>
      <c r="T69" s="21" t="s">
        <v>76</v>
      </c>
      <c r="U69" s="27">
        <v>0.72699999999999998</v>
      </c>
      <c r="V69" s="21" t="s">
        <v>76</v>
      </c>
      <c r="W69" s="26">
        <v>0.66700000000000004</v>
      </c>
      <c r="X69" s="21" t="s">
        <v>76</v>
      </c>
      <c r="Y69" s="26">
        <v>0.58299999999999996</v>
      </c>
      <c r="Z69" s="21" t="s">
        <v>76</v>
      </c>
      <c r="AA69" s="26">
        <v>0.66700000000000004</v>
      </c>
    </row>
    <row r="70" spans="15:27" x14ac:dyDescent="0.25">
      <c r="O70" t="s">
        <v>77</v>
      </c>
      <c r="P70" s="28" t="s">
        <v>74</v>
      </c>
      <c r="Q70" s="31">
        <v>0</v>
      </c>
      <c r="R70" s="28" t="s">
        <v>74</v>
      </c>
      <c r="S70" s="105">
        <v>0.25</v>
      </c>
      <c r="T70" s="28" t="s">
        <v>74</v>
      </c>
      <c r="U70" s="119">
        <v>0.5</v>
      </c>
      <c r="V70" s="28" t="s">
        <v>74</v>
      </c>
      <c r="W70" s="31">
        <v>0.42899999999999999</v>
      </c>
      <c r="X70" s="28" t="s">
        <v>74</v>
      </c>
      <c r="Y70" s="31">
        <v>0.33</v>
      </c>
      <c r="Z70" s="28" t="s">
        <v>74</v>
      </c>
      <c r="AA70" s="31">
        <v>0.27300000000000002</v>
      </c>
    </row>
    <row r="71" spans="15:27" x14ac:dyDescent="0.25">
      <c r="P71" s="28" t="s">
        <v>75</v>
      </c>
      <c r="Q71" s="31">
        <v>0</v>
      </c>
      <c r="R71" s="28" t="s">
        <v>75</v>
      </c>
      <c r="S71" s="105">
        <v>0.25</v>
      </c>
      <c r="T71" s="28" t="s">
        <v>75</v>
      </c>
      <c r="U71" s="119">
        <v>8.3000000000000004E-2</v>
      </c>
      <c r="V71" s="28" t="s">
        <v>75</v>
      </c>
      <c r="W71" s="31">
        <v>0.214</v>
      </c>
      <c r="X71" s="28" t="s">
        <v>75</v>
      </c>
      <c r="Y71" s="31">
        <v>0.33</v>
      </c>
      <c r="Z71" s="28" t="s">
        <v>75</v>
      </c>
      <c r="AA71" s="31">
        <v>0.27600000000000002</v>
      </c>
    </row>
    <row r="72" spans="15:27" x14ac:dyDescent="0.25">
      <c r="P72" s="28" t="s">
        <v>76</v>
      </c>
      <c r="Q72" s="31">
        <v>1</v>
      </c>
      <c r="R72" s="28" t="s">
        <v>76</v>
      </c>
      <c r="S72" s="105">
        <v>0.5</v>
      </c>
      <c r="T72" s="28" t="s">
        <v>76</v>
      </c>
      <c r="U72" s="119">
        <v>0.41699999999999998</v>
      </c>
      <c r="V72" s="28" t="s">
        <v>76</v>
      </c>
      <c r="W72" s="31">
        <v>0.35699999999999998</v>
      </c>
      <c r="X72" s="28" t="s">
        <v>76</v>
      </c>
      <c r="Y72" s="31">
        <v>0.33</v>
      </c>
      <c r="Z72" s="28" t="s">
        <v>76</v>
      </c>
      <c r="AA72" s="31">
        <v>0.45500000000000002</v>
      </c>
    </row>
    <row r="73" spans="15:27" x14ac:dyDescent="0.25">
      <c r="O73" t="s">
        <v>73</v>
      </c>
      <c r="P73" s="143" t="s">
        <v>74</v>
      </c>
      <c r="Q73" s="34">
        <v>0.8</v>
      </c>
      <c r="R73" s="143" t="s">
        <v>74</v>
      </c>
      <c r="S73" s="148">
        <v>0.8</v>
      </c>
      <c r="T73" s="143" t="s">
        <v>74</v>
      </c>
      <c r="U73" s="147">
        <v>0.75</v>
      </c>
      <c r="V73" s="143" t="s">
        <v>74</v>
      </c>
      <c r="W73" s="34">
        <v>0.57099999999999995</v>
      </c>
      <c r="X73" s="143" t="s">
        <v>74</v>
      </c>
      <c r="Y73" s="34">
        <v>0.63600000000000001</v>
      </c>
      <c r="Z73" s="143" t="s">
        <v>74</v>
      </c>
      <c r="AA73" s="34">
        <v>0.45500000000000002</v>
      </c>
    </row>
    <row r="74" spans="15:27" x14ac:dyDescent="0.25">
      <c r="P74" s="143" t="s">
        <v>75</v>
      </c>
      <c r="Q74" s="34">
        <v>0.2</v>
      </c>
      <c r="R74" s="143" t="s">
        <v>75</v>
      </c>
      <c r="S74" s="148">
        <v>0</v>
      </c>
      <c r="T74" s="143" t="s">
        <v>75</v>
      </c>
      <c r="U74" s="147">
        <v>8.3000000000000004E-2</v>
      </c>
      <c r="V74" s="143" t="s">
        <v>75</v>
      </c>
      <c r="W74" s="34">
        <v>0.14299999999999999</v>
      </c>
      <c r="X74" s="143" t="s">
        <v>75</v>
      </c>
      <c r="Y74" s="34">
        <v>0</v>
      </c>
      <c r="Z74" s="143" t="s">
        <v>75</v>
      </c>
      <c r="AA74" s="34">
        <v>0</v>
      </c>
    </row>
    <row r="75" spans="15:27" x14ac:dyDescent="0.25">
      <c r="P75" s="143" t="s">
        <v>76</v>
      </c>
      <c r="Q75" s="34">
        <v>0</v>
      </c>
      <c r="R75" s="143" t="s">
        <v>76</v>
      </c>
      <c r="S75" s="148">
        <v>0.2</v>
      </c>
      <c r="T75" s="143" t="s">
        <v>76</v>
      </c>
      <c r="U75" s="147">
        <v>0.16700000000000001</v>
      </c>
      <c r="V75" s="143" t="s">
        <v>76</v>
      </c>
      <c r="W75" s="34">
        <v>0.28599999999999998</v>
      </c>
      <c r="X75" s="143" t="s">
        <v>76</v>
      </c>
      <c r="Y75" s="34">
        <v>0.36399999999999999</v>
      </c>
      <c r="Z75" s="143" t="s">
        <v>76</v>
      </c>
      <c r="AA75" s="34">
        <v>0.54500000000000004</v>
      </c>
    </row>
    <row r="76" spans="15:27" x14ac:dyDescent="0.25">
      <c r="P76" s="182" t="s">
        <v>237</v>
      </c>
      <c r="Q76" s="183"/>
      <c r="R76" s="2"/>
      <c r="S76" s="106"/>
      <c r="T76" s="2"/>
      <c r="U76" s="2"/>
      <c r="V76" s="2"/>
      <c r="W76" s="2"/>
      <c r="X76" s="2"/>
      <c r="Y76" s="2"/>
      <c r="Z76" s="2"/>
      <c r="AA76" s="2"/>
    </row>
    <row r="77" spans="15:27" x14ac:dyDescent="0.25">
      <c r="P77" s="176" t="s">
        <v>235</v>
      </c>
      <c r="Q77" s="176"/>
      <c r="R77" s="176" t="s">
        <v>255</v>
      </c>
      <c r="S77" s="180"/>
      <c r="T77" s="2" t="s">
        <v>262</v>
      </c>
      <c r="U77" s="2"/>
      <c r="V77" s="176" t="s">
        <v>288</v>
      </c>
      <c r="W77" s="176"/>
      <c r="X77" s="176" t="s">
        <v>304</v>
      </c>
      <c r="Y77" s="176"/>
      <c r="Z77" s="176" t="s">
        <v>384</v>
      </c>
      <c r="AA77" s="176"/>
    </row>
    <row r="78" spans="15:27" x14ac:dyDescent="0.25">
      <c r="P78" s="17" t="s">
        <v>71</v>
      </c>
      <c r="Q78" s="42">
        <v>206.72</v>
      </c>
      <c r="R78" s="17" t="s">
        <v>71</v>
      </c>
      <c r="S78" s="19">
        <v>205.25</v>
      </c>
      <c r="T78" s="17" t="s">
        <v>71</v>
      </c>
      <c r="U78" s="17" t="s">
        <v>263</v>
      </c>
      <c r="V78" s="17" t="s">
        <v>71</v>
      </c>
      <c r="W78" s="42">
        <v>197.5</v>
      </c>
      <c r="X78" s="17" t="s">
        <v>71</v>
      </c>
      <c r="Y78" s="42">
        <v>194</v>
      </c>
      <c r="Z78" s="17" t="s">
        <v>71</v>
      </c>
      <c r="AA78" s="42" t="s">
        <v>385</v>
      </c>
    </row>
    <row r="79" spans="15:27" x14ac:dyDescent="0.25">
      <c r="P79" s="20" t="s">
        <v>72</v>
      </c>
      <c r="Q79" s="42">
        <v>210.91</v>
      </c>
      <c r="R79" s="17" t="s">
        <v>72</v>
      </c>
      <c r="S79" s="19">
        <v>209.56</v>
      </c>
      <c r="T79" s="17" t="s">
        <v>72</v>
      </c>
      <c r="U79" s="17" t="s">
        <v>263</v>
      </c>
      <c r="V79" s="17" t="s">
        <v>72</v>
      </c>
      <c r="W79" s="17">
        <v>204</v>
      </c>
      <c r="X79" s="17" t="s">
        <v>72</v>
      </c>
      <c r="Y79" s="17">
        <v>206</v>
      </c>
      <c r="Z79" s="17" t="s">
        <v>72</v>
      </c>
      <c r="AA79" s="42" t="s">
        <v>385</v>
      </c>
    </row>
    <row r="80" spans="15:27" x14ac:dyDescent="0.25">
      <c r="P80" s="20" t="s">
        <v>73</v>
      </c>
      <c r="Q80" s="42">
        <v>203.11</v>
      </c>
      <c r="R80" s="17" t="s">
        <v>73</v>
      </c>
      <c r="S80" s="19">
        <v>213</v>
      </c>
      <c r="T80" s="17" t="s">
        <v>73</v>
      </c>
      <c r="U80" s="17" t="s">
        <v>263</v>
      </c>
      <c r="V80" s="17" t="s">
        <v>73</v>
      </c>
      <c r="W80" s="17">
        <v>199.5</v>
      </c>
      <c r="X80" s="17" t="s">
        <v>73</v>
      </c>
      <c r="Y80" s="17">
        <v>194</v>
      </c>
      <c r="Z80" s="17" t="s">
        <v>73</v>
      </c>
      <c r="AA80" s="42" t="s">
        <v>385</v>
      </c>
    </row>
    <row r="81" spans="15:27" x14ac:dyDescent="0.25">
      <c r="O81" t="s">
        <v>71</v>
      </c>
      <c r="P81" s="21" t="s">
        <v>74</v>
      </c>
      <c r="Q81" s="26">
        <v>0.33</v>
      </c>
      <c r="R81" s="21" t="s">
        <v>74</v>
      </c>
      <c r="S81" s="24">
        <v>0.375</v>
      </c>
      <c r="T81" s="21" t="s">
        <v>74</v>
      </c>
      <c r="U81" s="27">
        <v>0.5</v>
      </c>
      <c r="V81" s="21" t="s">
        <v>74</v>
      </c>
      <c r="W81" s="26">
        <v>0</v>
      </c>
      <c r="X81" s="21" t="s">
        <v>74</v>
      </c>
      <c r="Y81" s="26">
        <v>0</v>
      </c>
      <c r="Z81" s="21" t="s">
        <v>74</v>
      </c>
      <c r="AA81" s="142" t="s">
        <v>385</v>
      </c>
    </row>
    <row r="82" spans="15:27" x14ac:dyDescent="0.25">
      <c r="P82" s="21" t="s">
        <v>75</v>
      </c>
      <c r="Q82" s="26">
        <v>0.11</v>
      </c>
      <c r="R82" s="21" t="s">
        <v>75</v>
      </c>
      <c r="S82" s="24">
        <v>0</v>
      </c>
      <c r="T82" s="21" t="s">
        <v>75</v>
      </c>
      <c r="U82" s="27">
        <v>0</v>
      </c>
      <c r="V82" s="21" t="s">
        <v>75</v>
      </c>
      <c r="W82" s="26">
        <v>0</v>
      </c>
      <c r="X82" s="21" t="s">
        <v>75</v>
      </c>
      <c r="Y82" s="26">
        <v>0</v>
      </c>
      <c r="Z82" s="21" t="s">
        <v>75</v>
      </c>
      <c r="AA82" s="142" t="s">
        <v>385</v>
      </c>
    </row>
    <row r="83" spans="15:27" x14ac:dyDescent="0.25">
      <c r="P83" s="21" t="s">
        <v>76</v>
      </c>
      <c r="Q83" s="26">
        <v>0.56000000000000005</v>
      </c>
      <c r="R83" s="21" t="s">
        <v>76</v>
      </c>
      <c r="S83" s="24">
        <v>0.625</v>
      </c>
      <c r="T83" s="21" t="s">
        <v>76</v>
      </c>
      <c r="U83" s="27">
        <v>0.5</v>
      </c>
      <c r="V83" s="21" t="s">
        <v>76</v>
      </c>
      <c r="W83" s="26">
        <v>1</v>
      </c>
      <c r="X83" s="21" t="s">
        <v>76</v>
      </c>
      <c r="Y83" s="26">
        <v>1</v>
      </c>
      <c r="Z83" s="21" t="s">
        <v>76</v>
      </c>
      <c r="AA83" s="142" t="s">
        <v>385</v>
      </c>
    </row>
    <row r="84" spans="15:27" x14ac:dyDescent="0.25">
      <c r="O84" t="s">
        <v>77</v>
      </c>
      <c r="P84" s="28" t="s">
        <v>74</v>
      </c>
      <c r="Q84" s="31">
        <v>0.33</v>
      </c>
      <c r="R84" s="28" t="s">
        <v>74</v>
      </c>
      <c r="S84" s="32">
        <v>0.222</v>
      </c>
      <c r="T84" s="28" t="s">
        <v>74</v>
      </c>
      <c r="U84" s="119">
        <v>0.5</v>
      </c>
      <c r="V84" s="28" t="s">
        <v>74</v>
      </c>
      <c r="W84" s="31">
        <v>0</v>
      </c>
      <c r="X84" s="28" t="s">
        <v>74</v>
      </c>
      <c r="Y84" s="31">
        <v>0</v>
      </c>
      <c r="Z84" s="28" t="s">
        <v>74</v>
      </c>
      <c r="AA84" s="141" t="s">
        <v>385</v>
      </c>
    </row>
    <row r="85" spans="15:27" x14ac:dyDescent="0.25">
      <c r="P85" s="28" t="s">
        <v>75</v>
      </c>
      <c r="Q85" s="31">
        <v>0.33</v>
      </c>
      <c r="R85" s="28" t="s">
        <v>75</v>
      </c>
      <c r="S85" s="32">
        <v>0.111</v>
      </c>
      <c r="T85" s="28" t="s">
        <v>75</v>
      </c>
      <c r="U85" s="119">
        <v>0</v>
      </c>
      <c r="V85" s="28" t="s">
        <v>75</v>
      </c>
      <c r="W85" s="31">
        <v>0</v>
      </c>
      <c r="X85" s="28" t="s">
        <v>75</v>
      </c>
      <c r="Y85" s="31">
        <v>0</v>
      </c>
      <c r="Z85" s="28" t="s">
        <v>75</v>
      </c>
      <c r="AA85" s="141" t="s">
        <v>385</v>
      </c>
    </row>
    <row r="86" spans="15:27" x14ac:dyDescent="0.25">
      <c r="P86" s="28" t="s">
        <v>76</v>
      </c>
      <c r="Q86" s="31">
        <v>0.56000000000000005</v>
      </c>
      <c r="R86" s="28" t="s">
        <v>76</v>
      </c>
      <c r="S86" s="32">
        <v>0.66700000000000004</v>
      </c>
      <c r="T86" s="28" t="s">
        <v>76</v>
      </c>
      <c r="U86" s="119">
        <v>0.5</v>
      </c>
      <c r="V86" s="28" t="s">
        <v>76</v>
      </c>
      <c r="W86" s="31">
        <v>1</v>
      </c>
      <c r="X86" s="28" t="s">
        <v>76</v>
      </c>
      <c r="Y86" s="31">
        <v>1</v>
      </c>
      <c r="Z86" s="28" t="s">
        <v>76</v>
      </c>
      <c r="AA86" s="141" t="s">
        <v>385</v>
      </c>
    </row>
    <row r="87" spans="15:27" x14ac:dyDescent="0.25">
      <c r="O87" t="s">
        <v>73</v>
      </c>
      <c r="P87" s="143" t="s">
        <v>74</v>
      </c>
      <c r="Q87" s="34">
        <v>0.44</v>
      </c>
      <c r="R87" s="143" t="s">
        <v>74</v>
      </c>
      <c r="S87" s="146">
        <v>0.75</v>
      </c>
      <c r="T87" s="143" t="s">
        <v>74</v>
      </c>
      <c r="U87" s="147">
        <v>0.5</v>
      </c>
      <c r="V87" s="143" t="s">
        <v>74</v>
      </c>
      <c r="W87" s="34">
        <v>0</v>
      </c>
      <c r="X87" s="143" t="s">
        <v>74</v>
      </c>
      <c r="Y87" s="34">
        <v>0</v>
      </c>
      <c r="Z87" s="143" t="s">
        <v>74</v>
      </c>
      <c r="AA87" s="149" t="s">
        <v>385</v>
      </c>
    </row>
    <row r="88" spans="15:27" x14ac:dyDescent="0.25">
      <c r="P88" s="143" t="s">
        <v>75</v>
      </c>
      <c r="Q88" s="34">
        <v>0.11</v>
      </c>
      <c r="R88" s="143" t="s">
        <v>75</v>
      </c>
      <c r="S88" s="146">
        <v>0.125</v>
      </c>
      <c r="T88" s="143" t="s">
        <v>75</v>
      </c>
      <c r="U88" s="147">
        <v>0</v>
      </c>
      <c r="V88" s="143" t="s">
        <v>75</v>
      </c>
      <c r="W88" s="34">
        <v>0</v>
      </c>
      <c r="X88" s="143" t="s">
        <v>75</v>
      </c>
      <c r="Y88" s="34">
        <v>0</v>
      </c>
      <c r="Z88" s="143" t="s">
        <v>75</v>
      </c>
      <c r="AA88" s="149" t="s">
        <v>385</v>
      </c>
    </row>
    <row r="89" spans="15:27" x14ac:dyDescent="0.25">
      <c r="P89" s="143" t="s">
        <v>76</v>
      </c>
      <c r="Q89" s="34">
        <v>0.44</v>
      </c>
      <c r="R89" s="143" t="s">
        <v>76</v>
      </c>
      <c r="S89" s="146">
        <v>0.125</v>
      </c>
      <c r="T89" s="143" t="s">
        <v>76</v>
      </c>
      <c r="U89" s="147">
        <v>0.5</v>
      </c>
      <c r="V89" s="143" t="s">
        <v>76</v>
      </c>
      <c r="W89" s="34">
        <v>1</v>
      </c>
      <c r="X89" s="143" t="s">
        <v>76</v>
      </c>
      <c r="Y89" s="34">
        <v>1</v>
      </c>
      <c r="Z89" s="143" t="s">
        <v>76</v>
      </c>
      <c r="AA89" s="149" t="s">
        <v>385</v>
      </c>
    </row>
  </sheetData>
  <mergeCells count="60">
    <mergeCell ref="V77:W77"/>
    <mergeCell ref="V1:W1"/>
    <mergeCell ref="V20:W20"/>
    <mergeCell ref="V35:W35"/>
    <mergeCell ref="V49:W49"/>
    <mergeCell ref="V63:W63"/>
    <mergeCell ref="R77:S77"/>
    <mergeCell ref="R1:S1"/>
    <mergeCell ref="R20:S20"/>
    <mergeCell ref="R35:S35"/>
    <mergeCell ref="R49:S49"/>
    <mergeCell ref="R63:S63"/>
    <mergeCell ref="P63:Q63"/>
    <mergeCell ref="P76:Q76"/>
    <mergeCell ref="P77:Q77"/>
    <mergeCell ref="P1:Q1"/>
    <mergeCell ref="P20:Q20"/>
    <mergeCell ref="P35:Q35"/>
    <mergeCell ref="P49:Q49"/>
    <mergeCell ref="P62:Q62"/>
    <mergeCell ref="N35:O35"/>
    <mergeCell ref="B49:C49"/>
    <mergeCell ref="D49:E49"/>
    <mergeCell ref="F49:G49"/>
    <mergeCell ref="H49:I49"/>
    <mergeCell ref="J49:K49"/>
    <mergeCell ref="L49:M49"/>
    <mergeCell ref="N49:O49"/>
    <mergeCell ref="B35:C35"/>
    <mergeCell ref="D35:E35"/>
    <mergeCell ref="F35:G35"/>
    <mergeCell ref="H35:I35"/>
    <mergeCell ref="J35:K35"/>
    <mergeCell ref="L35:M35"/>
    <mergeCell ref="X1:Y1"/>
    <mergeCell ref="N1:O1"/>
    <mergeCell ref="B20:C20"/>
    <mergeCell ref="D20:E20"/>
    <mergeCell ref="F20:G20"/>
    <mergeCell ref="H20:I20"/>
    <mergeCell ref="J20:K20"/>
    <mergeCell ref="L20:M20"/>
    <mergeCell ref="N20:O20"/>
    <mergeCell ref="B1:C1"/>
    <mergeCell ref="D1:E1"/>
    <mergeCell ref="F1:G1"/>
    <mergeCell ref="H1:I1"/>
    <mergeCell ref="J1:K1"/>
    <mergeCell ref="L1:M1"/>
    <mergeCell ref="X49:Y49"/>
    <mergeCell ref="X63:Y63"/>
    <mergeCell ref="X77:Y77"/>
    <mergeCell ref="X20:Y20"/>
    <mergeCell ref="X35:Y35"/>
    <mergeCell ref="Z63:AA63"/>
    <mergeCell ref="Z77:AA77"/>
    <mergeCell ref="Z1:AA1"/>
    <mergeCell ref="Z20:AA20"/>
    <mergeCell ref="Z35:AA35"/>
    <mergeCell ref="Z49:AA49"/>
  </mergeCells>
  <pageMargins left="0.7" right="0.7" top="0.75" bottom="0.75" header="0.3" footer="0.3"/>
  <pageSetup scale="5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8"/>
  <sheetViews>
    <sheetView workbookViewId="0">
      <selection activeCell="C8" sqref="C8"/>
    </sheetView>
  </sheetViews>
  <sheetFormatPr defaultRowHeight="15" x14ac:dyDescent="0.25"/>
  <sheetData>
    <row r="1" spans="1:14" x14ac:dyDescent="0.25">
      <c r="A1" s="184" t="s">
        <v>82</v>
      </c>
      <c r="B1" s="184"/>
      <c r="C1" s="184"/>
      <c r="D1" s="184"/>
      <c r="E1" s="1"/>
      <c r="F1" s="1"/>
      <c r="G1" s="184" t="s">
        <v>83</v>
      </c>
      <c r="H1" s="184"/>
      <c r="I1" s="184"/>
      <c r="J1" s="184" t="s">
        <v>84</v>
      </c>
      <c r="K1" s="184"/>
      <c r="M1" s="184" t="s">
        <v>411</v>
      </c>
      <c r="N1" s="184"/>
    </row>
    <row r="2" spans="1:14" x14ac:dyDescent="0.25">
      <c r="A2" t="s">
        <v>257</v>
      </c>
      <c r="B2" t="s">
        <v>258</v>
      </c>
      <c r="C2" t="s">
        <v>259</v>
      </c>
      <c r="D2" s="14" t="s">
        <v>260</v>
      </c>
      <c r="E2" s="14" t="s">
        <v>261</v>
      </c>
      <c r="F2" s="14"/>
      <c r="G2" t="s">
        <v>85</v>
      </c>
      <c r="H2" t="s">
        <v>86</v>
      </c>
      <c r="J2" t="s">
        <v>85</v>
      </c>
      <c r="K2" t="s">
        <v>86</v>
      </c>
      <c r="M2" t="s">
        <v>85</v>
      </c>
      <c r="N2" t="s">
        <v>412</v>
      </c>
    </row>
    <row r="3" spans="1:14" x14ac:dyDescent="0.25">
      <c r="A3">
        <v>2021</v>
      </c>
      <c r="B3" s="45">
        <v>0.52</v>
      </c>
      <c r="C3" s="115">
        <v>0.54169999999999996</v>
      </c>
      <c r="D3" s="46">
        <v>0.52</v>
      </c>
      <c r="E3" s="46">
        <v>0.56000000000000005</v>
      </c>
      <c r="G3">
        <v>2021</v>
      </c>
      <c r="H3" s="46">
        <v>0.72</v>
      </c>
      <c r="J3">
        <v>2021</v>
      </c>
      <c r="K3" s="115">
        <v>0.26829999999999998</v>
      </c>
      <c r="L3" s="47"/>
      <c r="M3">
        <v>2021</v>
      </c>
      <c r="N3">
        <v>1.66</v>
      </c>
    </row>
    <row r="4" spans="1:14" x14ac:dyDescent="0.25">
      <c r="A4">
        <v>2022</v>
      </c>
      <c r="B4" s="45">
        <v>0.44829999999999998</v>
      </c>
      <c r="C4" s="45">
        <v>0.5</v>
      </c>
      <c r="D4" s="45">
        <v>0.57140000000000002</v>
      </c>
      <c r="E4" s="115">
        <v>0.60709999999999997</v>
      </c>
      <c r="F4" s="45"/>
      <c r="G4">
        <v>2022</v>
      </c>
      <c r="H4" s="46">
        <v>0.93</v>
      </c>
      <c r="J4">
        <v>2022</v>
      </c>
      <c r="K4" s="115">
        <v>0.18</v>
      </c>
      <c r="M4">
        <v>2022</v>
      </c>
      <c r="N4">
        <v>1.99</v>
      </c>
    </row>
    <row r="5" spans="1:14" x14ac:dyDescent="0.25">
      <c r="A5">
        <v>2023</v>
      </c>
      <c r="B5" s="98">
        <v>0.53849999999999998</v>
      </c>
      <c r="C5" s="98">
        <v>0.61539999999999995</v>
      </c>
      <c r="D5" s="98">
        <v>0.69230000000000003</v>
      </c>
      <c r="E5" s="44"/>
      <c r="F5" s="44"/>
      <c r="G5">
        <v>2023</v>
      </c>
      <c r="H5" s="44">
        <v>0.95</v>
      </c>
      <c r="J5">
        <v>2023</v>
      </c>
      <c r="K5" s="98">
        <v>0.14130000000000001</v>
      </c>
      <c r="M5">
        <v>2023</v>
      </c>
      <c r="N5">
        <v>2.0499999999999998</v>
      </c>
    </row>
    <row r="6" spans="1:14" x14ac:dyDescent="0.25">
      <c r="A6">
        <v>2024</v>
      </c>
      <c r="B6" s="43">
        <v>0.5625</v>
      </c>
      <c r="C6" s="98">
        <v>0.6875</v>
      </c>
      <c r="G6">
        <v>2024</v>
      </c>
      <c r="H6" s="3">
        <v>0.97</v>
      </c>
      <c r="J6">
        <v>2024</v>
      </c>
      <c r="K6" s="98">
        <v>5.4300000000000001E-2</v>
      </c>
      <c r="M6">
        <v>2024</v>
      </c>
      <c r="N6">
        <v>2.09</v>
      </c>
    </row>
    <row r="7" spans="1:14" x14ac:dyDescent="0.25">
      <c r="A7">
        <v>2025</v>
      </c>
      <c r="B7" s="98">
        <v>0.7</v>
      </c>
      <c r="G7">
        <v>2025</v>
      </c>
      <c r="J7">
        <v>2025</v>
      </c>
      <c r="K7" s="43">
        <v>7.6100000000000001E-2</v>
      </c>
      <c r="M7">
        <v>2025</v>
      </c>
      <c r="N7">
        <v>2.48</v>
      </c>
    </row>
    <row r="8" spans="1:14" x14ac:dyDescent="0.25">
      <c r="B8" s="44"/>
    </row>
  </sheetData>
  <mergeCells count="4">
    <mergeCell ref="A1:D1"/>
    <mergeCell ref="G1:I1"/>
    <mergeCell ref="J1:K1"/>
    <mergeCell ref="M1:N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Eleot Longitudinal</vt:lpstr>
      <vt:lpstr>FY25 ELEOT PrePost</vt:lpstr>
      <vt:lpstr>FY25 Teacher Prof Practice</vt:lpstr>
      <vt:lpstr>FY25 Student Achievement</vt:lpstr>
      <vt:lpstr>Longitud. Student Achievement</vt:lpstr>
      <vt:lpstr>FY25Culture and Climate</vt:lpstr>
      <vt:lpstr>Longitud Culture and climate</vt:lpstr>
      <vt:lpstr>NWEA</vt:lpstr>
      <vt:lpstr>Accountability</vt:lpstr>
      <vt:lpstr>ACT Data</vt:lpstr>
      <vt:lpstr>ACT ASPIRE Data</vt:lpstr>
      <vt:lpstr>Staff Survey</vt:lpstr>
      <vt:lpstr>Parent and Student Surveys</vt:lpstr>
      <vt:lpstr>CNA Input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Moore</dc:creator>
  <cp:lastModifiedBy>Amy Carlyle</cp:lastModifiedBy>
  <cp:lastPrinted>2025-04-08T15:14:26Z</cp:lastPrinted>
  <dcterms:created xsi:type="dcterms:W3CDTF">2023-07-19T20:03:57Z</dcterms:created>
  <dcterms:modified xsi:type="dcterms:W3CDTF">2025-06-24T16:00:55Z</dcterms:modified>
</cp:coreProperties>
</file>