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/xl/workbook.xml"/><Relationship Id="rId2" Type="http://schemas.openxmlformats.org/package/2006/relationships/metadata/core-properties" Target="/docProps/core.xml"/><Relationship Id="rId3" Type="http://schemas.openxmlformats.org/officeDocument/2006/relationships/extended-properties" Target="/docProps/app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5"/>
  </bookViews>
  <sheets>
    <sheet r:id="rId1" name="Dashboard Summary" sheetId="1"/>
    <sheet r:id="rId2" name="Inputs &amp; Assumptions" sheetId="2"/>
    <sheet r:id="rId3" name="R&amp;D Investment Costs" sheetId="3"/>
    <sheet r:id="rId4" name="Revenue" sheetId="4"/>
    <sheet r:id="rId5" name="Cash Flow Model" sheetId="5"/>
    <sheet r:id="rId6" name="Financial Analysis" sheetId="6"/>
  </sheets>
  <calcPr calcId="0" iterateCount="100" iterateDelta="0.001"/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<sst xmlns="http://schemas.openxmlformats.org/spreadsheetml/2006/main" count="304" uniqueCount="304">
  <si>
    <t>R&amp;D Investment Business Case - Executive Dashboard</t>
  </si>
  <si>
    <t>Executive Summary of R&amp;D Investment Analysis with Key Financial Metrics and Risk Assessment</t>
  </si>
  <si>
    <t>KEY FINANCIAL METRICS</t>
  </si>
  <si>
    <t>INVESTMENT SUMMARY</t>
  </si>
  <si>
    <t>Net Present Value</t>
  </si>
  <si>
    <t>✓ POSITIVE</t>
  </si>
  <si>
    <t>Total Investment Required</t>
  </si>
  <si>
    <t>Internal Rate of Return</t>
  </si>
  <si>
    <t>✓ EXCEEDS WACC</t>
  </si>
  <si>
    <t>5-Year Total Costs</t>
  </si>
  <si>
    <t>Payback Period</t>
  </si>
  <si>
    <t>✓ FAST</t>
  </si>
  <si>
    <t>5-Year Total Revenue</t>
  </si>
  <si>
    <t>Risk-Adjusted NPV</t>
  </si>
  <si>
    <t>Net 5-Year Return</t>
  </si>
  <si>
    <t>SCENARIO ANALYSIS</t>
  </si>
  <si>
    <t>Scenario</t>
  </si>
  <si>
    <t>NPV</t>
  </si>
  <si>
    <t>IRR</t>
  </si>
  <si>
    <t>Payback</t>
  </si>
  <si>
    <t>Revenue Multiple</t>
  </si>
  <si>
    <t>Cost Multiple</t>
  </si>
  <si>
    <t>Best Case</t>
  </si>
  <si>
    <t>Base Case</t>
  </si>
  <si>
    <t>Worst Case</t>
  </si>
  <si>
    <t>INVESTMENT RECOMMENDATION</t>
  </si>
  <si>
    <t>KEY RISKS</t>
  </si>
  <si>
    <t>Risk Type</t>
  </si>
  <si>
    <t>Probability</t>
  </si>
  <si>
    <t>NPV Impact</t>
  </si>
  <si>
    <t>Overall Recommendation</t>
  </si>
  <si>
    <t>ACCEPT PROJECT</t>
  </si>
  <si>
    <t>All key metrics positive</t>
  </si>
  <si>
    <t>Technical Risk</t>
  </si>
  <si>
    <t>Market Risk</t>
  </si>
  <si>
    <t>Key Decision Factors:</t>
  </si>
  <si>
    <t>Regulatory Risk</t>
  </si>
  <si>
    <t>• NPV Test:</t>
  </si>
  <si>
    <t>Accept - Creates Value</t>
  </si>
  <si>
    <t>• IRR vs WACC:</t>
  </si>
  <si>
    <t>Accept - IRR &gt; WACC</t>
  </si>
  <si>
    <t>• Risk Assessment:</t>
  </si>
  <si>
    <t>Accept - Positive after risk adjustment</t>
  </si>
  <si>
    <t>Cash Flow Analysis Chart</t>
  </si>
  <si>
    <t>Year</t>
  </si>
  <si>
    <t>Cash Flow</t>
  </si>
  <si>
    <t>Cumulative</t>
  </si>
  <si>
    <t>Scenario Comparison Chart</t>
  </si>
  <si>
    <t>NPV ($M)</t>
  </si>
  <si>
    <t>IRR (%)</t>
  </si>
  <si>
    <t>PROJECT TIMELINE SUMMARY</t>
  </si>
  <si>
    <t>Phase</t>
  </si>
  <si>
    <t>Duration</t>
  </si>
  <si>
    <t>Start Year</t>
  </si>
  <si>
    <t>Key Activities</t>
  </si>
  <si>
    <t>MODEL ASSUMPTIONS</t>
  </si>
  <si>
    <t>Research</t>
  </si>
  <si>
    <t>0</t>
  </si>
  <si>
    <t>Core R&amp;D, technology development</t>
  </si>
  <si>
    <t>Discount Rate:</t>
  </si>
  <si>
    <t>Development</t>
  </si>
  <si>
    <t>Product development, testing, IP filing</t>
  </si>
  <si>
    <t>Market Growth:</t>
  </si>
  <si>
    <t>Market Launch</t>
  </si>
  <si>
    <t>Regulatory approval, market entry</t>
  </si>
  <si>
    <t>Max Market Share:</t>
  </si>
  <si>
    <t>Revenue Generation</t>
  </si>
  <si>
    <t>Ongoing</t>
  </si>
  <si>
    <t>Full commercialization, scaling</t>
  </si>
  <si>
    <t>Analysis Period:</t>
  </si>
  <si>
    <t>R&amp;D Investment Business Case - Key Assumptions</t>
  </si>
  <si>
    <t>This sheet contains the key assumptions and parameters that drive the R&amp;D investment analysis.</t>
  </si>
  <si>
    <t>PROJECT TIMELINE</t>
  </si>
  <si>
    <t>Analysis Period (Years)</t>
  </si>
  <si>
    <t>years</t>
  </si>
  <si>
    <t>Research Phase Duration</t>
  </si>
  <si>
    <t>Development Phase Duration</t>
  </si>
  <si>
    <t>Market Launch Phase Duration</t>
  </si>
  <si>
    <t>Revenue Generation Start</t>
  </si>
  <si>
    <t>years from start</t>
  </si>
  <si>
    <t>FINANCIAL PARAMETERS</t>
  </si>
  <si>
    <t>Discount Rate (WACC)</t>
  </si>
  <si>
    <t>12%</t>
  </si>
  <si>
    <t>Tax Rate</t>
  </si>
  <si>
    <t>25%</t>
  </si>
  <si>
    <t>Inflation Rate</t>
  </si>
  <si>
    <t>3%</t>
  </si>
  <si>
    <t>SCENARIO ANALYSIS MULTIPLIERS</t>
  </si>
  <si>
    <t>Parameter</t>
  </si>
  <si>
    <t>Description</t>
  </si>
  <si>
    <t>Revenue Multiplier</t>
  </si>
  <si>
    <t>Revenue performance vs. base case</t>
  </si>
  <si>
    <t>Cost Multiplier</t>
  </si>
  <si>
    <t>Cost performance vs. base case</t>
  </si>
  <si>
    <t>Timeline Multiplier</t>
  </si>
  <si>
    <t>Development timeline vs. base case</t>
  </si>
  <si>
    <t>RISK FACTORS</t>
  </si>
  <si>
    <t>Probability of technical failure</t>
  </si>
  <si>
    <t>Probability of market failure</t>
  </si>
  <si>
    <t>Probability of regulatory issues</t>
  </si>
  <si>
    <t>R&amp;D Investment Costs Breakdown</t>
  </si>
  <si>
    <t>This sheet breaks down all R&amp;D investment costs by category and timing</t>
  </si>
  <si>
    <t>ONE-TIME COSTS</t>
  </si>
  <si>
    <t>Cost Category</t>
  </si>
  <si>
    <t>Amount ($)</t>
  </si>
  <si>
    <t>Initial Equipment</t>
  </si>
  <si>
    <t>Lab equipment, testing apparatus, prototyping tools</t>
  </si>
  <si>
    <t>Facility Setup</t>
  </si>
  <si>
    <t>Lab renovation, safety compliance, infrastructure</t>
  </si>
  <si>
    <t>IP &amp; Patents</t>
  </si>
  <si>
    <t>Patent filing, IP protection, legal fees</t>
  </si>
  <si>
    <t>Market Research</t>
  </si>
  <si>
    <t>Market analysis, competitive intelligence, customer research</t>
  </si>
  <si>
    <t>Regulatory Approval</t>
  </si>
  <si>
    <t>Testing, compliance, certification costs</t>
  </si>
  <si>
    <t>Additional One-Time Cost 1</t>
  </si>
  <si>
    <t>Enter description</t>
  </si>
  <si>
    <t>Additional One-Time Cost 2</t>
  </si>
  <si>
    <t>TOTAL ONE-TIME COSTS</t>
  </si>
  <si>
    <t>RECURRING ANNUAL COSTS</t>
  </si>
  <si>
    <t>Year 1 ($)</t>
  </si>
  <si>
    <t>Year 2 ($)</t>
  </si>
  <si>
    <t>Year 3 ($)</t>
  </si>
  <si>
    <t>Year 4 ($)</t>
  </si>
  <si>
    <t>Year 5 ($)</t>
  </si>
  <si>
    <t>LABOR COSTS</t>
  </si>
  <si>
    <t>Research Scientists</t>
  </si>
  <si>
    <t>3 FTE @ $120k avg fully loaded</t>
  </si>
  <si>
    <t>Development Engineers</t>
  </si>
  <si>
    <t>2 FTE @ $100k avg fully loaded</t>
  </si>
  <si>
    <t>Project Manager</t>
  </si>
  <si>
    <t>1 FTE @ $130k fully loaded</t>
  </si>
  <si>
    <t>SOFTWARE &amp; TOOLS</t>
  </si>
  <si>
    <t>Software Licenses</t>
  </si>
  <si>
    <t>Development tools, simulation software, CAD</t>
  </si>
  <si>
    <t>Cloud Computing</t>
  </si>
  <si>
    <t>AWS/Azure for simulations and data processing</t>
  </si>
  <si>
    <t>OTHER RECURRING COSTS</t>
  </si>
  <si>
    <t>Materials &amp; Supplies</t>
  </si>
  <si>
    <t>Lab materials, prototyping supplies, consumables</t>
  </si>
  <si>
    <t>Equipment Maintenance</t>
  </si>
  <si>
    <t>Calibration, repairs, maintenance contracts</t>
  </si>
  <si>
    <t>Utilities &amp; Facilities</t>
  </si>
  <si>
    <t>Lab space, utilities, insurance allocated to project</t>
  </si>
  <si>
    <t>External Consultants</t>
  </si>
  <si>
    <t>Specialized expertise, advisory services</t>
  </si>
  <si>
    <t>Additional Recurring Cost 1</t>
  </si>
  <si>
    <t>Additional Recurring Cost 2</t>
  </si>
  <si>
    <t>TOTAL RECURRING COSTS</t>
  </si>
  <si>
    <t>COST SUMMARY</t>
  </si>
  <si>
    <t>Summary Item</t>
  </si>
  <si>
    <t>Total One-Time Investment</t>
  </si>
  <si>
    <t>Total 5-Year Recurring Costs</t>
  </si>
  <si>
    <t>TOTAL PROJECT COST</t>
  </si>
  <si>
    <t>Revenue Projections &amp; Market Analysis</t>
  </si>
  <si>
    <t>This sheet models revenue projections based on market penetration, pricing strategy, and R&amp;D phases</t>
  </si>
  <si>
    <t>MARKET ASSUMPTIONS</t>
  </si>
  <si>
    <t>Value</t>
  </si>
  <si>
    <t>Unit</t>
  </si>
  <si>
    <t>Notes</t>
  </si>
  <si>
    <t>Total Addressable Market (TAM)</t>
  </si>
  <si>
    <t>USD</t>
  </si>
  <si>
    <t>Total global market size</t>
  </si>
  <si>
    <t>Serviceable Addressable Market (SAM)</t>
  </si>
  <si>
    <t>Realistic addressable market</t>
  </si>
  <si>
    <t>Market Growth Rate</t>
  </si>
  <si>
    <t>Annual</t>
  </si>
  <si>
    <t>Market compound annual growth rate</t>
  </si>
  <si>
    <t>Competitive Market Share Available</t>
  </si>
  <si>
    <t>of SAM</t>
  </si>
  <si>
    <t>Realistic capturable share</t>
  </si>
  <si>
    <t>PRODUCT PRICING STRATEGY</t>
  </si>
  <si>
    <t>Initial Product Price</t>
  </si>
  <si>
    <t>per unit</t>
  </si>
  <si>
    <t>Launch price point</t>
  </si>
  <si>
    <t>Annual Price Improvement</t>
  </si>
  <si>
    <t>Price reduction due to scale/efficiency</t>
  </si>
  <si>
    <t>Volume Discount Rate</t>
  </si>
  <si>
    <t>Discount</t>
  </si>
  <si>
    <t>Enterprise customer discounts</t>
  </si>
  <si>
    <t>Channel Partner Margin</t>
  </si>
  <si>
    <t>of Revenue</t>
  </si>
  <si>
    <t>Distribution partner margins</t>
  </si>
  <si>
    <t>MARKET PENETRATION BY R&amp;D PHASE</t>
  </si>
  <si>
    <t>R&amp;D Phase</t>
  </si>
  <si>
    <t>Year 1</t>
  </si>
  <si>
    <t>Year 2</t>
  </si>
  <si>
    <t>Year 3</t>
  </si>
  <si>
    <t>Year 4</t>
  </si>
  <si>
    <t>Year 5</t>
  </si>
  <si>
    <t>Research Phase</t>
  </si>
  <si>
    <t>No revenue during research</t>
  </si>
  <si>
    <t>Development Phase</t>
  </si>
  <si>
    <t>Limited pilot sales in year 3</t>
  </si>
  <si>
    <t>Market Launch Phase</t>
  </si>
  <si>
    <t>Market launch in years 3-4</t>
  </si>
  <si>
    <t>Revenue Generation Phase</t>
  </si>
  <si>
    <t>Full commercialization in years 4-5</t>
  </si>
  <si>
    <t>TOTAL MARKET PENETRATION</t>
  </si>
  <si>
    <t>Combined penetration</t>
  </si>
  <si>
    <t>REVENUE CALCULATIONS</t>
  </si>
  <si>
    <t>Revenue Component</t>
  </si>
  <si>
    <t>Formula/Notes</t>
  </si>
  <si>
    <t>Market Size (SAM with Growth)</t>
  </si>
  <si>
    <t>SAM growing at market rate</t>
  </si>
  <si>
    <t>Gross Revenue (before discounts)</t>
  </si>
  <si>
    <t>Market Size × Penetration</t>
  </si>
  <si>
    <t>Volume Discounts</t>
  </si>
  <si>
    <t>Gross Revenue × Discount Rate</t>
  </si>
  <si>
    <t>Channel Partner Margins</t>
  </si>
  <si>
    <t>Net Revenue × Channel Margin</t>
  </si>
  <si>
    <t>NET REVENUE TO COMPANY</t>
  </si>
  <si>
    <t>Gross - Discounts - Channel Margins</t>
  </si>
  <si>
    <t>Integrated R&amp;D Investment Cash Flow Model</t>
  </si>
  <si>
    <t>This sheet integrates all inputs to create a comprehensive cash flow analysis across the 5-year R&amp;D investment period</t>
  </si>
  <si>
    <t>CASH FLOW ANALYSIS</t>
  </si>
  <si>
    <t>YEAR</t>
  </si>
  <si>
    <t>Item</t>
  </si>
  <si>
    <t>Category</t>
  </si>
  <si>
    <t>Source</t>
  </si>
  <si>
    <t>Year 0</t>
  </si>
  <si>
    <t>Total</t>
  </si>
  <si>
    <t>REVENUES</t>
  </si>
  <si>
    <t>Net Revenue to Company</t>
  </si>
  <si>
    <t>Revenue</t>
  </si>
  <si>
    <t>Revenue!B43:F43</t>
  </si>
  <si>
    <t>TOTAL REVENUES</t>
  </si>
  <si>
    <t>COSTS &amp; INVESTMENTS</t>
  </si>
  <si>
    <t>One-time</t>
  </si>
  <si>
    <t>R&amp;D Investment Costs!C9</t>
  </si>
  <si>
    <t>R&amp;D Investment Costs!C10</t>
  </si>
  <si>
    <t>R&amp;D Investment Costs!C11</t>
  </si>
  <si>
    <t>R&amp;D Investment Costs!C12</t>
  </si>
  <si>
    <t>R&amp;D Investment Costs!C13</t>
  </si>
  <si>
    <t>Recurring</t>
  </si>
  <si>
    <t>R&amp;D Investment Costs!C26:G26</t>
  </si>
  <si>
    <t>R&amp;D Investment Costs!C27:G27</t>
  </si>
  <si>
    <t>R&amp;D Investment Costs!C28:G28</t>
  </si>
  <si>
    <t>Other Recurring Costs</t>
  </si>
  <si>
    <t>R&amp;D Investment Costs!C31:G38</t>
  </si>
  <si>
    <t>TOTAL COSTS</t>
  </si>
  <si>
    <t>NET CASH FLOW</t>
  </si>
  <si>
    <t>Net Cash Flow</t>
  </si>
  <si>
    <t>Operating</t>
  </si>
  <si>
    <t>Revenues - Costs</t>
  </si>
  <si>
    <t>Cumulative Cash Flow</t>
  </si>
  <si>
    <t>Running Total</t>
  </si>
  <si>
    <t>Financial Analysis - IRR, NPV, and Payback Period</t>
  </si>
  <si>
    <t>This sheet calculates key financial metrics and performs sensitivity analysis on the R&amp;D investment</t>
  </si>
  <si>
    <t>KEY ASSUMPTIONS</t>
  </si>
  <si>
    <t>Inputs &amp; Assumptions!B17</t>
  </si>
  <si>
    <t>Inputs &amp; Assumptions!B18</t>
  </si>
  <si>
    <t>Analysis Period</t>
  </si>
  <si>
    <t>Inputs &amp; Assumptions!B8</t>
  </si>
  <si>
    <t>CASH FLOW SUMMARY FOR ANALYSIS</t>
  </si>
  <si>
    <t>Cumulative CF</t>
  </si>
  <si>
    <t>Cash Flow Model!D32</t>
  </si>
  <si>
    <t>Cash Flow Model!E32</t>
  </si>
  <si>
    <t>Cash Flow Model!F32</t>
  </si>
  <si>
    <t>Cash Flow Model!G32</t>
  </si>
  <si>
    <t>Cash Flow Model!H32</t>
  </si>
  <si>
    <t>Cash Flow Model!I32</t>
  </si>
  <si>
    <t>Metric</t>
  </si>
  <si>
    <t>Formula/Calculation</t>
  </si>
  <si>
    <t>Interpretation</t>
  </si>
  <si>
    <t>Net Present Value (NPV)</t>
  </si>
  <si>
    <t>NPV(discount_rate, cashflows_1:5) + initial_investment</t>
  </si>
  <si>
    <t>Positive - Investment adds value</t>
  </si>
  <si>
    <t>Internal Rate of Return (IRR)</t>
  </si>
  <si>
    <t>IRR(all_cashflows_0:5)</t>
  </si>
  <si>
    <t>IRR &gt; WACC - Accept project</t>
  </si>
  <si>
    <t>Payback Period (PBP)</t>
  </si>
  <si>
    <t>Year when cumulative CF turns positive</t>
  </si>
  <si>
    <t>Fast payback</t>
  </si>
  <si>
    <t>Profitability Index (PI)</t>
  </si>
  <si>
    <t>1 + (NPV / Initial Investment)</t>
  </si>
  <si>
    <t>PI &gt; 1 - Accept project</t>
  </si>
  <si>
    <t>Total Project Return</t>
  </si>
  <si>
    <t>Sum of all cash flows</t>
  </si>
  <si>
    <t>Positive total return</t>
  </si>
  <si>
    <t>Return on Investment (ROI)</t>
  </si>
  <si>
    <t>Total Return / Initial Investment</t>
  </si>
  <si>
    <t>Positive ROI</t>
  </si>
  <si>
    <t>SENSITIVITY ANALYSIS</t>
  </si>
  <si>
    <t>KEY VARIABLE SENSITIVITY</t>
  </si>
  <si>
    <t>Variable</t>
  </si>
  <si>
    <t>±10% Change Impact on NPV</t>
  </si>
  <si>
    <t>±10% Change Impact on IRR</t>
  </si>
  <si>
    <t>Market Penetration</t>
  </si>
  <si>
    <t>Development Costs</t>
  </si>
  <si>
    <t>Discount Rate</t>
  </si>
  <si>
    <t>RISK ASSESSMENT</t>
  </si>
  <si>
    <t>Risk Factor</t>
  </si>
  <si>
    <t>Impact on NPV</t>
  </si>
  <si>
    <t>NPV adjusted for risk probabilities</t>
  </si>
  <si>
    <t>Criterion</t>
  </si>
  <si>
    <t>Result</t>
  </si>
  <si>
    <t>Recommendation</t>
  </si>
  <si>
    <t>NPV Test</t>
  </si>
  <si>
    <t>PASS</t>
  </si>
  <si>
    <t>IRR Test</t>
  </si>
  <si>
    <t>Payback Test</t>
  </si>
  <si>
    <t>Accept - Reasonable Payback</t>
  </si>
  <si>
    <t>OVERALL RECOMMENDATION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</si>
</sst>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7" formatCode="_([$$-409]* #,##0_);_([$$-409]* (#,##0);_([$$-409]* &quot;-&quot;??_);_(@_)"/>
    <numFmt numFmtId="418" formatCode="0.0%"/>
    <numFmt numFmtId="419" formatCode="0.0"/>
    <numFmt numFmtId="420" formatCode="0.0x"/>
    <numFmt numFmtId="421" formatCode="0.0&quot; years&quot;"/>
    <numFmt numFmtId="422" formatCode="0&quot; years&quot;"/>
    <numFmt numFmtId="424" formatCode="_([$$-409]* #,##0.00_);_([$$-409]* (#,##0.00);_([$$-409]* &quot;-&quot;??_);_(@_)"/>
  </numFmts>
  <fonts count="25">
    <font>
      <b val="0"/>
      <i val="0"/>
      <sz val="12"/>
      <color theme="1"/>
      <name val="Aptos Narrow"/>
      <scheme val="minor"/>
    </font>
    <font>
      <b/>
      <i val="0"/>
      <sz val="13.5"/>
      <color rgb="FFFFFFFF"/>
      <name val="sans-serif"/>
    </font>
    <font>
      <b val="0"/>
      <i/>
      <sz val="9"/>
      <color theme="1"/>
      <name val="sans-serif"/>
    </font>
    <font>
      <b/>
      <i val="0"/>
      <sz val="10.5"/>
      <color rgb="FF375623"/>
      <name val="sans-serif"/>
    </font>
    <font>
      <b/>
      <i val="0"/>
      <sz val="10.5"/>
      <color rgb="FF806000"/>
      <name val="sans-serif"/>
    </font>
    <font>
      <b/>
      <i val="0"/>
      <sz val="9"/>
      <color theme="1"/>
      <name val="sans-serif"/>
    </font>
    <font>
      <b/>
      <i val="0"/>
      <sz val="8.25"/>
      <color theme="1"/>
      <name val="sans-serif"/>
    </font>
    <font>
      <b/>
      <i val="0"/>
      <sz val="10.5"/>
      <color rgb="FF503351"/>
      <name val="sans-serif"/>
    </font>
    <font>
      <b/>
      <i val="0"/>
      <sz val="7.5"/>
      <color theme="1"/>
      <name val="sans-serif"/>
    </font>
    <font>
      <b/>
      <i val="0"/>
      <sz val="10.5"/>
      <color rgb="FFFFFFFF"/>
      <name val="sans-serif"/>
    </font>
    <font>
      <b/>
      <i val="0"/>
      <sz val="10.5"/>
      <color rgb="FFC65911"/>
      <name val="sans-serif"/>
    </font>
    <font>
      <b/>
      <i val="0"/>
      <sz val="9"/>
      <color rgb="FF375623"/>
      <name val="sans-serif"/>
    </font>
    <font>
      <b/>
      <i val="0"/>
      <sz val="12"/>
      <color rgb="FFFFFFFF"/>
      <name val="sans-serif"/>
    </font>
    <font>
      <b val="0"/>
      <i/>
      <sz val="7.5"/>
      <color auto="1"/>
      <name val="sans-serif"/>
    </font>
    <font>
      <b/>
      <i val="0"/>
      <sz val="9"/>
      <color rgb="FF1F4E79"/>
      <name val="sans-serif"/>
    </font>
    <font>
      <b val="0"/>
      <i val="0"/>
      <color auto="1"/>
      <name val="Calibri"/>
      <scheme val="minor"/>
    </font>
    <font>
      <b/>
      <i val="0"/>
      <sz val="7.5"/>
      <color auto="1"/>
      <name val="sans-serif"/>
    </font>
    <font>
      <b/>
      <i val="0"/>
      <sz val="8.25"/>
      <color auto="1"/>
      <name val="sans-serif"/>
    </font>
    <font>
      <b/>
      <i val="0"/>
      <sz val="9"/>
      <color rgb="FF806000"/>
      <name val="sans-serif"/>
    </font>
    <font>
      <b/>
      <i val="0"/>
      <sz val="9"/>
      <color rgb="FFFFFFFF"/>
      <name val="sans-serif"/>
    </font>
    <font>
      <b/>
      <i val="0"/>
      <sz val="9"/>
      <color rgb="FF503351"/>
      <name val="sans-serif"/>
    </font>
    <font>
      <b/>
      <i val="0"/>
      <sz val="9"/>
      <color auto="1"/>
      <name val="sans-serif"/>
    </font>
    <font>
      <b/>
      <i val="0"/>
      <sz val="9"/>
      <color rgb="FFC65911"/>
      <name val="sans-serif"/>
    </font>
    <font>
      <b val="0"/>
      <i val="0"/>
      <sz val="7.5"/>
      <color auto="1"/>
      <name val="sans-serif"/>
    </font>
    <font>
      <b val="0"/>
      <i val="0"/>
      <sz val="12"/>
      <color auto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472C4"/>
      </patternFill>
    </fill>
    <fill>
      <patternFill patternType="solid">
        <fgColor rgb="FFE2EFDA"/>
      </patternFill>
    </fill>
    <fill>
      <patternFill patternType="solid">
        <fgColor rgb="FFFFF2CC"/>
      </patternFill>
    </fill>
    <fill>
      <patternFill patternType="solid">
        <fgColor rgb="FFC6E0B4"/>
      </patternFill>
    </fill>
    <fill>
      <patternFill patternType="solid">
        <fgColor rgb="FFFCE4D6"/>
      </patternFill>
    </fill>
    <fill>
      <patternFill patternType="solid">
        <fgColor rgb="FFE7E6F7"/>
      </patternFill>
    </fill>
    <fill>
      <patternFill patternType="solid">
        <fgColor rgb="FFD5D3E8"/>
      </patternFill>
    </fill>
    <fill>
      <patternFill patternType="solid">
        <fgColor rgb="FFBFB9D1"/>
      </patternFill>
    </fill>
    <fill>
      <patternFill patternType="solid">
        <fgColor rgb="FFB4C6E7"/>
      </patternFill>
    </fill>
    <fill>
      <patternFill patternType="solid">
        <fgColor rgb="FFD9E1F2"/>
      </patternFill>
    </fill>
    <fill>
      <patternFill patternType="solid">
        <fgColor rgb="FFA9D08E"/>
      </patternFill>
    </fill>
    <fill>
      <patternFill patternType="solid">
        <fgColor rgb="FFF4B083"/>
      </patternFill>
    </fill>
  </fills>
  <borders count="3">
    <border>
      <left/>
      <right/>
      <top/>
      <bottom/>
    </border>
    <border>
      <left/>
      <right/>
      <top/>
      <bottom/>
      <diagonal/>
    </border>
    <border>
      <left/>
      <right/>
      <top/>
      <bottom/>
    </border>
  </borders>
  <cellStyleXfs count="1">
    <xf numFmtId="0" fontId="0" fillId="0" borderId="1"/>
  </cellStyleXfs>
  <cellXfs count="54">
    <xf numFmtId="0" fontId="0" fillId="0" borderId="1" xfId="0"/>
    <xf numFmtId="0" fontId="1" fillId="2" borderId="1" xfId="0"/>
    <xf numFmtId="0" fontId="2" fillId="0" borderId="1" xfId="0"/>
    <xf numFmtId="0" fontId="3" fillId="3" borderId="1" xfId="0"/>
    <xf numFmtId="0" fontId="4" fillId="4" borderId="1" xfId="0"/>
    <xf numFmtId="0" fontId="5" fillId="5" borderId="1" xfId="0"/>
    <xf numFmtId="0" fontId="6" fillId="6" borderId="1" xfId="0"/>
    <xf numFmtId="0" fontId="7" fillId="7" borderId="1" xfId="0"/>
    <xf numFmtId="0" fontId="8" fillId="8" borderId="1" xfId="0"/>
    <xf numFmtId="417" fontId="0" fillId="0" borderId="1" xfId="0"/>
    <xf numFmtId="418" fontId="0" fillId="0" borderId="1" xfId="0"/>
    <xf numFmtId="419" fontId="0" fillId="0" borderId="1" xfId="0"/>
    <xf numFmtId="420" fontId="0" fillId="0" borderId="1" xfId="0"/>
    <xf numFmtId="0" fontId="8" fillId="9" borderId="1" xfId="0"/>
    <xf numFmtId="0" fontId="9" fillId="2" borderId="1" xfId="0"/>
    <xf numFmtId="0" fontId="10" fillId="6" borderId="1" xfId="0"/>
    <xf numFmtId="0" fontId="8" fillId="6" borderId="1" xfId="0"/>
    <xf numFmtId="0" fontId="5" fillId="10" borderId="1" xfId="0"/>
    <xf numFmtId="9" fontId="0" fillId="0" borderId="1" xfId="0"/>
    <xf numFmtId="0" fontId="6" fillId="0" borderId="1" xfId="0"/>
    <xf numFmtId="0" fontId="5" fillId="0" borderId="1" xfId="0"/>
    <xf numFmtId="0" fontId="8" fillId="11" borderId="1" xfId="0"/>
    <xf numFmtId="0" fontId="11" fillId="3" borderId="1" xfId="0"/>
    <xf numFmtId="0" fontId="8" fillId="5" borderId="1" xfId="0"/>
    <xf numFmtId="0" fontId="6" fillId="4" borderId="1" xfId="0"/>
    <xf numFmtId="421" fontId="0" fillId="0" borderId="1" xfId="0"/>
    <xf numFmtId="422" fontId="0" fillId="0" borderId="1" xfId="0"/>
    <xf numFmtId="0" fontId="12" fillId="2" borderId="1" xfId="0">
      <alignment vertical="top"/>
    </xf>
    <xf numFmtId="0" fontId="13" fillId="0" borderId="1" xfId="0">
      <alignment vertical="top"/>
    </xf>
    <xf numFmtId="0" fontId="14" fillId="11" borderId="1" xfId="0">
      <alignment vertical="top"/>
    </xf>
    <xf numFmtId="10" fontId="24" fillId="0" borderId="1" xfId="0">
      <alignment vertical="top"/>
    </xf>
    <xf numFmtId="0" fontId="16" fillId="10" borderId="1" xfId="0">
      <alignment vertical="top"/>
    </xf>
    <xf numFmtId="420" fontId="24" fillId="0" borderId="1" xfId="0">
      <alignment vertical="top"/>
    </xf>
    <xf numFmtId="0" fontId="11" fillId="3" borderId="1" xfId="0">
      <alignment vertical="top"/>
    </xf>
    <xf numFmtId="0" fontId="16" fillId="5" borderId="1" xfId="0">
      <alignment vertical="top"/>
    </xf>
    <xf numFmtId="424" fontId="24" fillId="0" borderId="1" xfId="0">
      <alignment vertical="top"/>
    </xf>
    <xf numFmtId="0" fontId="17" fillId="12" borderId="1" xfId="0">
      <alignment vertical="top"/>
    </xf>
    <xf numFmtId="0" fontId="18" fillId="4" borderId="1" xfId="0">
      <alignment vertical="top"/>
    </xf>
    <xf numFmtId="0" fontId="16" fillId="6" borderId="1" xfId="0">
      <alignment vertical="top"/>
    </xf>
    <xf numFmtId="0" fontId="17" fillId="6" borderId="1" xfId="0">
      <alignment vertical="top"/>
    </xf>
    <xf numFmtId="0" fontId="17" fillId="13" borderId="1" xfId="0">
      <alignment vertical="top"/>
    </xf>
    <xf numFmtId="0" fontId="9" fillId="2" borderId="1" xfId="0">
      <alignment vertical="top"/>
    </xf>
    <xf numFmtId="0" fontId="17" fillId="10" borderId="1" xfId="0">
      <alignment vertical="top"/>
    </xf>
    <xf numFmtId="0" fontId="19" fillId="2" borderId="1" xfId="0">
      <alignment vertical="top"/>
    </xf>
    <xf numFmtId="0" fontId="20" fillId="7" borderId="1" xfId="0">
      <alignment vertical="top"/>
    </xf>
    <xf numFmtId="0" fontId="16" fillId="8" borderId="1" xfId="0">
      <alignment vertical="top"/>
    </xf>
    <xf numFmtId="0" fontId="17" fillId="9" borderId="1" xfId="0">
      <alignment vertical="top"/>
    </xf>
    <xf numFmtId="0" fontId="21" fillId="10" borderId="1" xfId="0">
      <alignment vertical="top"/>
    </xf>
    <xf numFmtId="0" fontId="17" fillId="5" borderId="1" xfId="0">
      <alignment vertical="top"/>
    </xf>
    <xf numFmtId="0" fontId="22" fillId="6" borderId="1" xfId="0">
      <alignment vertical="top"/>
    </xf>
    <xf numFmtId="1" fontId="24" fillId="0" borderId="1" xfId="0">
      <alignment vertical="top"/>
    </xf>
    <xf numFmtId="0" fontId="23" fillId="0" borderId="1" xfId="0">
      <alignment vertical="top"/>
    </xf>
    <xf numFmtId="0" fontId="16" fillId="0" borderId="1" xfId="0">
      <alignment vertical="top"/>
    </xf>
    <xf numFmtId="419" fontId="24" fillId="0" borderId="1" xfId="0">
      <alignment vertical="top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sharedStrings" Target="sharedStrings.xml"/><Relationship Id="rId8" Type="http://schemas.openxmlformats.org/officeDocument/2006/relationships/styles" Target="styles.xml"/><Relationship Id="rId9" Type="http://schemas.openxmlformats.org/officeDocument/2006/relationships/theme" Target="theme/theme1.xml"/><Relationship Id="rId10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 xmlns:c16r2="http://schemas.microsoft.com/office/drawing/2015/06/chart">
  <c:roundedCorners val="0"/>
  <c:chart>
    <c:title>
      <c:tx>
        <c:rich>
          <a:bodyPr/>
          <a:p>
            <a:pPr>
              <a:defRPr sz="1050" b="0">
                <a:solidFill>
                  <a:srgbClr val="333333"/>
                </a:solidFill>
                <a:latin typeface="Arial"/>
              </a:defRPr>
            </a:pPr>
            <a:r>
              <a:rPr sz="1050" b="0">
                <a:solidFill>
                  <a:srgbClr val="333333"/>
                </a:solidFill>
                <a:latin typeface="Arial"/>
              </a:rPr>
              <a:t>R&amp;D Investment Cash Flow Analysis</a:t>
            </a:r>
            <a:endParaRPr/>
          </a:p>
        </c:rich>
      </c:tx>
      <c:overlay val="0"/>
      <c:spPr>
        <a:noFill/>
        <a:ln>
          <a:noFill/>
        </a:ln>
      </c:spPr>
    </c:title>
    <c:autoTitleDeleted val="0"/>
    <c:plotArea>
      <c:barChart chartType="6">
        <c:ser seriesType="0">
          <c:idx val="0"/>
          <c:order val="0"/>
          <c:tx>
            <c:strRef>
              <c:f>'Dashboard Summary'!$A$34</c:f>
            </c:strRef>
          </c:tx>
          <c:spPr>
            <a:solidFill>
              <a:schemeClr val="accent1"/>
            </a:solidFill>
          </c:spPr>
          <c:val>
            <c:numRef>
              <c:f>'Dashboard Summary'!$A$35:$A$40</c:f>
              <c:numCache>
                <c:formatCode>General</c:formatCode>
              </c:numCache>
            </c:numRef>
          </c:val>
          <c:extLst/>
          <c:invertIfNegative val="0"/>
        </c:ser>
        <c:ser seriesType="0">
          <c:idx val="1"/>
          <c:order val="1"/>
          <c:tx>
            <c:strRef>
              <c:f>'Dashboard Summary'!$B$34</c:f>
            </c:strRef>
          </c:tx>
          <c:spPr>
            <a:solidFill>
              <a:schemeClr val="accent2"/>
            </a:solidFill>
          </c:spPr>
          <c:val>
            <c:numRef>
              <c:f>'Dashboard Summary'!$B$35:$B$40</c:f>
              <c:numCache>
                <c:formatCode>_([$$-409]* #,##0_);_([$$-409]* (#,##0);_([$$-409]* "-"??_);_(@_)</c:formatCode>
              </c:numCache>
            </c:numRef>
          </c:val>
          <c:extLst/>
          <c:invertIfNegative val="0"/>
        </c:ser>
        <c:ser seriesType="0">
          <c:idx val="2"/>
          <c:order val="2"/>
          <c:tx>
            <c:strRef>
              <c:f>'Dashboard Summary'!$C$34</c:f>
            </c:strRef>
          </c:tx>
          <c:spPr>
            <a:solidFill>
              <a:schemeClr val="accent3"/>
            </a:solidFill>
          </c:spPr>
          <c:val>
            <c:numRef>
              <c:f>'Dashboard Summary'!$C$35:$C$40</c:f>
              <c:numCache>
                <c:formatCode>_([$$-409]* #,##0_);_([$$-409]* (#,##0);_([$$-409]* "-"??_);_(@_)</c:formatCode>
              </c:numCache>
            </c:numRef>
          </c:val>
          <c:extLst/>
          <c:invertIfNegative val="0"/>
        </c:ser>
        <c:axId val="66374277"/>
        <c:axId val="94366436"/>
        <c:barDir val="col"/>
        <c:grouping val="clustered"/>
        <c:gapWidth val="150"/>
        <c:varyColors val="0"/>
        <c:overlap val="-27"/>
      </c:barChart>
      <c:catAx axisType="0">
        <c:axId val="66374277"/>
        <c:delete val="0"/>
        <c:majorTickMark val="none"/>
        <c:minorTickMark val="none"/>
        <c:tickLblPos val="nextTo"/>
        <c:axPos val="b"/>
        <c:scaling>
          <c:orientation val="minMax"/>
        </c:scaling>
        <c:spPr>
          <a:ln w="9525">
            <a:solidFill>
              <a:schemeClr val="tx1">
                <a:lumMod val="15000"/>
                <a:lumOff val="85000"/>
              </a:schemeClr>
            </a:solidFill>
          </a:ln>
        </c:spPr>
        <c:numFmt formatCode="General"/>
        <c:txPr>
          <a:bodyPr/>
          <a:p>
            <a:pPr>
              <a:defRPr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r>
              <a:rPr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rPr>
              <a:t/>
            </a:r>
            <a:endParaRPr/>
          </a:p>
        </c:txPr>
        <c:auto val="1"/>
        <c:lblOffset val="0"/>
        <c:tickMarkSkip val="1"/>
        <c:noMultiLvlLbl val="1"/>
        <c:crosses val="autoZero"/>
        <c:crossAx val="94366436"/>
      </c:catAx>
      <c:valAx axisType="3">
        <c:axId val="94366436"/>
        <c:delete val="0"/>
        <c:majorTickMark val="none"/>
        <c:minorTickMark val="none"/>
        <c:tickLblPos val="nextTo"/>
        <c:axPos val="l"/>
        <c:scaling>
          <c:orientation val="minMax"/>
        </c:scaling>
        <c:spPr>
          <a:ln w="9525">
            <a:solidFill>
              <a:schemeClr val="tx1">
                <a:lumMod val="15000"/>
                <a:lumOff val="85000"/>
              </a:schemeClr>
            </a:solidFill>
          </a:ln>
        </c:spPr>
        <c:numFmt formatCode="General"/>
        <c:txPr>
          <a:bodyPr/>
          <a:p>
            <a:pPr>
              <a:defRPr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r>
              <a:rPr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rPr>
              <a:t/>
            </a:r>
            <a:endParaRPr/>
          </a:p>
        </c:txPr>
        <c:majorGridlines>
          <c:spPr>
            <a:ln w="9525">
              <a:solidFill>
                <a:srgbClr val="d9d9d9"/>
              </a:solidFill>
            </a:ln>
          </c:spPr>
        </c:majorGridlines>
        <c:crosses val="autoZero"/>
        <c:crossBetween val="between"/>
        <c:crossAx val="66374277"/>
      </c:valAx>
      <c:spPr>
        <a:noFill/>
        <a:ln>
          <a:noFill/>
        </a:ln>
      </c:spPr>
    </c:plotArea>
    <c:legend>
      <c:legendPos val="b"/>
      <c:overlay val="0"/>
      <c:spPr>
        <a:noFill/>
      </c:spPr>
      <c:txPr>
        <a:bodyPr/>
        <a:p>
          <a:pPr>
            <a:defRPr sz="750" b="0">
              <a:solidFill>
                <a:schemeClr val="tx1">
                  <a:lumMod val="65000"/>
                  <a:lumOff val="35000"/>
                </a:schemeClr>
              </a:solidFill>
              <a:latin typeface="Arial"/>
            </a:defRPr>
          </a:pPr>
          <a:r>
            <a:rPr sz="750" b="0">
              <a:solidFill>
                <a:schemeClr val="tx1">
                  <a:lumMod val="65000"/>
                  <a:lumOff val="35000"/>
                </a:schemeClr>
              </a:solidFill>
              <a:latin typeface="Arial"/>
            </a:rPr>
            <a:t/>
          </a:r>
          <a:endParaRPr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0"/>
        </c16r3:dataDisplayOptions16>
      </c:ext>
    </c:extLst>
  </c:chart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4"/>
    </mc:Fallback>
  </mc:AlternateContent>
  <c:spPr>
    <a:solidFill>
      <a:schemeClr val="bg1"/>
    </a:solidFill>
    <a:ln w="9525">
      <a:solidFill>
        <a:schemeClr val="tx1">
          <a:lumMod val="15000"/>
          <a:lumOff val="85000"/>
        </a:schemeClr>
      </a:solidFill>
    </a:ln>
  </c:spPr>
  <c:txPr>
    <a:bodyPr/>
    <a:p>
      <a:pPr>
        <a:defRPr b="0">
          <a:solidFill>
            <a:schemeClr val="tx1">
              <a:lumMod val="65000"/>
              <a:lumOff val="35000"/>
            </a:schemeClr>
          </a:solidFill>
          <a:latin typeface="+mn-lt"/>
        </a:defRPr>
      </a:pPr>
      <a:r>
        <a:rPr b="0">
          <a:solidFill>
            <a:schemeClr val="tx1">
              <a:lumMod val="65000"/>
              <a:lumOff val="35000"/>
            </a:schemeClr>
          </a:solidFill>
          <a:latin typeface="+mn-lt"/>
        </a:rPr>
        <a:t/>
      </a:r>
      <a:endParaRPr/>
    </a:p>
  </c:txPr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 xmlns:c16r2="http://schemas.microsoft.com/office/drawing/2015/06/chart">
  <c:roundedCorners val="0"/>
  <c:chart>
    <c:title>
      <c:tx>
        <c:rich>
          <a:bodyPr/>
          <a:p>
            <a:pPr>
              <a:defRPr sz="1050" b="0">
                <a:solidFill>
                  <a:srgbClr val="333333"/>
                </a:solidFill>
                <a:latin typeface="Arial"/>
              </a:defRPr>
            </a:pPr>
            <a:r>
              <a:rPr sz="1050" b="0">
                <a:solidFill>
                  <a:srgbClr val="333333"/>
                </a:solidFill>
                <a:latin typeface="Arial"/>
              </a:rPr>
              <a:t>Scenario Analysis: NPV and IRR Comparison</a:t>
            </a:r>
            <a:endParaRPr/>
          </a:p>
        </c:rich>
      </c:tx>
      <c:overlay val="0"/>
      <c:spPr>
        <a:noFill/>
        <a:ln>
          <a:noFill/>
        </a:ln>
      </c:spPr>
    </c:title>
    <c:autoTitleDeleted val="0"/>
    <c:plotArea>
      <c:barChart chartType="6">
        <c:ser seriesType="0">
          <c:idx val="0"/>
          <c:order val="0"/>
          <c:tx>
            <c:strRef>
              <c:f>'Dashboard Summary'!$G$36</c:f>
            </c:strRef>
          </c:tx>
          <c:spPr>
            <a:solidFill>
              <a:schemeClr val="accent1"/>
            </a:solidFill>
          </c:spPr>
          <c:cat>
            <c:strRef>
              <c:f>'Dashboard Summary'!$F$37:$F$39</c:f>
            </c:strRef>
          </c:cat>
          <c:val>
            <c:numRef>
              <c:f>'Dashboard Summary'!$G$37:$G$39</c:f>
              <c:numCache>
                <c:formatCode>0.0</c:formatCode>
              </c:numCache>
            </c:numRef>
          </c:val>
          <c:extLst/>
          <c:invertIfNegative val="0"/>
        </c:ser>
        <c:ser seriesType="0">
          <c:idx val="1"/>
          <c:order val="1"/>
          <c:tx>
            <c:strRef>
              <c:f>'Dashboard Summary'!$H$36</c:f>
            </c:strRef>
          </c:tx>
          <c:spPr>
            <a:solidFill>
              <a:schemeClr val="accent2"/>
            </a:solidFill>
          </c:spPr>
          <c:cat>
            <c:strRef>
              <c:f>'Dashboard Summary'!$F$37:$F$39</c:f>
            </c:strRef>
          </c:cat>
          <c:val>
            <c:numRef>
              <c:f>'Dashboard Summary'!$H$37:$H$39</c:f>
              <c:numCache>
                <c:formatCode>0.0</c:formatCode>
              </c:numCache>
            </c:numRef>
          </c:val>
          <c:extLst/>
          <c:invertIfNegative val="0"/>
        </c:ser>
        <c:axId val="30918971"/>
        <c:axId val="18253068"/>
        <c:barDir val="col"/>
        <c:grouping val="clustered"/>
        <c:gapWidth val="150"/>
        <c:varyColors val="0"/>
        <c:overlap val="-27"/>
      </c:barChart>
      <c:catAx axisType="0">
        <c:axId val="30918971"/>
        <c:delete val="0"/>
        <c:majorTickMark val="none"/>
        <c:minorTickMark val="none"/>
        <c:tickLblPos val="nextTo"/>
        <c:axPos val="b"/>
        <c:scaling>
          <c:orientation val="minMax"/>
        </c:scaling>
        <c:spPr>
          <a:ln w="9525">
            <a:solidFill>
              <a:schemeClr val="tx1">
                <a:lumMod val="15000"/>
                <a:lumOff val="85000"/>
              </a:schemeClr>
            </a:solidFill>
          </a:ln>
        </c:spPr>
        <c:numFmt formatCode="General"/>
        <c:txPr>
          <a:bodyPr/>
          <a:p>
            <a:pPr>
              <a:defRPr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r>
              <a:rPr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rPr>
              <a:t/>
            </a:r>
            <a:endParaRPr/>
          </a:p>
        </c:txPr>
        <c:auto val="1"/>
        <c:lblOffset val="0"/>
        <c:tickMarkSkip val="1"/>
        <c:noMultiLvlLbl val="1"/>
        <c:crosses val="autoZero"/>
        <c:crossAx val="18253068"/>
      </c:catAx>
      <c:valAx axisType="3">
        <c:axId val="18253068"/>
        <c:delete val="0"/>
        <c:majorTickMark val="none"/>
        <c:minorTickMark val="none"/>
        <c:tickLblPos val="nextTo"/>
        <c:axPos val="l"/>
        <c:scaling>
          <c:orientation val="minMax"/>
        </c:scaling>
        <c:spPr>
          <a:ln w="9525">
            <a:solidFill>
              <a:schemeClr val="tx1">
                <a:lumMod val="15000"/>
                <a:lumOff val="85000"/>
              </a:schemeClr>
            </a:solidFill>
          </a:ln>
        </c:spPr>
        <c:numFmt formatCode="0.0"/>
        <c:txPr>
          <a:bodyPr/>
          <a:p>
            <a:pPr>
              <a:defRPr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r>
              <a:rPr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rPr>
              <a:t/>
            </a:r>
            <a:endParaRPr/>
          </a:p>
        </c:txPr>
        <c:majorGridlines>
          <c:spPr>
            <a:ln w="9525">
              <a:solidFill>
                <a:srgbClr val="d9d9d9"/>
              </a:solidFill>
            </a:ln>
          </c:spPr>
        </c:majorGridlines>
        <c:crosses val="autoZero"/>
        <c:crossBetween val="between"/>
        <c:crossAx val="30918971"/>
      </c:valAx>
      <c:spPr>
        <a:noFill/>
        <a:ln>
          <a:noFill/>
        </a:ln>
      </c:spPr>
    </c:plotArea>
    <c:legend>
      <c:legendPos val="b"/>
      <c:overlay val="0"/>
      <c:spPr>
        <a:noFill/>
      </c:spPr>
      <c:txPr>
        <a:bodyPr/>
        <a:p>
          <a:pPr>
            <a:defRPr sz="750" b="0">
              <a:solidFill>
                <a:schemeClr val="tx1">
                  <a:lumMod val="65000"/>
                  <a:lumOff val="35000"/>
                </a:schemeClr>
              </a:solidFill>
              <a:latin typeface="Arial"/>
            </a:defRPr>
          </a:pPr>
          <a:r>
            <a:rPr sz="750" b="0">
              <a:solidFill>
                <a:schemeClr val="tx1">
                  <a:lumMod val="65000"/>
                  <a:lumOff val="35000"/>
                </a:schemeClr>
              </a:solidFill>
              <a:latin typeface="Arial"/>
            </a:rPr>
            <a:t/>
          </a:r>
          <a:endParaRPr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0"/>
        </c16r3:dataDisplayOptions16>
      </c:ext>
    </c:extLst>
  </c:chart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4"/>
    </mc:Fallback>
  </mc:AlternateContent>
  <c:spPr>
    <a:solidFill>
      <a:schemeClr val="bg1"/>
    </a:solidFill>
    <a:ln w="9525">
      <a:solidFill>
        <a:schemeClr val="tx1">
          <a:lumMod val="15000"/>
          <a:lumOff val="85000"/>
        </a:schemeClr>
      </a:solidFill>
    </a:ln>
  </c:spPr>
  <c:txPr>
    <a:bodyPr/>
    <a:p>
      <a:pPr>
        <a:defRPr b="0">
          <a:solidFill>
            <a:schemeClr val="tx1">
              <a:lumMod val="65000"/>
              <a:lumOff val="35000"/>
            </a:schemeClr>
          </a:solidFill>
          <a:latin typeface="+mn-lt"/>
        </a:defRPr>
      </a:pPr>
      <a:r>
        <a:rPr b="0">
          <a:solidFill>
            <a:schemeClr val="tx1">
              <a:lumMod val="65000"/>
              <a:lumOff val="35000"/>
            </a:schemeClr>
          </a:solidFill>
          <a:latin typeface="+mn-lt"/>
        </a:rPr>
        <a:t/>
      </a:r>
      <a:endParaRPr/>
    </a:p>
  </c:txPr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a:schemeClr val="accent1">
    <a:lumMod val="60000"/>
  </a:schemeClr>
  <a:schemeClr val="accent2">
    <a:lumMod val="60000"/>
  </a:schemeClr>
  <a:schemeClr val="accent3">
    <a:lumMod val="60000"/>
  </a:schemeClr>
  <a:schemeClr val="accent4">
    <a:lumMod val="60000"/>
  </a:schemeClr>
  <a:schemeClr val="accent5">
    <a:lumMod val="60000"/>
  </a:schemeClr>
  <a:schemeClr val="accent6">
    <a:lumMod val="60000"/>
  </a:schemeClr>
  <a:schemeClr val="accent1">
    <a:lumMod val="80000"/>
    <a:lumOff val="20000"/>
  </a:schemeClr>
  <a:schemeClr val="accent2">
    <a:lumMod val="80000"/>
    <a:lumOff val="20000"/>
  </a:schemeClr>
  <a:schemeClr val="accent3">
    <a:lumMod val="80000"/>
    <a:lumOff val="20000"/>
  </a:schemeClr>
  <a:schemeClr val="accent4">
    <a:lumMod val="80000"/>
    <a:lumOff val="20000"/>
  </a:schemeClr>
  <a:schemeClr val="accent5">
    <a:lumMod val="80000"/>
    <a:lumOff val="20000"/>
  </a:schemeClr>
  <a:schemeClr val="accent6">
    <a:lumMod val="80000"/>
    <a:lumOff val="20000"/>
  </a:schemeClr>
  <a:schemeClr val="accent1">
    <a:lumMod val="80000"/>
  </a:schemeClr>
  <a:schemeClr val="accent2">
    <a:lumMod val="80000"/>
  </a:schemeClr>
  <a:schemeClr val="accent3">
    <a:lumMod val="80000"/>
  </a:schemeClr>
  <a:schemeClr val="accent4">
    <a:lumMod val="80000"/>
  </a:schemeClr>
  <a:schemeClr val="accent5">
    <a:lumMod val="80000"/>
  </a:schemeClr>
  <a:schemeClr val="accent6">
    <a:lumMod val="80000"/>
  </a:schemeClr>
  <a:schemeClr val="accent1">
    <a:lumMod val="60000"/>
    <a:lumOff val="40000"/>
  </a:schemeClr>
  <a:schemeClr val="accent2">
    <a:lumMod val="60000"/>
    <a:lumOff val="40000"/>
  </a:schemeClr>
  <a:schemeClr val="accent3">
    <a:lumMod val="60000"/>
    <a:lumOff val="40000"/>
  </a:schemeClr>
  <a:schemeClr val="accent4">
    <a:lumMod val="60000"/>
    <a:lumOff val="40000"/>
  </a:schemeClr>
  <a:schemeClr val="accent5">
    <a:lumMod val="60000"/>
    <a:lumOff val="40000"/>
  </a:schemeClr>
  <a:schemeClr val="accent6">
    <a:lumMod val="60000"/>
    <a:lumOff val="40000"/>
  </a:schemeClr>
  <a:schemeClr val="accent1">
    <a:lumMod val="50000"/>
  </a:schemeClr>
  <a:schemeClr val="accent2">
    <a:lumMod val="50000"/>
  </a:schemeClr>
  <a:schemeClr val="accent3">
    <a:lumMod val="50000"/>
  </a:schemeClr>
  <a:schemeClr val="accent4">
    <a:lumMod val="50000"/>
  </a:schemeClr>
  <a:schemeClr val="accent5">
    <a:lumMod val="50000"/>
  </a:schemeClr>
  <a:schemeClr val="accent6">
    <a:lumMod val="50000"/>
  </a:schemeClr>
  <a:schemeClr val="accent1">
    <a:lumMod val="70000"/>
    <a:lumOff val="30000"/>
  </a:schemeClr>
  <a:schemeClr val="accent2">
    <a:lumMod val="70000"/>
    <a:lumOff val="30000"/>
  </a:schemeClr>
  <a:schemeClr val="accent3">
    <a:lumMod val="70000"/>
    <a:lumOff val="30000"/>
  </a:schemeClr>
  <a:schemeClr val="accent4">
    <a:lumMod val="70000"/>
    <a:lumOff val="30000"/>
  </a:schemeClr>
  <a:schemeClr val="accent5">
    <a:lumMod val="70000"/>
    <a:lumOff val="30000"/>
  </a:schemeClr>
  <a:schemeClr val="accent6">
    <a:lumMod val="70000"/>
    <a:lumOff val="30000"/>
  </a:schemeClr>
  <a:schemeClr val="accent1">
    <a:lumMod val="70000"/>
  </a:schemeClr>
  <a:schemeClr val="accent2">
    <a:lumMod val="70000"/>
  </a:schemeClr>
  <a:schemeClr val="accent3">
    <a:lumMod val="70000"/>
  </a:schemeClr>
  <a:schemeClr val="accent4">
    <a:lumMod val="70000"/>
  </a:schemeClr>
  <a:schemeClr val="accent5">
    <a:lumMod val="70000"/>
  </a:schemeClr>
  <a:schemeClr val="accent6">
    <a:lumMod val="70000"/>
  </a:schemeClr>
  <a:schemeClr val="accent1">
    <a:lumMod val="50000"/>
    <a:lumOff val="50000"/>
  </a:schemeClr>
  <a:schemeClr val="accent2">
    <a:lumMod val="50000"/>
    <a:lumOff val="50000"/>
  </a:schemeClr>
  <a:schemeClr val="accent3">
    <a:lumMod val="50000"/>
    <a:lumOff val="50000"/>
  </a:schemeClr>
  <a:schemeClr val="accent4">
    <a:lumMod val="50000"/>
    <a:lumOff val="50000"/>
  </a:schemeClr>
  <a:schemeClr val="accent5">
    <a:lumMod val="50000"/>
    <a:lumOff val="50000"/>
  </a:schemeClr>
  <a:schemeClr val="accent6">
    <a:lumMod val="50000"/>
    <a:lumOff val="50000"/>
  </a:schemeClr>
</cs:colorStyle>
</file>

<file path=xl/charts/colors2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a:schemeClr val="accent1">
    <a:lumMod val="60000"/>
  </a:schemeClr>
  <a:schemeClr val="accent2">
    <a:lumMod val="60000"/>
  </a:schemeClr>
  <a:schemeClr val="accent3">
    <a:lumMod val="60000"/>
  </a:schemeClr>
  <a:schemeClr val="accent4">
    <a:lumMod val="60000"/>
  </a:schemeClr>
  <a:schemeClr val="accent5">
    <a:lumMod val="60000"/>
  </a:schemeClr>
  <a:schemeClr val="accent6">
    <a:lumMod val="60000"/>
  </a:schemeClr>
  <a:schemeClr val="accent1">
    <a:lumMod val="80000"/>
    <a:lumOff val="20000"/>
  </a:schemeClr>
  <a:schemeClr val="accent2">
    <a:lumMod val="80000"/>
    <a:lumOff val="20000"/>
  </a:schemeClr>
  <a:schemeClr val="accent3">
    <a:lumMod val="80000"/>
    <a:lumOff val="20000"/>
  </a:schemeClr>
  <a:schemeClr val="accent4">
    <a:lumMod val="80000"/>
    <a:lumOff val="20000"/>
  </a:schemeClr>
  <a:schemeClr val="accent5">
    <a:lumMod val="80000"/>
    <a:lumOff val="20000"/>
  </a:schemeClr>
  <a:schemeClr val="accent6">
    <a:lumMod val="80000"/>
    <a:lumOff val="20000"/>
  </a:schemeClr>
  <a:schemeClr val="accent1">
    <a:lumMod val="80000"/>
  </a:schemeClr>
  <a:schemeClr val="accent2">
    <a:lumMod val="80000"/>
  </a:schemeClr>
  <a:schemeClr val="accent3">
    <a:lumMod val="80000"/>
  </a:schemeClr>
  <a:schemeClr val="accent4">
    <a:lumMod val="80000"/>
  </a:schemeClr>
  <a:schemeClr val="accent5">
    <a:lumMod val="80000"/>
  </a:schemeClr>
  <a:schemeClr val="accent6">
    <a:lumMod val="80000"/>
  </a:schemeClr>
  <a:schemeClr val="accent1">
    <a:lumMod val="60000"/>
    <a:lumOff val="40000"/>
  </a:schemeClr>
  <a:schemeClr val="accent2">
    <a:lumMod val="60000"/>
    <a:lumOff val="40000"/>
  </a:schemeClr>
  <a:schemeClr val="accent3">
    <a:lumMod val="60000"/>
    <a:lumOff val="40000"/>
  </a:schemeClr>
  <a:schemeClr val="accent4">
    <a:lumMod val="60000"/>
    <a:lumOff val="40000"/>
  </a:schemeClr>
  <a:schemeClr val="accent5">
    <a:lumMod val="60000"/>
    <a:lumOff val="40000"/>
  </a:schemeClr>
  <a:schemeClr val="accent6">
    <a:lumMod val="60000"/>
    <a:lumOff val="40000"/>
  </a:schemeClr>
  <a:schemeClr val="accent1">
    <a:lumMod val="50000"/>
  </a:schemeClr>
  <a:schemeClr val="accent2">
    <a:lumMod val="50000"/>
  </a:schemeClr>
  <a:schemeClr val="accent3">
    <a:lumMod val="50000"/>
  </a:schemeClr>
  <a:schemeClr val="accent4">
    <a:lumMod val="50000"/>
  </a:schemeClr>
  <a:schemeClr val="accent5">
    <a:lumMod val="50000"/>
  </a:schemeClr>
  <a:schemeClr val="accent6">
    <a:lumMod val="50000"/>
  </a:schemeClr>
  <a:schemeClr val="accent1">
    <a:lumMod val="70000"/>
    <a:lumOff val="30000"/>
  </a:schemeClr>
  <a:schemeClr val="accent2">
    <a:lumMod val="70000"/>
    <a:lumOff val="30000"/>
  </a:schemeClr>
  <a:schemeClr val="accent3">
    <a:lumMod val="70000"/>
    <a:lumOff val="30000"/>
  </a:schemeClr>
  <a:schemeClr val="accent4">
    <a:lumMod val="70000"/>
    <a:lumOff val="30000"/>
  </a:schemeClr>
  <a:schemeClr val="accent5">
    <a:lumMod val="70000"/>
    <a:lumOff val="30000"/>
  </a:schemeClr>
  <a:schemeClr val="accent6">
    <a:lumMod val="70000"/>
    <a:lumOff val="30000"/>
  </a:schemeClr>
  <a:schemeClr val="accent1">
    <a:lumMod val="70000"/>
  </a:schemeClr>
  <a:schemeClr val="accent2">
    <a:lumMod val="70000"/>
  </a:schemeClr>
  <a:schemeClr val="accent3">
    <a:lumMod val="70000"/>
  </a:schemeClr>
  <a:schemeClr val="accent4">
    <a:lumMod val="70000"/>
  </a:schemeClr>
  <a:schemeClr val="accent5">
    <a:lumMod val="70000"/>
  </a:schemeClr>
  <a:schemeClr val="accent6">
    <a:lumMod val="70000"/>
  </a:schemeClr>
  <a:schemeClr val="accent1">
    <a:lumMod val="50000"/>
    <a:lumOff val="50000"/>
  </a:schemeClr>
  <a:schemeClr val="accent2">
    <a:lumMod val="50000"/>
    <a:lumOff val="50000"/>
  </a:schemeClr>
  <a:schemeClr val="accent3">
    <a:lumMod val="50000"/>
    <a:lumOff val="50000"/>
  </a:schemeClr>
  <a:schemeClr val="accent4">
    <a:lumMod val="50000"/>
    <a:lumOff val="50000"/>
  </a:schemeClr>
  <a:schemeClr val="accent5">
    <a:lumMod val="50000"/>
    <a:lumOff val="50000"/>
  </a:schemeClr>
  <a:schemeClr val="accent6">
    <a:lumMod val="50000"/>
    <a:lumOff val="50000"/>
  </a:schemeClr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28575</xdr:rowOff>
    </xdr:from>
    <xdr:to>
      <xdr:col>4</xdr:col>
      <xdr:colOff>209550</xdr:colOff>
      <xdr:row>62</xdr:row>
      <xdr:rowOff>66675</xdr:rowOff>
    </xdr:to>
    <xdr:graphicFrame>
      <xdr:nvGraphicFramePr>
        <xdr:cNvPr id="2" name="CashFlowChart"/>
        <xdr:cNvGraphicFramePr>
          <a:graphicFrameLocks noChangeAspect="0"/>
        </xdr:cNvGraphicFramePr>
      </xdr:nvGraphicFramePr>
      <xdr:xfrm>
        <a:off x="0" y="9267825"/>
        <a:ext cx="7715250" cy="26384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49</xdr:row>
      <xdr:rowOff>28575</xdr:rowOff>
    </xdr:from>
    <xdr:to>
      <xdr:col>9</xdr:col>
      <xdr:colOff>200025</xdr:colOff>
      <xdr:row>62</xdr:row>
      <xdr:rowOff>171450</xdr:rowOff>
    </xdr:to>
    <xdr:graphicFrame>
      <xdr:nvGraphicFramePr>
        <xdr:cNvPr id="3" name="ScenarioChart"/>
        <xdr:cNvGraphicFramePr>
          <a:graphicFrameLocks noChangeAspect="0"/>
        </xdr:cNvGraphicFramePr>
      </xdr:nvGraphicFramePr>
      <xdr:xfrm>
        <a:off x="8001000" y="926782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C26793D-20B8-67B8-0451-73319181E708}" mc:Ignorable="x14ac xr xr2 xr3">
  <dimension ref="A1:GR50000"/>
  <sheetViews>
    <sheetView topLeftCell="A1" workbookViewId="0">
      <selection activeCell="A1" sqref="A1:J1"/>
    </sheetView>
  </sheetViews>
  <sheetFormatPr defaultRowHeight="15.997499999999997" defaultColWidth="9.00390625" customHeight="1"/>
  <cols>
    <col min="1" max="1" width="18.875" customWidth="1"/>
    <col min="2" max="2" width="31.125" customWidth="1"/>
    <col min="3" max="3" width="17.125" customWidth="1"/>
    <col min="4" max="4" width="31.375" customWidth="1"/>
    <col min="5" max="5" width="10.75390625" customWidth="1"/>
    <col min="6" max="6" width="20.25390625" customWidth="1"/>
    <col min="7" max="7" width="11.50390625" customWidth="1"/>
    <col min="8" max="8" width="12.375" customWidth="1"/>
  </cols>
  <sheetData>
    <row r="1" ht="18" customHeight="1">
      <c r="A1" s="1" t="s">
        <v>0</v>
      </c>
    </row>
    <row r="3" ht="12.75" customHeight="1">
      <c r="A3" s="2" t="s">
        <v>1</v>
      </c>
    </row>
    <row r="6" ht="15" customHeight="1">
      <c r="A6" s="3" t="s">
        <v>2</v>
      </c>
      <c r="F6" s="4" t="s">
        <v>3</v>
      </c>
    </row>
    <row r="8" ht="12.75" customHeight="1">
      <c r="A8" s="5" t="s">
        <v>4</v>
      </c>
      <c r="B8" s="5" cm="1">
        <f t="array" ref="B8">'Financial Analysis'!B28</f>
        <v>140320887.125999</v>
      </c>
      <c r="C8" s="5" t="str">
        <f>IF('Financial Analysis'!B28&gt;0,"✓ POSITIVE","✗ NEGATIVE")</f>
        <v>✓ POSITIVE</v>
      </c>
      <c r="F8" s="6" t="s">
        <v>6</v>
      </c>
      <c r="G8" s="6" cm="1">
        <f t="array" ref="G8">'R&amp;D Investment Costs'!B49</f>
        <v>1075000</v>
      </c>
    </row>
    <row r="9" ht="12.75" customHeight="1">
      <c r="A9" s="5" t="s">
        <v>7</v>
      </c>
      <c r="B9" s="5" cm="1">
        <f t="array" ref="B9">'Financial Analysis'!B29</f>
        <v>2.69830835954486</v>
      </c>
      <c r="C9" s="5" t="str">
        <f>IF('Financial Analysis'!B29&gt;'Inputs &amp; Assumptions'!B17,"✓ EXCEEDS WACC","✗ BELOW WACC")</f>
        <v>✓ EXCEEDS WACC</v>
      </c>
      <c r="F9" s="6" t="s">
        <v>9</v>
      </c>
      <c r="G9" s="6" cm="1">
        <f t="array" ref="G9">'R&amp;D Investment Costs'!B51</f>
        <v>6084809.39685</v>
      </c>
    </row>
    <row r="10" ht="12.75" customHeight="1">
      <c r="A10" s="5" t="s">
        <v>10</v>
      </c>
      <c r="B10" s="5" cm="1">
        <f t="array" ref="B10">'Financial Analysis'!B30</f>
        <v>2.14396552388258</v>
      </c>
      <c r="C10" s="5" t="str">
        <f>IF(ISNUMBER('Financial Analysis'!B30),IF('Financial Analysis'!B30&lt;=3,"✓ FAST","⚠ SLOW"),"✗ NEVER")</f>
        <v>✓ FAST</v>
      </c>
      <c r="F10" s="6" t="s">
        <v>12</v>
      </c>
      <c r="G10" s="6" cm="1">
        <f t="array" ref="G10">'Cash Flow Model'!J11</f>
        <v>238928315.328</v>
      </c>
    </row>
    <row r="11" ht="12.75" customHeight="1">
      <c r="A11" s="5" t="s">
        <v>13</v>
      </c>
      <c r="B11" s="5" cm="1">
        <f t="array" ref="B11">'Financial Analysis'!B61</f>
        <v>162070624.630529</v>
      </c>
      <c r="C11" s="5" t="str">
        <f>IF('Financial Analysis'!B61&gt;0,"✓ POSITIVE","✗ NEGATIVE")</f>
        <v>✓ POSITIVE</v>
      </c>
      <c r="F11" s="6" t="s">
        <v>14</v>
      </c>
      <c r="G11" s="6" cm="1">
        <f t="array" ref="G11">'Financial Analysis'!B32</f>
        <v>232843505.93115</v>
      </c>
    </row>
    <row r="14" ht="15" customHeight="1">
      <c r="A14" s="7" t="s">
        <v>15</v>
      </c>
    </row>
    <row r="16" ht="10.5" customHeight="1">
      <c r="A16" s="8" t="s">
        <v>16</v>
      </c>
      <c r="B16" s="8" t="s">
        <v>17</v>
      </c>
      <c r="C16" s="8" t="s">
        <v>18</v>
      </c>
      <c r="D16" s="8" t="s">
        <v>19</v>
      </c>
      <c r="E16" s="8" t="s">
        <v>20</v>
      </c>
      <c r="F16" s="8" t="s">
        <v>21</v>
      </c>
    </row>
    <row r="17" ht="15.75" customHeight="1">
      <c r="A17" t="s">
        <v>22</v>
      </c>
      <c r="B17" s="9" cm="1">
        <f t="array" ref="B17">'Financial Analysis'!D42</f>
        <v>164175437.937419</v>
      </c>
      <c r="C17" s="10" cm="1">
        <f t="array" ref="C17">'Financial Analysis'!E42</f>
        <v>3.15702078066749</v>
      </c>
      <c r="D17" s="11" cm="1">
        <f t="array" ref="D17">'Financial Analysis'!F42</f>
        <v>1.71517241910606</v>
      </c>
      <c r="E17" s="12" cm="1">
        <f t="array" ref="E17">'Financial Analysis'!B42</f>
        <v>1.3</v>
      </c>
      <c r="F17" s="12" cm="1">
        <f t="array" ref="F17">'Financial Analysis'!C42</f>
        <v>0.9</v>
      </c>
    </row>
    <row r="18" ht="10.5" customHeight="1">
      <c r="A18" s="13" t="s">
        <v>23</v>
      </c>
      <c r="B18" s="13" cm="1">
        <f t="array" ref="B18">'Financial Analysis'!D41</f>
        <v>140320887.125999</v>
      </c>
      <c r="C18" s="13" cm="1">
        <f t="array" ref="C18">'Financial Analysis'!E41</f>
        <v>2.69830835954486</v>
      </c>
      <c r="D18" s="13" cm="1">
        <f t="array" ref="D18">'Financial Analysis'!F41</f>
        <v>2.14396552388258</v>
      </c>
      <c r="E18" s="13" cm="1">
        <f t="array" ref="E18">'Financial Analysis'!B41</f>
        <v>1</v>
      </c>
      <c r="F18" s="13" cm="1">
        <f t="array" ref="F18">'Financial Analysis'!C41</f>
        <v>1</v>
      </c>
    </row>
    <row r="19" ht="15.75" customHeight="1">
      <c r="A19" t="s">
        <v>24</v>
      </c>
      <c r="B19" s="9" cm="1">
        <f t="array" ref="B19">'Financial Analysis'!D43</f>
        <v>117869545.185839</v>
      </c>
      <c r="C19" s="10" cm="1">
        <f t="array" ref="C19">'Financial Analysis'!E43</f>
        <v>2.26657902201768</v>
      </c>
      <c r="D19" s="11" cm="1">
        <f t="array" ref="D19">'Financial Analysis'!F43</f>
        <v>3.00155173343561</v>
      </c>
      <c r="E19" s="12" cm="1">
        <f t="array" ref="E19">'Financial Analysis'!B43</f>
        <v>0.7</v>
      </c>
      <c r="F19" s="12" cm="1">
        <f t="array" ref="F19">'Financial Analysis'!C43</f>
        <v>1.2</v>
      </c>
    </row>
    <row r="22" ht="15" customHeight="1">
      <c r="A22" s="14" t="s">
        <v>25</v>
      </c>
      <c r="F22" s="15" t="s">
        <v>26</v>
      </c>
    </row>
    <row r="23" ht="10.5" customHeight="1">
      <c r="F23" s="16" t="s">
        <v>27</v>
      </c>
      <c r="G23" s="16" t="s">
        <v>28</v>
      </c>
      <c r="H23" s="16" t="s">
        <v>29</v>
      </c>
    </row>
    <row r="24" ht="15.75" customHeight="1">
      <c r="A24" s="17" t="s">
        <v>30</v>
      </c>
      <c r="B24" s="17" cm="1" t="str">
        <f t="array" ref="B24">'Financial Analysis'!B72</f>
        <v>ACCEPT PROJECT</v>
      </c>
      <c r="C24" s="17" cm="1" t="str">
        <f t="array" ref="C24">'Financial Analysis'!C72</f>
        <v>All key metrics positive</v>
      </c>
      <c r="F24" t="s">
        <v>33</v>
      </c>
      <c r="G24" s="18" cm="1">
        <f t="array" ref="G24">'Inputs &amp; Assumptions'!B32</f>
        <v>0.15</v>
      </c>
      <c r="H24" s="9" cm="1">
        <f t="array" ref="H24">'Financial Analysis'!C57</f>
        <v>-70160443.5629995</v>
      </c>
    </row>
    <row r="25" ht="15.75" customHeight="1">
      <c r="F25" t="s">
        <v>34</v>
      </c>
      <c r="G25" s="18" cm="1">
        <f t="array" ref="G25">'Inputs &amp; Assumptions'!B33</f>
        <v>0.2</v>
      </c>
      <c r="H25" s="9" cm="1">
        <f t="array" ref="H25">'Financial Analysis'!C58</f>
        <v>-42096266.1377997</v>
      </c>
    </row>
    <row r="26" ht="15.75" customHeight="1">
      <c r="A26" s="19" t="s">
        <v>35</v>
      </c>
      <c r="F26" t="s">
        <v>36</v>
      </c>
      <c r="G26" s="18" cm="1">
        <f t="array" ref="G26">'Inputs &amp; Assumptions'!B34</f>
        <v>0.1</v>
      </c>
      <c r="H26" s="9" cm="1">
        <f t="array" ref="H26">'Financial Analysis'!C59</f>
        <v>-28064177.4251998</v>
      </c>
    </row>
    <row r="27" ht="15.75" customHeight="1">
      <c r="A27" t="s">
        <v>37</v>
      </c>
      <c r="B27" cm="1" t="str">
        <f t="array" ref="B27">'Financial Analysis'!C67</f>
        <v>Accept - Creates Value</v>
      </c>
    </row>
    <row r="28" ht="15.75" customHeight="1">
      <c r="A28" t="s">
        <v>39</v>
      </c>
      <c r="B28" cm="1" t="str">
        <f t="array" ref="B28">'Financial Analysis'!C68</f>
        <v>Accept - IRR &gt; WACC</v>
      </c>
    </row>
    <row r="29" ht="15.75" customHeight="1">
      <c r="A29" t="s">
        <v>41</v>
      </c>
      <c r="B29" cm="1" t="str">
        <f t="array" ref="B29">'Financial Analysis'!C70</f>
        <v>Accept - Positive after risk adjustment</v>
      </c>
    </row>
    <row r="32" ht="12.75" customHeight="1">
      <c r="A32" s="20" t="s">
        <v>43</v>
      </c>
    </row>
    <row r="34" ht="12.75" customHeight="1">
      <c r="A34" s="21" t="s">
        <v>44</v>
      </c>
      <c r="B34" s="21" t="s">
        <v>45</v>
      </c>
      <c r="C34" s="21" t="s">
        <v>46</v>
      </c>
      <c r="F34" s="20" t="s">
        <v>47</v>
      </c>
    </row>
    <row r="35" ht="15.75" customHeight="1">
      <c r="A35">
        <v>0</v>
      </c>
      <c r="B35" s="9" cm="1">
        <f t="array" ref="B35">'Cash Flow Model'!D32</f>
        <v>-750000</v>
      </c>
      <c r="C35" s="9" cm="1">
        <f t="array" ref="C35">'Cash Flow Model'!D33</f>
        <v>-750000</v>
      </c>
    </row>
    <row r="36" ht="15.75" customHeight="1">
      <c r="A36">
        <v>1</v>
      </c>
      <c r="B36" s="9" cm="1">
        <f t="array" ref="B36">'Cash Flow Model'!E32</f>
        <v>-785000</v>
      </c>
      <c r="C36" s="9" cm="1">
        <f t="array" ref="C36">'Cash Flow Model'!E33</f>
        <v>-1535000</v>
      </c>
      <c r="F36" s="21" t="s">
        <v>16</v>
      </c>
      <c r="G36" s="21" t="s">
        <v>48</v>
      </c>
      <c r="H36" s="21" t="s">
        <v>49</v>
      </c>
    </row>
    <row r="37" ht="15.75" customHeight="1">
      <c r="A37">
        <v>2</v>
      </c>
      <c r="B37" s="9" cm="1">
        <f t="array" ref="B37">'Cash Flow Model'!F32</f>
        <v>-1184050</v>
      </c>
      <c r="C37" s="9" cm="1">
        <f t="array" ref="C37">'Cash Flow Model'!F33</f>
        <v>-2719050</v>
      </c>
      <c r="F37" t="s">
        <v>22</v>
      </c>
      <c r="G37" s="11">
        <f t="shared" si="0" ref="G37:G39">B17/1000000</f>
        <v>164.175437937419</v>
      </c>
      <c r="H37" s="11">
        <f t="shared" si="1" ref="H37:H39">C17*100</f>
        <v>315.702078066749</v>
      </c>
    </row>
    <row r="38" ht="15.75" customHeight="1">
      <c r="A38">
        <v>3</v>
      </c>
      <c r="B38" s="9" cm="1">
        <f t="array" ref="B38">'Cash Flow Model'!G32</f>
        <v>18886813.5</v>
      </c>
      <c r="C38" s="9" cm="1">
        <f t="array" ref="C38">'Cash Flow Model'!G33</f>
        <v>16167763.5</v>
      </c>
      <c r="F38" t="s">
        <v>23</v>
      </c>
      <c r="G38" s="11">
        <f t="shared" si="0"/>
        <v>140.320887125999</v>
      </c>
      <c r="H38" s="11">
        <f t="shared" si="1"/>
        <v>269.830835954486</v>
      </c>
    </row>
    <row r="39" ht="15.75" customHeight="1">
      <c r="A39">
        <v>4</v>
      </c>
      <c r="B39" s="9" cm="1">
        <f t="array" ref="B39">'Cash Flow Model'!H32</f>
        <v>92887175.655</v>
      </c>
      <c r="C39" s="9" cm="1">
        <f t="array" ref="C39">'Cash Flow Model'!H33</f>
        <v>109054939.155</v>
      </c>
      <c r="F39" t="s">
        <v>24</v>
      </c>
      <c r="G39" s="11">
        <f t="shared" si="0"/>
        <v>117.869545185839</v>
      </c>
      <c r="H39" s="11">
        <f t="shared" si="1"/>
        <v>226.657902201768</v>
      </c>
    </row>
    <row r="40" ht="15.75" customHeight="1">
      <c r="A40">
        <v>5</v>
      </c>
      <c r="B40" s="9" cm="1">
        <f t="array" ref="B40">'Cash Flow Model'!I32</f>
        <v>123788566.77615</v>
      </c>
      <c r="C40" s="9" cm="1">
        <f t="array" ref="C40">'Cash Flow Model'!I33</f>
        <v>232843505.93115</v>
      </c>
    </row>
    <row r="43" ht="12.75" customHeight="1">
      <c r="A43" s="22" t="s">
        <v>50</v>
      </c>
    </row>
    <row r="45" ht="11.25" customHeight="1">
      <c r="A45" s="23" t="s">
        <v>51</v>
      </c>
      <c r="B45" s="23" t="s">
        <v>52</v>
      </c>
      <c r="C45" s="23" t="s">
        <v>53</v>
      </c>
      <c r="D45" s="23" t="s">
        <v>54</v>
      </c>
      <c r="F45" s="24" t="s">
        <v>55</v>
      </c>
    </row>
    <row r="46" ht="15.75" customHeight="1">
      <c r="A46" t="s">
        <v>56</v>
      </c>
      <c r="B46" s="25" cm="1">
        <f t="array" ref="B46">'Inputs &amp; Assumptions'!B9</f>
        <v>1</v>
      </c>
      <c r="C46" t="s">
        <v>57</v>
      </c>
      <c r="D46" t="s">
        <v>58</v>
      </c>
      <c r="F46" t="s">
        <v>59</v>
      </c>
      <c r="G46" s="10" cm="1">
        <f t="array" ref="G46">'Inputs &amp; Assumptions'!B17</f>
        <v>0.12</v>
      </c>
    </row>
    <row r="47" ht="15.75" customHeight="1">
      <c r="A47" t="s">
        <v>60</v>
      </c>
      <c r="B47" s="25" cm="1">
        <f t="array" ref="B47">'Inputs &amp; Assumptions'!B10</f>
        <v>1.5</v>
      </c>
      <c r="C47" s="11" cm="1">
        <f t="array" ref="C47">'Inputs &amp; Assumptions'!B9</f>
        <v>1</v>
      </c>
      <c r="D47" t="s">
        <v>61</v>
      </c>
      <c r="F47" t="s">
        <v>62</v>
      </c>
      <c r="G47" s="10" cm="1">
        <f t="array" ref="G47">Revenue!B11</f>
        <v>0.08</v>
      </c>
    </row>
    <row r="48" ht="15.75" customHeight="1">
      <c r="A48" t="s">
        <v>63</v>
      </c>
      <c r="B48" s="25" cm="1">
        <f t="array" ref="B48">'Inputs &amp; Assumptions'!B11</f>
        <v>0.5</v>
      </c>
      <c r="C48" s="11">
        <f>C47+B47</f>
        <v>2.5</v>
      </c>
      <c r="D48" t="s">
        <v>64</v>
      </c>
      <c r="F48" t="s">
        <v>65</v>
      </c>
      <c r="G48" s="10" cm="1">
        <f t="array" ref="G48">Revenue!F32</f>
        <v>0.08</v>
      </c>
    </row>
    <row r="49" ht="15.75" customHeight="1">
      <c r="A49" t="s">
        <v>66</v>
      </c>
      <c r="B49" t="s">
        <v>67</v>
      </c>
      <c r="C49" s="11" cm="1">
        <f t="array" ref="C49">'Inputs &amp; Assumptions'!B12</f>
        <v>3</v>
      </c>
      <c r="D49" t="s">
        <v>68</v>
      </c>
      <c r="F49" t="s">
        <v>69</v>
      </c>
      <c r="G49" s="26" cm="1">
        <f t="array" ref="G49">'Inputs &amp; Assumptions'!B8</f>
        <v>5</v>
      </c>
    </row>
  </sheetData>
  <mergeCells>
    <mergeCell ref="A1:J1"/>
    <mergeCell ref="A3:J3"/>
    <mergeCell ref="A6:D6"/>
    <mergeCell ref="F6:H6"/>
    <mergeCell ref="A14:F14"/>
    <mergeCell ref="A22:D22"/>
    <mergeCell ref="F22:H22"/>
    <mergeCell ref="A43:F43"/>
    <mergeCell ref="F45:H45"/>
  </mergeCells>
  <printOptions/>
  <pageMargins left="0.7" right="0.7" top="0.75" bottom="0.75" header="0.3" footer="0.3"/>
  <pageSetup paperSize="1" pageOrder="downThenOver" orientation="portrait"/>
  <headerFooter>
    <oddHeader>&amp;L&amp;C&amp;R</oddHeader>
    <oddFooter>&amp;L&amp;C&amp;R</oddFooter>
  </headerFooter>
  <drawing r:id="rId1"/>
  <extLst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E89EBA8-2485-DF5B-8428-027BC6E12C44}" mc:Ignorable="x14ac xr xr2 xr3">
  <dimension ref="A1:GR50000"/>
  <sheetViews>
    <sheetView topLeftCell="A1" workbookViewId="0">
      <selection activeCell="A1" sqref="A1:F1"/>
    </sheetView>
  </sheetViews>
  <sheetFormatPr defaultRowHeight="15" defaultColWidth="7.75390625" customHeight="1"/>
  <cols>
    <col min="1" max="1" width="23.25390625" customWidth="1"/>
    <col min="2" max="2" width="6.50390625" customWidth="1"/>
    <col min="3" max="3" width="23.375" customWidth="1"/>
    <col min="4" max="4" width="7.25390625" customWidth="1"/>
    <col min="5" max="5" width="27.00390625" customWidth="1"/>
  </cols>
  <sheetData>
    <row r="1" ht="15.75" customHeight="1">
      <c r="A1" s="27" t="s">
        <v>70</v>
      </c>
    </row>
    <row r="3" ht="10.5" customHeight="1">
      <c r="A3" s="28" t="s">
        <v>71</v>
      </c>
    </row>
    <row r="6" ht="12.75" customHeight="1">
      <c r="A6" s="29" t="s">
        <v>72</v>
      </c>
    </row>
    <row r="8" ht="15.75" customHeight="1">
      <c r="A8" t="s">
        <v>73</v>
      </c>
      <c r="B8">
        <v>5</v>
      </c>
      <c r="C8" t="s">
        <v>74</v>
      </c>
    </row>
    <row r="9" ht="15.75" customHeight="1">
      <c r="A9" t="s">
        <v>75</v>
      </c>
      <c r="B9">
        <v>1</v>
      </c>
      <c r="C9" t="s">
        <v>74</v>
      </c>
    </row>
    <row r="10" ht="15.75" customHeight="1">
      <c r="A10" t="s">
        <v>76</v>
      </c>
      <c r="B10">
        <v>1.5</v>
      </c>
      <c r="C10" t="s">
        <v>74</v>
      </c>
    </row>
    <row r="11" ht="15.75" customHeight="1">
      <c r="A11" t="s">
        <v>77</v>
      </c>
      <c r="B11">
        <v>0.5</v>
      </c>
      <c r="C11" t="s">
        <v>74</v>
      </c>
    </row>
    <row r="12" ht="15.75" customHeight="1">
      <c r="A12" t="s">
        <v>78</v>
      </c>
      <c r="B12">
        <f>B9+B10+B11</f>
        <v>3</v>
      </c>
      <c r="C12" t="s">
        <v>79</v>
      </c>
    </row>
    <row r="15" ht="12.75" customHeight="1">
      <c r="A15" s="29" t="s">
        <v>80</v>
      </c>
    </row>
    <row r="17" ht="15.75" customHeight="1">
      <c r="A17" t="s">
        <v>81</v>
      </c>
      <c r="B17" s="30">
        <v>0.12</v>
      </c>
      <c r="C17" t="s">
        <v>82</v>
      </c>
    </row>
    <row r="18" ht="15.75" customHeight="1">
      <c r="A18" t="s">
        <v>83</v>
      </c>
      <c r="B18" s="30">
        <v>0.25</v>
      </c>
      <c r="C18" t="s">
        <v>84</v>
      </c>
    </row>
    <row r="19" ht="15.75" customHeight="1">
      <c r="A19" t="s">
        <v>85</v>
      </c>
      <c r="B19" s="30">
        <v>0.03</v>
      </c>
      <c r="C19" t="s">
        <v>86</v>
      </c>
    </row>
    <row r="22" ht="12.75" customHeight="1">
      <c r="A22" s="29" t="s">
        <v>87</v>
      </c>
    </row>
    <row r="24" ht="10.5" customHeight="1">
      <c r="A24" s="31" t="s">
        <v>88</v>
      </c>
      <c r="B24" s="31" t="s">
        <v>22</v>
      </c>
      <c r="C24" s="31" t="s">
        <v>23</v>
      </c>
      <c r="D24" s="31" t="s">
        <v>24</v>
      </c>
      <c r="E24" s="31" t="s">
        <v>89</v>
      </c>
    </row>
    <row r="25" ht="15.75" customHeight="1">
      <c r="A25" t="s">
        <v>90</v>
      </c>
      <c r="B25" s="32">
        <v>1.3</v>
      </c>
      <c r="C25" s="32">
        <v>1</v>
      </c>
      <c r="D25" s="32">
        <v>0.7</v>
      </c>
      <c r="E25" t="s">
        <v>91</v>
      </c>
    </row>
    <row r="26" ht="15.75" customHeight="1">
      <c r="A26" t="s">
        <v>92</v>
      </c>
      <c r="B26" s="32">
        <v>0.9</v>
      </c>
      <c r="C26" s="32">
        <v>1</v>
      </c>
      <c r="D26" s="32">
        <v>1.2</v>
      </c>
      <c r="E26" t="s">
        <v>93</v>
      </c>
    </row>
    <row r="27" ht="15.75" customHeight="1">
      <c r="A27" t="s">
        <v>94</v>
      </c>
      <c r="B27" s="32">
        <v>0.8</v>
      </c>
      <c r="C27" s="32">
        <v>1</v>
      </c>
      <c r="D27" s="32">
        <v>1.3</v>
      </c>
      <c r="E27" t="s">
        <v>95</v>
      </c>
    </row>
    <row r="30" ht="12.75" customHeight="1">
      <c r="A30" s="29" t="s">
        <v>96</v>
      </c>
    </row>
    <row r="32" ht="15.75" customHeight="1">
      <c r="A32" t="s">
        <v>33</v>
      </c>
      <c r="B32" s="30">
        <v>0.15</v>
      </c>
      <c r="C32" t="s">
        <v>97</v>
      </c>
    </row>
    <row r="33" ht="15.75" customHeight="1">
      <c r="A33" t="s">
        <v>34</v>
      </c>
      <c r="B33" s="30">
        <v>0.2</v>
      </c>
      <c r="C33" t="s">
        <v>98</v>
      </c>
    </row>
    <row r="34" ht="15.75" customHeight="1">
      <c r="A34" t="s">
        <v>36</v>
      </c>
      <c r="B34" s="30">
        <v>0.1</v>
      </c>
      <c r="C34" t="s">
        <v>99</v>
      </c>
    </row>
  </sheetData>
  <mergeCells>
    <mergeCell ref="A1:F1"/>
    <mergeCell ref="A3:F3"/>
    <mergeCell ref="A6:C6"/>
    <mergeCell ref="A15:C15"/>
    <mergeCell ref="A22:E22"/>
    <mergeCell ref="A30:C30"/>
  </mergeCells>
  <printOptions/>
  <pageMargins left="0.7" right="0.7" top="0.75" bottom="0.75" header="0.3" footer="0.3"/>
  <pageSetup paperSize="1" pageOrder="downThenOver" orientation="portrait"/>
  <headerFooter>
    <oddHeader>&amp;L&amp;C&amp;R</oddHeader>
    <oddFooter>&amp;L&amp;C&amp;R</oddFooter>
  </headerFooter>
  <extLst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45D36AA-310E-F4D8-7548-E984F9921A88}" mc:Ignorable="x14ac xr xr2 xr3">
  <dimension ref="A1:GR50000"/>
  <sheetViews>
    <sheetView topLeftCell="A1" workbookViewId="0">
      <selection activeCell="A1" sqref="A1:H1"/>
    </sheetView>
  </sheetViews>
  <sheetFormatPr defaultRowHeight="15" defaultColWidth="7.75390625" customHeight="1"/>
  <cols>
    <col min="1" max="1" width="21.00390625" customWidth="1"/>
    <col min="2" max="2" width="45.375" customWidth="1"/>
    <col min="3" max="3" width="10.875" customWidth="1"/>
    <col min="4" max="4" width="11.50390625" customWidth="1"/>
    <col min="5" max="7" width="10.875" customWidth="1"/>
  </cols>
  <sheetData>
    <row r="1" ht="15.75" customHeight="1">
      <c r="A1" s="27" t="s">
        <v>100</v>
      </c>
    </row>
    <row r="3" ht="10.5" customHeight="1">
      <c r="A3" s="28" t="s">
        <v>101</v>
      </c>
    </row>
    <row r="6" ht="12.75" customHeight="1">
      <c r="A6" s="33" t="s">
        <v>102</v>
      </c>
    </row>
    <row r="8" ht="10.5" customHeight="1">
      <c r="A8" s="34" t="s">
        <v>103</v>
      </c>
      <c r="B8" s="34" t="s">
        <v>89</v>
      </c>
      <c r="C8" s="34" t="s">
        <v>104</v>
      </c>
      <c r="D8" s="34" t="s">
        <v>51</v>
      </c>
    </row>
    <row r="9" ht="15.75" customHeight="1">
      <c r="A9" t="s">
        <v>105</v>
      </c>
      <c r="B9" t="s">
        <v>106</v>
      </c>
      <c r="C9" s="35">
        <v>500000</v>
      </c>
      <c r="D9" t="s">
        <v>56</v>
      </c>
    </row>
    <row r="10" ht="15.75" customHeight="1">
      <c r="A10" t="s">
        <v>107</v>
      </c>
      <c r="B10" t="s">
        <v>108</v>
      </c>
      <c r="C10" s="35">
        <v>250000</v>
      </c>
      <c r="D10" t="s">
        <v>56</v>
      </c>
    </row>
    <row r="11" ht="15.75" customHeight="1">
      <c r="A11" t="s">
        <v>109</v>
      </c>
      <c r="B11" t="s">
        <v>110</v>
      </c>
      <c r="C11" s="35">
        <v>100000</v>
      </c>
      <c r="D11" t="s">
        <v>60</v>
      </c>
    </row>
    <row r="12" ht="15.75" customHeight="1">
      <c r="A12" t="s">
        <v>111</v>
      </c>
      <c r="B12" t="s">
        <v>112</v>
      </c>
      <c r="C12" s="35">
        <v>75000</v>
      </c>
      <c r="D12" t="s">
        <v>60</v>
      </c>
    </row>
    <row r="13" ht="15.75" customHeight="1">
      <c r="A13" t="s">
        <v>113</v>
      </c>
      <c r="B13" t="s">
        <v>114</v>
      </c>
      <c r="C13" s="35">
        <v>150000</v>
      </c>
      <c r="D13" t="s">
        <v>63</v>
      </c>
    </row>
    <row r="15" ht="15.75" customHeight="1">
      <c r="A15" t="s">
        <v>115</v>
      </c>
      <c r="B15" t="s">
        <v>116</v>
      </c>
      <c r="C15" s="35">
        <v>0</v>
      </c>
      <c r="D15" t="s">
        <v>51</v>
      </c>
    </row>
    <row r="16" ht="15.75" customHeight="1">
      <c r="A16" t="s">
        <v>117</v>
      </c>
      <c r="B16" t="s">
        <v>116</v>
      </c>
      <c r="C16" s="35">
        <v>0</v>
      </c>
      <c r="D16" t="s">
        <v>51</v>
      </c>
    </row>
    <row r="18" ht="11.25" customHeight="1">
      <c r="A18" s="36" t="s">
        <v>118</v>
      </c>
      <c r="B18" s="36"/>
      <c r="C18" s="36">
        <f>SUM(C9:C16)</f>
        <v>1075000</v>
      </c>
    </row>
    <row r="21" ht="12.75" customHeight="1">
      <c r="A21" s="37" t="s">
        <v>119</v>
      </c>
    </row>
    <row r="23" ht="10.5" customHeight="1">
      <c r="A23" s="38" t="s">
        <v>103</v>
      </c>
      <c r="B23" s="38" t="s">
        <v>89</v>
      </c>
      <c r="C23" s="38" t="s">
        <v>120</v>
      </c>
      <c r="D23" s="38" t="s">
        <v>121</v>
      </c>
      <c r="E23" s="38" t="s">
        <v>122</v>
      </c>
      <c r="F23" s="38" t="s">
        <v>123</v>
      </c>
      <c r="G23" s="38" t="s">
        <v>124</v>
      </c>
    </row>
    <row r="25" ht="11.25" customHeight="1">
      <c r="A25" s="39" t="s">
        <v>125</v>
      </c>
    </row>
    <row r="26" ht="15.75" customHeight="1">
      <c r="A26" t="s">
        <v>126</v>
      </c>
      <c r="B26" t="s">
        <v>127</v>
      </c>
      <c r="C26" s="35">
        <v>360000</v>
      </c>
      <c r="D26" s="35">
        <f t="shared" si="0" ref="D26:G38">C26*1.03</f>
        <v>370800</v>
      </c>
      <c r="E26" s="35">
        <f t="shared" si="0"/>
        <v>381924</v>
      </c>
      <c r="F26" s="35">
        <f t="shared" si="0"/>
        <v>393381.72</v>
      </c>
      <c r="G26" s="35">
        <f t="shared" si="0"/>
        <v>405183.1716</v>
      </c>
    </row>
    <row r="27" ht="15.75" customHeight="1">
      <c r="A27" t="s">
        <v>128</v>
      </c>
      <c r="B27" t="s">
        <v>129</v>
      </c>
      <c r="C27" s="35">
        <v>0</v>
      </c>
      <c r="D27" s="35">
        <v>200000</v>
      </c>
      <c r="E27" s="35">
        <f t="shared" si="0"/>
        <v>206000</v>
      </c>
      <c r="F27" s="35">
        <f t="shared" si="0"/>
        <v>212180</v>
      </c>
      <c r="G27" s="35">
        <f t="shared" si="0"/>
        <v>218545.4</v>
      </c>
    </row>
    <row r="28" ht="15.75" customHeight="1">
      <c r="A28" t="s">
        <v>130</v>
      </c>
      <c r="B28" t="s">
        <v>131</v>
      </c>
      <c r="C28" s="35">
        <v>130000</v>
      </c>
      <c r="D28" s="35">
        <f t="shared" si="0"/>
        <v>133900</v>
      </c>
      <c r="E28" s="35">
        <f t="shared" si="0"/>
        <v>137917</v>
      </c>
      <c r="F28" s="35">
        <f t="shared" si="0"/>
        <v>142054.51</v>
      </c>
      <c r="G28" s="35">
        <f t="shared" si="0"/>
        <v>146316.1453</v>
      </c>
    </row>
    <row r="30" ht="11.25" customHeight="1">
      <c r="A30" s="39" t="s">
        <v>132</v>
      </c>
    </row>
    <row r="31" ht="15.75" customHeight="1">
      <c r="A31" t="s">
        <v>133</v>
      </c>
      <c r="B31" t="s">
        <v>134</v>
      </c>
      <c r="C31" s="35">
        <v>50000</v>
      </c>
      <c r="D31" s="35">
        <f t="shared" si="0"/>
        <v>51500</v>
      </c>
      <c r="E31" s="35">
        <f t="shared" si="0"/>
        <v>53045</v>
      </c>
      <c r="F31" s="35">
        <f t="shared" si="0"/>
        <v>54636.35</v>
      </c>
      <c r="G31" s="35">
        <f t="shared" si="0"/>
        <v>56275.4405</v>
      </c>
    </row>
    <row r="32" ht="15.75" customHeight="1">
      <c r="A32" t="s">
        <v>135</v>
      </c>
      <c r="B32" t="s">
        <v>136</v>
      </c>
      <c r="C32" s="35">
        <v>25000</v>
      </c>
      <c r="D32" s="35">
        <f t="shared" si="1" ref="D32:G32">C32*1.05</f>
        <v>26250</v>
      </c>
      <c r="E32" s="35">
        <f t="shared" si="1"/>
        <v>27562.5</v>
      </c>
      <c r="F32" s="35">
        <f t="shared" si="1"/>
        <v>28940.625</v>
      </c>
      <c r="G32" s="35">
        <f t="shared" si="1"/>
        <v>30387.65625</v>
      </c>
    </row>
    <row r="34" ht="11.25" customHeight="1">
      <c r="A34" s="39" t="s">
        <v>137</v>
      </c>
    </row>
    <row r="35" ht="15.75" customHeight="1">
      <c r="A35" t="s">
        <v>138</v>
      </c>
      <c r="B35" t="s">
        <v>139</v>
      </c>
      <c r="C35" s="35">
        <v>80000</v>
      </c>
      <c r="D35" s="35">
        <f t="shared" si="0"/>
        <v>82400</v>
      </c>
      <c r="E35" s="35">
        <f t="shared" si="0"/>
        <v>84872</v>
      </c>
      <c r="F35" s="35">
        <f t="shared" si="0"/>
        <v>87418.16</v>
      </c>
      <c r="G35" s="35">
        <f t="shared" si="0"/>
        <v>90040.7048</v>
      </c>
    </row>
    <row r="36" ht="15.75" customHeight="1">
      <c r="A36" t="s">
        <v>140</v>
      </c>
      <c r="B36" t="s">
        <v>141</v>
      </c>
      <c r="C36" s="35">
        <v>35000</v>
      </c>
      <c r="D36" s="35">
        <f t="shared" si="0"/>
        <v>36050</v>
      </c>
      <c r="E36" s="35">
        <f t="shared" si="0"/>
        <v>37131.5</v>
      </c>
      <c r="F36" s="35">
        <f t="shared" si="0"/>
        <v>38245.445</v>
      </c>
      <c r="G36" s="35">
        <f t="shared" si="0"/>
        <v>39392.80835</v>
      </c>
    </row>
    <row r="37" ht="15.75" customHeight="1">
      <c r="A37" t="s">
        <v>142</v>
      </c>
      <c r="B37" t="s">
        <v>143</v>
      </c>
      <c r="C37" s="35">
        <v>45000</v>
      </c>
      <c r="D37" s="35">
        <f t="shared" si="0"/>
        <v>46350</v>
      </c>
      <c r="E37" s="35">
        <f t="shared" si="0"/>
        <v>47740.5</v>
      </c>
      <c r="F37" s="35">
        <f t="shared" si="0"/>
        <v>49172.715</v>
      </c>
      <c r="G37" s="35">
        <f t="shared" si="0"/>
        <v>50647.89645</v>
      </c>
    </row>
    <row r="38" ht="15.75" customHeight="1">
      <c r="A38" t="s">
        <v>144</v>
      </c>
      <c r="B38" t="s">
        <v>145</v>
      </c>
      <c r="C38" s="35">
        <v>60000</v>
      </c>
      <c r="D38" s="35">
        <f t="shared" si="0"/>
        <v>61800</v>
      </c>
      <c r="E38" s="35">
        <f t="shared" si="0"/>
        <v>63654</v>
      </c>
      <c r="F38" s="35">
        <f t="shared" si="0"/>
        <v>65563.62</v>
      </c>
      <c r="G38" s="35">
        <f t="shared" si="0"/>
        <v>67530.5286</v>
      </c>
    </row>
    <row r="40" ht="15.75" customHeight="1">
      <c r="A40" t="s">
        <v>146</v>
      </c>
      <c r="B40" t="s">
        <v>116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</row>
    <row r="41" ht="15.75" customHeight="1">
      <c r="A41" t="s">
        <v>147</v>
      </c>
      <c r="B41" t="s">
        <v>116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</row>
    <row r="43" ht="11.25" customHeight="1">
      <c r="A43" s="40" t="s">
        <v>148</v>
      </c>
      <c r="B43" s="40"/>
      <c r="C43" s="40">
        <f t="shared" si="2" ref="C43:G43">SUM(C26:C41)</f>
        <v>785000</v>
      </c>
      <c r="D43" s="40">
        <f t="shared" si="2"/>
        <v>1009050</v>
      </c>
      <c r="E43" s="40">
        <f t="shared" si="2"/>
        <v>1039846.5</v>
      </c>
      <c r="F43" s="40">
        <f t="shared" si="2"/>
        <v>1071593.145</v>
      </c>
      <c r="G43" s="40">
        <f t="shared" si="2"/>
        <v>1104319.75185</v>
      </c>
    </row>
    <row r="46" ht="15" customHeight="1">
      <c r="A46" s="41" t="s">
        <v>149</v>
      </c>
    </row>
    <row r="48" ht="11.25" customHeight="1">
      <c r="A48" s="42" t="s">
        <v>150</v>
      </c>
      <c r="B48" s="42" t="s">
        <v>104</v>
      </c>
    </row>
    <row r="49" ht="15.75" customHeight="1">
      <c r="A49" t="s">
        <v>151</v>
      </c>
      <c r="B49" s="35" cm="1">
        <f t="array" ref="B49">C18</f>
        <v>1075000</v>
      </c>
    </row>
    <row r="50" ht="15.75" customHeight="1">
      <c r="A50" t="s">
        <v>152</v>
      </c>
      <c r="B50" s="35">
        <f>C43+D43+E43+F43+G43</f>
        <v>5009809.39685</v>
      </c>
    </row>
    <row r="51" ht="12.75" customHeight="1">
      <c r="A51" s="43" t="s">
        <v>153</v>
      </c>
      <c r="B51" s="43">
        <f>B49+B50</f>
        <v>6084809.39685</v>
      </c>
    </row>
  </sheetData>
  <mergeCells>
    <mergeCell ref="A1:H1"/>
    <mergeCell ref="A3:H3"/>
    <mergeCell ref="A6:D6"/>
    <mergeCell ref="A21:F21"/>
    <mergeCell ref="A25:C25"/>
    <mergeCell ref="A30:C30"/>
    <mergeCell ref="A34:C34"/>
    <mergeCell ref="A46:F46"/>
  </mergeCells>
  <printOptions/>
  <pageMargins left="0.7" right="0.7" top="0.75" bottom="0.75" header="0.3" footer="0.3"/>
  <pageSetup paperSize="1" pageOrder="downThenOver" orientation="portrait"/>
  <headerFooter>
    <oddHeader>&amp;L&amp;C&amp;R</oddHeader>
    <oddFooter>&amp;L&amp;C&amp;R</oddFooter>
  </headerFooter>
  <extLst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C787B95-8898-E5E8-2C18-51192894D4E8}" mc:Ignorable="x14ac xr xr2 xr3">
  <dimension ref="A1:GR50000"/>
  <sheetViews>
    <sheetView topLeftCell="A1" workbookViewId="0">
      <selection activeCell="A1" sqref="A1:H1"/>
    </sheetView>
  </sheetViews>
  <sheetFormatPr defaultRowHeight="15" defaultColWidth="7.75390625" customHeight="1"/>
  <cols>
    <col min="1" max="1" width="29.25390625" customWidth="1"/>
    <col min="2" max="2" width="15.50390625" customWidth="1"/>
    <col min="3" max="3" width="8.75390625" customWidth="1"/>
    <col min="4" max="4" width="28.875" customWidth="1"/>
    <col min="5" max="6" width="5.00390625" customWidth="1"/>
    <col min="7" max="7" width="26.75390625" customWidth="1"/>
  </cols>
  <sheetData>
    <row r="1" ht="15.75" customHeight="1">
      <c r="A1" s="27" t="s">
        <v>154</v>
      </c>
    </row>
    <row r="3" ht="10.5" customHeight="1">
      <c r="A3" s="28" t="s">
        <v>155</v>
      </c>
    </row>
    <row r="6" ht="12.75" customHeight="1">
      <c r="A6" s="33" t="s">
        <v>156</v>
      </c>
    </row>
    <row r="8" ht="10.5" customHeight="1">
      <c r="A8" s="34" t="s">
        <v>88</v>
      </c>
      <c r="B8" s="34" t="s">
        <v>157</v>
      </c>
      <c r="C8" s="34" t="s">
        <v>158</v>
      </c>
      <c r="D8" s="34" t="s">
        <v>159</v>
      </c>
    </row>
    <row r="9" ht="15.75" customHeight="1">
      <c r="A9" t="s">
        <v>160</v>
      </c>
      <c r="B9" s="35">
        <v>5000000000</v>
      </c>
      <c r="C9" t="s">
        <v>161</v>
      </c>
      <c r="D9" t="s">
        <v>162</v>
      </c>
    </row>
    <row r="10" ht="15.75" customHeight="1">
      <c r="A10" t="s">
        <v>163</v>
      </c>
      <c r="B10" s="35">
        <v>1500000000</v>
      </c>
      <c r="C10" t="s">
        <v>161</v>
      </c>
      <c r="D10" t="s">
        <v>164</v>
      </c>
    </row>
    <row r="11" ht="15.75" customHeight="1">
      <c r="A11" t="s">
        <v>165</v>
      </c>
      <c r="B11" s="30">
        <v>0.08</v>
      </c>
      <c r="C11" t="s">
        <v>166</v>
      </c>
      <c r="D11" t="s">
        <v>167</v>
      </c>
    </row>
    <row r="12" ht="15.75" customHeight="1">
      <c r="A12" t="s">
        <v>168</v>
      </c>
      <c r="B12" s="30">
        <v>0.15</v>
      </c>
      <c r="C12" t="s">
        <v>169</v>
      </c>
      <c r="D12" t="s">
        <v>170</v>
      </c>
    </row>
    <row r="15" ht="12.75" customHeight="1">
      <c r="A15" s="37" t="s">
        <v>171</v>
      </c>
    </row>
    <row r="17" ht="10.5" customHeight="1">
      <c r="A17" s="38" t="s">
        <v>88</v>
      </c>
      <c r="B17" s="38" t="s">
        <v>157</v>
      </c>
      <c r="C17" s="38" t="s">
        <v>158</v>
      </c>
      <c r="D17" s="38" t="s">
        <v>159</v>
      </c>
    </row>
    <row r="18" ht="15.75" customHeight="1">
      <c r="A18" t="s">
        <v>172</v>
      </c>
      <c r="B18" s="35">
        <v>1000</v>
      </c>
      <c r="C18" t="s">
        <v>173</v>
      </c>
      <c r="D18" t="s">
        <v>174</v>
      </c>
    </row>
    <row r="19" ht="15.75" customHeight="1">
      <c r="A19" t="s">
        <v>175</v>
      </c>
      <c r="B19" s="30">
        <v>-0.05</v>
      </c>
      <c r="C19" t="s">
        <v>166</v>
      </c>
      <c r="D19" t="s">
        <v>176</v>
      </c>
    </row>
    <row r="20" ht="15.75" customHeight="1">
      <c r="A20" t="s">
        <v>177</v>
      </c>
      <c r="B20" s="30">
        <v>0.1</v>
      </c>
      <c r="C20" t="s">
        <v>178</v>
      </c>
      <c r="D20" t="s">
        <v>179</v>
      </c>
    </row>
    <row r="21" ht="15.75" customHeight="1">
      <c r="A21" t="s">
        <v>180</v>
      </c>
      <c r="B21" s="30">
        <v>0.15</v>
      </c>
      <c r="C21" t="s">
        <v>181</v>
      </c>
      <c r="D21" t="s">
        <v>182</v>
      </c>
    </row>
    <row r="24" ht="12.75" customHeight="1">
      <c r="A24" s="44" t="s">
        <v>183</v>
      </c>
    </row>
    <row r="26" ht="10.5" customHeight="1">
      <c r="A26" s="45" t="s">
        <v>184</v>
      </c>
      <c r="B26" s="45" t="s">
        <v>185</v>
      </c>
      <c r="C26" s="45" t="s">
        <v>186</v>
      </c>
      <c r="D26" s="45" t="s">
        <v>187</v>
      </c>
      <c r="E26" s="45" t="s">
        <v>188</v>
      </c>
      <c r="F26" s="45" t="s">
        <v>189</v>
      </c>
      <c r="G26" s="45" t="s">
        <v>159</v>
      </c>
    </row>
    <row r="27" ht="15.75" customHeight="1">
      <c r="A27" t="s">
        <v>190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t="s">
        <v>191</v>
      </c>
    </row>
    <row r="28" ht="15.75" customHeight="1">
      <c r="A28" t="s">
        <v>192</v>
      </c>
      <c r="B28" s="30">
        <v>0</v>
      </c>
      <c r="C28" s="30">
        <v>0</v>
      </c>
      <c r="D28" s="30">
        <v>0.005</v>
      </c>
      <c r="E28" s="30">
        <v>0</v>
      </c>
      <c r="F28" s="30">
        <v>0</v>
      </c>
      <c r="G28" t="s">
        <v>193</v>
      </c>
    </row>
    <row r="29" ht="15.75" customHeight="1">
      <c r="A29" t="s">
        <v>194</v>
      </c>
      <c r="B29" s="30">
        <v>0</v>
      </c>
      <c r="C29" s="30">
        <v>0</v>
      </c>
      <c r="D29" s="30">
        <v>0.01</v>
      </c>
      <c r="E29" s="30">
        <v>0.025</v>
      </c>
      <c r="F29" s="30">
        <v>0</v>
      </c>
      <c r="G29" t="s">
        <v>195</v>
      </c>
    </row>
    <row r="30" ht="15.75" customHeight="1">
      <c r="A30" t="s">
        <v>196</v>
      </c>
      <c r="B30" s="30">
        <v>0</v>
      </c>
      <c r="C30" s="30">
        <v>0</v>
      </c>
      <c r="D30" s="30">
        <v>0</v>
      </c>
      <c r="E30" s="30">
        <v>0.04</v>
      </c>
      <c r="F30" s="30">
        <v>0.08</v>
      </c>
      <c r="G30" t="s">
        <v>197</v>
      </c>
    </row>
    <row r="32" ht="11.25" customHeight="1">
      <c r="A32" s="46" t="s">
        <v>198</v>
      </c>
      <c r="B32" s="46">
        <f t="shared" si="0" ref="B32:F32">SUM(B27:B30)</f>
        <v>0</v>
      </c>
      <c r="C32" s="46">
        <f t="shared" si="0"/>
        <v>0</v>
      </c>
      <c r="D32" s="46">
        <f t="shared" si="0"/>
        <v>0.015</v>
      </c>
      <c r="E32" s="46">
        <f t="shared" si="0"/>
        <v>0.065</v>
      </c>
      <c r="F32" s="46">
        <f t="shared" si="0"/>
        <v>0.08</v>
      </c>
      <c r="G32" s="46" t="s">
        <v>199</v>
      </c>
    </row>
    <row r="35" ht="12.75" customHeight="1">
      <c r="A35" s="43" t="s">
        <v>200</v>
      </c>
    </row>
    <row r="37" ht="10.5" customHeight="1">
      <c r="A37" s="31" t="s">
        <v>201</v>
      </c>
      <c r="B37" s="31" t="s">
        <v>185</v>
      </c>
      <c r="C37" s="31" t="s">
        <v>186</v>
      </c>
      <c r="D37" s="31" t="s">
        <v>187</v>
      </c>
      <c r="E37" s="31" t="s">
        <v>188</v>
      </c>
      <c r="F37" s="31" t="s">
        <v>189</v>
      </c>
      <c r="G37" s="31" t="s">
        <v>202</v>
      </c>
    </row>
    <row r="38" ht="15.75" customHeight="1">
      <c r="A38" t="s">
        <v>203</v>
      </c>
      <c r="B38" s="35" cm="1">
        <f t="array" ref="B38">B10</f>
        <v>1500000000</v>
      </c>
      <c r="C38" s="35">
        <f>B38*(1+B11)</f>
        <v>1620000000</v>
      </c>
      <c r="D38" s="35">
        <f>C38*(1+B11)</f>
        <v>1749600000</v>
      </c>
      <c r="E38" s="35">
        <f>D38*(1+B11)</f>
        <v>1889568000</v>
      </c>
      <c r="F38" s="35">
        <f>E38*(1+B11)</f>
        <v>2040733440</v>
      </c>
      <c r="G38" t="s">
        <v>204</v>
      </c>
    </row>
    <row r="39" ht="15.75" customHeight="1">
      <c r="A39" t="s">
        <v>205</v>
      </c>
      <c r="B39" s="35">
        <f t="shared" si="1" ref="B39:F39">B38*B32</f>
        <v>0</v>
      </c>
      <c r="C39" s="35">
        <f t="shared" si="1"/>
        <v>0</v>
      </c>
      <c r="D39" s="35">
        <f t="shared" si="1"/>
        <v>26244000</v>
      </c>
      <c r="E39" s="35">
        <f t="shared" si="1"/>
        <v>122821920</v>
      </c>
      <c r="F39" s="35">
        <f t="shared" si="1"/>
        <v>163258675.2</v>
      </c>
      <c r="G39" t="s">
        <v>206</v>
      </c>
    </row>
    <row r="40" ht="15.75" customHeight="1">
      <c r="A40" t="s">
        <v>207</v>
      </c>
      <c r="B40" s="35">
        <f>B39*B20</f>
        <v>0</v>
      </c>
      <c r="C40" s="35">
        <f>C39*B20</f>
        <v>0</v>
      </c>
      <c r="D40" s="35">
        <f>D39*B20</f>
        <v>2624400</v>
      </c>
      <c r="E40" s="35">
        <f>E39*B20</f>
        <v>12282192</v>
      </c>
      <c r="F40" s="35">
        <f>F39*B20</f>
        <v>16325867.52</v>
      </c>
      <c r="G40" t="s">
        <v>208</v>
      </c>
    </row>
    <row r="41" ht="15.75" customHeight="1">
      <c r="A41" t="s">
        <v>209</v>
      </c>
      <c r="B41" s="35">
        <f>(B39-B40)*B21</f>
        <v>0</v>
      </c>
      <c r="C41" s="35">
        <f>(C39-C40)*B21</f>
        <v>0</v>
      </c>
      <c r="D41" s="35">
        <f>(D39-D40)*B21</f>
        <v>3542940</v>
      </c>
      <c r="E41" s="35">
        <f>(E39-E40)*B21</f>
        <v>16580959.2</v>
      </c>
      <c r="F41" s="35">
        <f>(F39-F40)*B21</f>
        <v>22039921.152</v>
      </c>
      <c r="G41" t="s">
        <v>210</v>
      </c>
    </row>
    <row r="43" ht="12.75" customHeight="1">
      <c r="A43" s="43" t="s">
        <v>211</v>
      </c>
      <c r="B43" s="43">
        <f t="shared" si="2" ref="B43:F43">B39-B40-B41</f>
        <v>0</v>
      </c>
      <c r="C43" s="43">
        <f t="shared" si="2"/>
        <v>0</v>
      </c>
      <c r="D43" s="43">
        <f t="shared" si="2"/>
        <v>20076660</v>
      </c>
      <c r="E43" s="43">
        <f t="shared" si="2"/>
        <v>93958768.8</v>
      </c>
      <c r="F43" s="43">
        <f t="shared" si="2"/>
        <v>124892886.528</v>
      </c>
      <c r="G43" s="43" t="s">
        <v>212</v>
      </c>
    </row>
  </sheetData>
  <mergeCells>
    <mergeCell ref="A1:H1"/>
    <mergeCell ref="A3:H3"/>
    <mergeCell ref="A6:D6"/>
    <mergeCell ref="A15:D15"/>
    <mergeCell ref="A24:G24"/>
    <mergeCell ref="A35:G35"/>
  </mergeCells>
  <printOptions/>
  <pageMargins left="0.7" right="0.7" top="0.75" bottom="0.75" header="0.3" footer="0.3"/>
  <pageSetup paperSize="1" pageOrder="downThenOver" orientation="portrait"/>
  <headerFooter>
    <oddHeader>&amp;L&amp;C&amp;R</oddHeader>
    <oddFooter>&amp;L&amp;C&amp;R</oddFooter>
  </headerFooter>
  <extLst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7B72668-AB17-3255-AC18-ECE0224338A2}" mc:Ignorable="x14ac xr xr2 xr3">
  <dimension ref="A1:GR50000"/>
  <sheetViews>
    <sheetView topLeftCell="A1" workbookViewId="0">
      <selection activeCell="A1" sqref="A1:J1"/>
    </sheetView>
  </sheetViews>
  <sheetFormatPr defaultRowHeight="15" defaultColWidth="7.75390625" customHeight="1"/>
  <cols>
    <col min="1" max="1" width="19.375" customWidth="1"/>
    <col min="2" max="2" width="7.875" customWidth="1"/>
    <col min="3" max="3" width="23.875" customWidth="1"/>
    <col min="4" max="6" width="10.875" customWidth="1"/>
    <col min="7" max="8" width="13.125" customWidth="1"/>
    <col min="9" max="10" width="14.125" customWidth="1"/>
  </cols>
  <sheetData>
    <row r="1" ht="15.75" customHeight="1">
      <c r="A1" s="27" t="s">
        <v>213</v>
      </c>
    </row>
    <row r="3" ht="10.5" customHeight="1">
      <c r="A3" s="28" t="s">
        <v>214</v>
      </c>
    </row>
    <row r="6" ht="15" customHeight="1">
      <c r="A6" s="41" t="s">
        <v>215</v>
      </c>
      <c r="D6" s="47" t="s">
        <v>216</v>
      </c>
    </row>
    <row r="8" ht="10.5" customHeight="1">
      <c r="A8" s="31" t="s">
        <v>217</v>
      </c>
      <c r="B8" s="31" t="s">
        <v>218</v>
      </c>
      <c r="C8" s="31" t="s">
        <v>219</v>
      </c>
      <c r="D8" s="31" t="s">
        <v>220</v>
      </c>
      <c r="E8" s="31" t="s">
        <v>185</v>
      </c>
      <c r="F8" s="31" t="s">
        <v>186</v>
      </c>
      <c r="G8" s="31" t="s">
        <v>187</v>
      </c>
      <c r="H8" s="31" t="s">
        <v>188</v>
      </c>
      <c r="I8" s="31" t="s">
        <v>189</v>
      </c>
      <c r="J8" s="31" t="s">
        <v>221</v>
      </c>
    </row>
    <row r="10" ht="12.75" customHeight="1">
      <c r="A10" s="33" t="s">
        <v>222</v>
      </c>
    </row>
    <row r="11" ht="15.75" customHeight="1">
      <c r="A11" t="s">
        <v>223</v>
      </c>
      <c r="B11" t="s">
        <v>224</v>
      </c>
      <c r="C11" t="s">
        <v>225</v>
      </c>
      <c r="D11" s="35">
        <v>0</v>
      </c>
      <c r="E11" s="35" cm="1">
        <f t="array" ref="E11">Revenue!B43</f>
        <v>0</v>
      </c>
      <c r="F11" s="35" cm="1">
        <f t="array" ref="F11">Revenue!C43</f>
        <v>0</v>
      </c>
      <c r="G11" s="35" cm="1">
        <f t="array" ref="G11">Revenue!D43</f>
        <v>20076660</v>
      </c>
      <c r="H11" s="35" cm="1">
        <f t="array" ref="H11">Revenue!E43</f>
        <v>93958768.8</v>
      </c>
      <c r="I11" s="35" cm="1">
        <f t="array" ref="I11">Revenue!F43</f>
        <v>124892886.528</v>
      </c>
      <c r="J11" s="35">
        <f t="shared" si="0" ref="J11:J32">SUM(D11:I11)</f>
        <v>238928315.328</v>
      </c>
    </row>
    <row r="12" ht="11.25" customHeight="1">
      <c r="A12" s="48" t="s">
        <v>226</v>
      </c>
      <c r="B12" s="48"/>
      <c r="C12" s="48"/>
      <c r="D12" s="48" cm="1">
        <f t="array" ref="D12">D11</f>
        <v>0</v>
      </c>
      <c r="E12" s="48" cm="1">
        <f t="array" ref="E12">E11</f>
        <v>0</v>
      </c>
      <c r="F12" s="48" cm="1">
        <f t="array" ref="F12">F11</f>
        <v>0</v>
      </c>
      <c r="G12" s="48" cm="1">
        <f t="array" ref="G12">G11</f>
        <v>20076660</v>
      </c>
      <c r="H12" s="48" cm="1">
        <f t="array" ref="H12">H11</f>
        <v>93958768.8</v>
      </c>
      <c r="I12" s="48" cm="1">
        <f t="array" ref="I12">I11</f>
        <v>124892886.528</v>
      </c>
      <c r="J12" s="48" cm="1">
        <f t="array" ref="J12">J11</f>
        <v>238928315.328</v>
      </c>
    </row>
    <row r="15" ht="12.75" customHeight="1">
      <c r="A15" s="49" t="s">
        <v>227</v>
      </c>
    </row>
    <row r="16" ht="15.75" customHeight="1">
      <c r="A16" t="s">
        <v>105</v>
      </c>
      <c r="B16" t="s">
        <v>228</v>
      </c>
      <c r="C16" t="s">
        <v>229</v>
      </c>
      <c r="D16" s="35" cm="1">
        <f t="array" ref="D16">'R&amp;D Investment Costs'!C9</f>
        <v>500000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f t="shared" si="0"/>
        <v>500000</v>
      </c>
    </row>
    <row r="17" ht="15.75" customHeight="1">
      <c r="A17" t="s">
        <v>107</v>
      </c>
      <c r="B17" t="s">
        <v>228</v>
      </c>
      <c r="C17" t="s">
        <v>230</v>
      </c>
      <c r="D17" s="35" cm="1">
        <f t="array" ref="D17">'R&amp;D Investment Costs'!C10</f>
        <v>250000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f t="shared" si="0"/>
        <v>250000</v>
      </c>
    </row>
    <row r="18" ht="15.75" customHeight="1">
      <c r="A18" t="s">
        <v>109</v>
      </c>
      <c r="B18" t="s">
        <v>228</v>
      </c>
      <c r="C18" t="s">
        <v>231</v>
      </c>
      <c r="D18" s="35">
        <v>0</v>
      </c>
      <c r="E18" s="35">
        <v>0</v>
      </c>
      <c r="F18" s="35" cm="1">
        <f t="array" ref="F18">'R&amp;D Investment Costs'!C11</f>
        <v>100000</v>
      </c>
      <c r="G18" s="35">
        <v>0</v>
      </c>
      <c r="H18" s="35">
        <v>0</v>
      </c>
      <c r="I18" s="35">
        <v>0</v>
      </c>
      <c r="J18" s="35">
        <f t="shared" si="0"/>
        <v>100000</v>
      </c>
    </row>
    <row r="19" ht="15.75" customHeight="1">
      <c r="A19" t="s">
        <v>111</v>
      </c>
      <c r="B19" t="s">
        <v>228</v>
      </c>
      <c r="C19" t="s">
        <v>232</v>
      </c>
      <c r="D19" s="35">
        <v>0</v>
      </c>
      <c r="E19" s="35">
        <v>0</v>
      </c>
      <c r="F19" s="35" cm="1">
        <f t="array" ref="F19">'R&amp;D Investment Costs'!C12</f>
        <v>75000</v>
      </c>
      <c r="G19" s="35">
        <v>0</v>
      </c>
      <c r="H19" s="35">
        <v>0</v>
      </c>
      <c r="I19" s="35">
        <v>0</v>
      </c>
      <c r="J19" s="35">
        <f t="shared" si="0"/>
        <v>75000</v>
      </c>
    </row>
    <row r="20" ht="15.75" customHeight="1">
      <c r="A20" t="s">
        <v>113</v>
      </c>
      <c r="B20" t="s">
        <v>228</v>
      </c>
      <c r="C20" t="s">
        <v>233</v>
      </c>
      <c r="D20" s="35">
        <v>0</v>
      </c>
      <c r="E20" s="35">
        <v>0</v>
      </c>
      <c r="F20" s="35">
        <v>0</v>
      </c>
      <c r="G20" s="35" cm="1">
        <f t="array" ref="G20">'R&amp;D Investment Costs'!C13</f>
        <v>150000</v>
      </c>
      <c r="H20" s="35">
        <v>0</v>
      </c>
      <c r="I20" s="35">
        <v>0</v>
      </c>
      <c r="J20" s="35">
        <f t="shared" si="0"/>
        <v>150000</v>
      </c>
    </row>
    <row r="22" ht="15.75" customHeight="1">
      <c r="A22" t="s">
        <v>126</v>
      </c>
      <c r="B22" t="s">
        <v>234</v>
      </c>
      <c r="C22" t="s">
        <v>235</v>
      </c>
      <c r="D22" s="35">
        <v>0</v>
      </c>
      <c r="E22" s="35" cm="1">
        <f t="array" ref="E22">'R&amp;D Investment Costs'!C26</f>
        <v>360000</v>
      </c>
      <c r="F22" s="35" cm="1">
        <f t="array" ref="F22">'R&amp;D Investment Costs'!D26</f>
        <v>370800</v>
      </c>
      <c r="G22" s="35" cm="1">
        <f t="array" ref="G22">'R&amp;D Investment Costs'!E26</f>
        <v>381924</v>
      </c>
      <c r="H22" s="35" cm="1">
        <f t="array" ref="H22">'R&amp;D Investment Costs'!F26</f>
        <v>393381.72</v>
      </c>
      <c r="I22" s="35" cm="1">
        <f t="array" ref="I22">'R&amp;D Investment Costs'!G26</f>
        <v>405183.1716</v>
      </c>
      <c r="J22" s="35">
        <f t="shared" si="0"/>
        <v>1911288.8916</v>
      </c>
    </row>
    <row r="23" ht="15.75" customHeight="1">
      <c r="A23" t="s">
        <v>128</v>
      </c>
      <c r="B23" t="s">
        <v>234</v>
      </c>
      <c r="C23" t="s">
        <v>236</v>
      </c>
      <c r="D23" s="35">
        <v>0</v>
      </c>
      <c r="E23" s="35" cm="1">
        <f t="array" ref="E23">'R&amp;D Investment Costs'!C27</f>
        <v>0</v>
      </c>
      <c r="F23" s="35" cm="1">
        <f t="array" ref="F23">'R&amp;D Investment Costs'!D27</f>
        <v>200000</v>
      </c>
      <c r="G23" s="35" cm="1">
        <f t="array" ref="G23">'R&amp;D Investment Costs'!E27</f>
        <v>206000</v>
      </c>
      <c r="H23" s="35" cm="1">
        <f t="array" ref="H23">'R&amp;D Investment Costs'!F27</f>
        <v>212180</v>
      </c>
      <c r="I23" s="35" cm="1">
        <f t="array" ref="I23">'R&amp;D Investment Costs'!G27</f>
        <v>218545.4</v>
      </c>
      <c r="J23" s="35">
        <f t="shared" si="0"/>
        <v>836725.4</v>
      </c>
    </row>
    <row r="24" ht="15.75" customHeight="1">
      <c r="A24" t="s">
        <v>130</v>
      </c>
      <c r="B24" t="s">
        <v>234</v>
      </c>
      <c r="C24" t="s">
        <v>237</v>
      </c>
      <c r="D24" s="35">
        <v>0</v>
      </c>
      <c r="E24" s="35" cm="1">
        <f t="array" ref="E24">'R&amp;D Investment Costs'!C28</f>
        <v>130000</v>
      </c>
      <c r="F24" s="35" cm="1">
        <f t="array" ref="F24">'R&amp;D Investment Costs'!D28</f>
        <v>133900</v>
      </c>
      <c r="G24" s="35" cm="1">
        <f t="array" ref="G24">'R&amp;D Investment Costs'!E28</f>
        <v>137917</v>
      </c>
      <c r="H24" s="35" cm="1">
        <f t="array" ref="H24">'R&amp;D Investment Costs'!F28</f>
        <v>142054.51</v>
      </c>
      <c r="I24" s="35" cm="1">
        <f t="array" ref="I24">'R&amp;D Investment Costs'!G28</f>
        <v>146316.1453</v>
      </c>
      <c r="J24" s="35">
        <f t="shared" si="0"/>
        <v>690187.6553</v>
      </c>
    </row>
    <row r="26" ht="15.75" customHeight="1">
      <c r="A26" t="s">
        <v>238</v>
      </c>
      <c r="B26" t="s">
        <v>234</v>
      </c>
      <c r="C26" t="s">
        <v>239</v>
      </c>
      <c r="D26" s="35">
        <v>0</v>
      </c>
      <c r="E26" s="35">
        <f>SUM('R&amp;D Investment Costs'!C31:C38)</f>
        <v>295000</v>
      </c>
      <c r="F26" s="35">
        <f>SUM('R&amp;D Investment Costs'!D31:D38)</f>
        <v>304350</v>
      </c>
      <c r="G26" s="35">
        <f>SUM('R&amp;D Investment Costs'!E31:E38)</f>
        <v>314005.5</v>
      </c>
      <c r="H26" s="35">
        <f>SUM('R&amp;D Investment Costs'!F31:F38)</f>
        <v>323976.915</v>
      </c>
      <c r="I26" s="35">
        <f>SUM('R&amp;D Investment Costs'!G31:G38)</f>
        <v>334275.03495</v>
      </c>
      <c r="J26" s="35">
        <f t="shared" si="0"/>
        <v>1571607.44995</v>
      </c>
    </row>
    <row r="28" ht="11.25" customHeight="1">
      <c r="A28" s="40" t="s">
        <v>240</v>
      </c>
      <c r="B28" s="40"/>
      <c r="C28" s="40"/>
      <c r="D28" s="40">
        <f t="shared" si="1" ref="D28:I28">SUM(D16:D26)</f>
        <v>750000</v>
      </c>
      <c r="E28" s="40">
        <f t="shared" si="1"/>
        <v>785000</v>
      </c>
      <c r="F28" s="40">
        <f t="shared" si="1"/>
        <v>1184050</v>
      </c>
      <c r="G28" s="40">
        <f t="shared" si="1"/>
        <v>1189846.5</v>
      </c>
      <c r="H28" s="40">
        <f t="shared" si="1"/>
        <v>1071593.145</v>
      </c>
      <c r="I28" s="40">
        <f t="shared" si="1"/>
        <v>1104319.75185</v>
      </c>
      <c r="J28" s="40">
        <f t="shared" si="0"/>
        <v>6084809.39685</v>
      </c>
    </row>
    <row r="31" ht="15" customHeight="1">
      <c r="A31" s="41" t="s">
        <v>241</v>
      </c>
    </row>
    <row r="32" ht="12.75" customHeight="1">
      <c r="A32" s="43" t="s">
        <v>242</v>
      </c>
      <c r="B32" s="43" t="s">
        <v>243</v>
      </c>
      <c r="C32" s="43" t="s">
        <v>244</v>
      </c>
      <c r="D32" s="43">
        <f t="shared" si="2" ref="D32:I32">D12-D28</f>
        <v>-750000</v>
      </c>
      <c r="E32" s="43">
        <f t="shared" si="2"/>
        <v>-785000</v>
      </c>
      <c r="F32" s="43">
        <f t="shared" si="2"/>
        <v>-1184050</v>
      </c>
      <c r="G32" s="43">
        <f t="shared" si="2"/>
        <v>18886813.5</v>
      </c>
      <c r="H32" s="43">
        <f t="shared" si="2"/>
        <v>92887175.655</v>
      </c>
      <c r="I32" s="43">
        <f t="shared" si="2"/>
        <v>123788566.77615</v>
      </c>
      <c r="J32" s="43">
        <f t="shared" si="0"/>
        <v>232843505.93115</v>
      </c>
    </row>
    <row r="33" ht="11.25" customHeight="1">
      <c r="A33" s="42" t="s">
        <v>245</v>
      </c>
      <c r="B33" s="42" t="s">
        <v>46</v>
      </c>
      <c r="C33" s="42" t="s">
        <v>246</v>
      </c>
      <c r="D33" s="42" cm="1">
        <f t="array" ref="D33">D32</f>
        <v>-750000</v>
      </c>
      <c r="E33" s="42">
        <f t="shared" si="3" ref="E33:I33">D33+E32</f>
        <v>-1535000</v>
      </c>
      <c r="F33" s="42">
        <f t="shared" si="3"/>
        <v>-2719050</v>
      </c>
      <c r="G33" s="42">
        <f t="shared" si="3"/>
        <v>16167763.5</v>
      </c>
      <c r="H33" s="42">
        <f t="shared" si="3"/>
        <v>109054939.155</v>
      </c>
      <c r="I33" s="42">
        <f t="shared" si="3"/>
        <v>232843505.93115</v>
      </c>
      <c r="J33" s="42" cm="1">
        <f t="array" ref="J33">I33</f>
        <v>232843505.93115</v>
      </c>
    </row>
  </sheetData>
  <mergeCells>
    <mergeCell ref="A1:J1"/>
    <mergeCell ref="A3:J3"/>
    <mergeCell ref="A6:B6"/>
    <mergeCell ref="D6:I6"/>
    <mergeCell ref="A10:B10"/>
    <mergeCell ref="A15:B15"/>
    <mergeCell ref="A31:B31"/>
  </mergeCells>
  <printOptions/>
  <pageMargins left="0.7" right="0.7" top="0.75" bottom="0.75" header="0.3" footer="0.3"/>
  <pageSetup paperSize="1" pageOrder="downThenOver" orientation="portrait"/>
  <headerFooter>
    <oddHeader>&amp;L&amp;C&amp;R</oddHeader>
    <oddFooter>&amp;L&amp;C&amp;R</oddFooter>
  </headerFooter>
  <extLst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E5B3348-B1C8-25D8-6338-79BEE4B76866}" mc:Ignorable="x14ac xr xr2 xr3">
  <dimension ref="A1:GR50000"/>
  <sheetViews>
    <sheetView topLeftCell="A1" workbookViewId="0" tabSelected="1">
      <selection activeCell="A1" sqref="A1:H1"/>
    </sheetView>
  </sheetViews>
  <sheetFormatPr defaultRowHeight="15" defaultColWidth="7.75390625" customHeight="1"/>
  <cols>
    <col min="1" max="1" width="16.75390625" customWidth="1"/>
    <col min="2" max="2" width="17.75390625" customWidth="1"/>
    <col min="3" max="3" width="31.00390625" customWidth="1"/>
    <col min="4" max="4" width="18.375" customWidth="1"/>
    <col min="5" max="5" width="14.125" customWidth="1"/>
    <col min="6" max="6" width="9.75390625" customWidth="1"/>
  </cols>
  <sheetData>
    <row r="1" ht="15.75" customHeight="1">
      <c r="A1" s="27" t="s">
        <v>247</v>
      </c>
    </row>
    <row r="3" ht="10.5" customHeight="1">
      <c r="A3" s="28" t="s">
        <v>248</v>
      </c>
    </row>
    <row r="6" ht="12.75" customHeight="1">
      <c r="A6" s="33" t="s">
        <v>249</v>
      </c>
    </row>
    <row r="8" ht="10.5" customHeight="1">
      <c r="A8" s="34" t="s">
        <v>88</v>
      </c>
      <c r="B8" s="34" t="s">
        <v>157</v>
      </c>
      <c r="C8" s="34" t="s">
        <v>219</v>
      </c>
    </row>
    <row r="9" ht="15.75" customHeight="1">
      <c r="A9" t="s">
        <v>81</v>
      </c>
      <c r="B9" s="30" cm="1">
        <f t="array" ref="B9">'Inputs &amp; Assumptions'!B17</f>
        <v>0.12</v>
      </c>
      <c r="C9" t="s">
        <v>250</v>
      </c>
    </row>
    <row r="10" ht="15.75" customHeight="1">
      <c r="A10" t="s">
        <v>83</v>
      </c>
      <c r="B10" s="30" cm="1">
        <f t="array" ref="B10">'Inputs &amp; Assumptions'!B18</f>
        <v>0.25</v>
      </c>
      <c r="C10" t="s">
        <v>251</v>
      </c>
    </row>
    <row r="11" ht="15.75" customHeight="1">
      <c r="A11" t="s">
        <v>252</v>
      </c>
      <c r="B11" s="50" cm="1">
        <f t="array" ref="B11">'Inputs &amp; Assumptions'!B8</f>
        <v>5</v>
      </c>
      <c r="C11" t="s">
        <v>253</v>
      </c>
    </row>
    <row r="14" ht="12.75" customHeight="1">
      <c r="A14" s="37" t="s">
        <v>254</v>
      </c>
    </row>
    <row r="16" ht="10.5" customHeight="1">
      <c r="A16" s="38" t="s">
        <v>44</v>
      </c>
      <c r="B16" s="38" t="s">
        <v>242</v>
      </c>
      <c r="C16" s="38" t="s">
        <v>219</v>
      </c>
      <c r="E16" s="38" t="s">
        <v>255</v>
      </c>
    </row>
    <row r="17" ht="15.75" customHeight="1">
      <c r="A17">
        <v>0</v>
      </c>
      <c r="B17" s="35" cm="1">
        <f t="array" ref="B17">'Cash Flow Model'!D32</f>
        <v>-750000</v>
      </c>
      <c r="C17" t="s">
        <v>256</v>
      </c>
      <c r="E17" s="35" cm="1">
        <f t="array" ref="E17">B17</f>
        <v>-750000</v>
      </c>
    </row>
    <row r="18" ht="15.75" customHeight="1">
      <c r="A18">
        <v>1</v>
      </c>
      <c r="B18" s="35" cm="1">
        <f t="array" ref="B18">'Cash Flow Model'!E32</f>
        <v>-785000</v>
      </c>
      <c r="C18" t="s">
        <v>257</v>
      </c>
      <c r="E18" s="35">
        <f t="shared" si="0" ref="E18:E22">E17+B18</f>
        <v>-1535000</v>
      </c>
    </row>
    <row r="19" ht="15.75" customHeight="1">
      <c r="A19">
        <v>2</v>
      </c>
      <c r="B19" s="35" cm="1">
        <f t="array" ref="B19">'Cash Flow Model'!F32</f>
        <v>-1184050</v>
      </c>
      <c r="C19" t="s">
        <v>258</v>
      </c>
      <c r="E19" s="35">
        <f t="shared" si="0"/>
        <v>-2719050</v>
      </c>
    </row>
    <row r="20" ht="15.75" customHeight="1">
      <c r="A20">
        <v>3</v>
      </c>
      <c r="B20" s="35" cm="1">
        <f t="array" ref="B20">'Cash Flow Model'!G32</f>
        <v>18886813.5</v>
      </c>
      <c r="C20" t="s">
        <v>259</v>
      </c>
      <c r="E20" s="35">
        <f t="shared" si="0"/>
        <v>16167763.5</v>
      </c>
    </row>
    <row r="21" ht="15.75" customHeight="1">
      <c r="A21">
        <v>4</v>
      </c>
      <c r="B21" s="35" cm="1">
        <f t="array" ref="B21">'Cash Flow Model'!H32</f>
        <v>92887175.655</v>
      </c>
      <c r="C21" t="s">
        <v>260</v>
      </c>
      <c r="E21" s="35">
        <f t="shared" si="0"/>
        <v>109054939.155</v>
      </c>
    </row>
    <row r="22" ht="15.75" customHeight="1">
      <c r="A22">
        <v>5</v>
      </c>
      <c r="B22" s="35" cm="1">
        <f t="array" ref="B22">'Cash Flow Model'!I32</f>
        <v>123788566.77615</v>
      </c>
      <c r="C22" t="s">
        <v>261</v>
      </c>
      <c r="E22" s="35">
        <f t="shared" si="0"/>
        <v>232843505.93115</v>
      </c>
    </row>
    <row r="25" ht="15" customHeight="1">
      <c r="A25" s="41" t="s">
        <v>2</v>
      </c>
    </row>
    <row r="27" ht="10.5" customHeight="1">
      <c r="A27" s="31" t="s">
        <v>262</v>
      </c>
      <c r="B27" s="31" t="s">
        <v>157</v>
      </c>
      <c r="C27" s="31" t="s">
        <v>263</v>
      </c>
      <c r="D27" s="31" t="s">
        <v>264</v>
      </c>
    </row>
    <row r="28" ht="10.5" customHeight="1">
      <c r="A28" s="51" t="s">
        <v>265</v>
      </c>
      <c r="B28" s="52">
        <f>NPV(B9,B18:B22)+B17</f>
        <v>140320887.125999</v>
      </c>
      <c r="C28" s="51" t="s">
        <v>266</v>
      </c>
      <c r="D28" s="51" t="str">
        <f>IF(B28&gt;0,"Positive - Investment adds value","Negative - Investment destroys value")</f>
        <v>Positive - Investment adds value</v>
      </c>
    </row>
    <row r="29" ht="10.5" customHeight="1">
      <c r="A29" s="51" t="s">
        <v>268</v>
      </c>
      <c r="B29" s="52">
        <f>IRR(B17:B22)</f>
        <v>2.69830835954486</v>
      </c>
      <c r="C29" s="51" t="s">
        <v>269</v>
      </c>
      <c r="D29" s="51" t="str">
        <f>IF(B29&gt;B9,"IRR &gt; WACC - Accept project","IRR &lt; WACC - Reject project")</f>
        <v>IRR &gt; WACC - Accept project</v>
      </c>
    </row>
    <row r="30" ht="10.5" customHeight="1">
      <c r="A30" s="51" t="s">
        <v>271</v>
      </c>
      <c r="B30" s="52">
        <f>IF(E22&lt;0,"Never",IF(E21&lt;0,4+(-E21/B22),IF(E20&lt;0,3+(-E20/B21),IF(E19&lt;0,2+(-E19/B20),IF(E18&lt;0,1+(-E18/B19),IF(E17&lt;0,0+(-E17/B18),"&lt;1 year"))))))</f>
        <v>2.14396552388258</v>
      </c>
      <c r="C30" s="51" t="s">
        <v>272</v>
      </c>
      <c r="D30" s="51" t="str">
        <f>IF(ISNUMBER(B30),IF(B30&lt;=3,"Fast payback","Slow payback"),"No payback in analysis period")</f>
        <v>Fast payback</v>
      </c>
    </row>
    <row r="31" ht="10.5" customHeight="1">
      <c r="A31" s="51" t="s">
        <v>274</v>
      </c>
      <c r="B31" s="52">
        <f>1+(B28/-B17)</f>
        <v>188.094516167999</v>
      </c>
      <c r="C31" s="51" t="s">
        <v>275</v>
      </c>
      <c r="D31" s="51" t="str">
        <f>IF(B31&gt;1,"PI &gt; 1 - Accept project","PI &lt; 1 - Reject project")</f>
        <v>PI &gt; 1 - Accept project</v>
      </c>
    </row>
    <row r="32" ht="10.5" customHeight="1">
      <c r="A32" s="51" t="s">
        <v>277</v>
      </c>
      <c r="B32" s="52">
        <f>SUM(B17:B22)</f>
        <v>232843505.93115</v>
      </c>
      <c r="C32" s="51" t="s">
        <v>278</v>
      </c>
      <c r="D32" s="51" t="str">
        <f>IF(B32&gt;0,"Positive total return","Negative total return")</f>
        <v>Positive total return</v>
      </c>
    </row>
    <row r="33" ht="10.5" customHeight="1">
      <c r="A33" s="51" t="s">
        <v>280</v>
      </c>
      <c r="B33" s="52">
        <f>B32/-B17</f>
        <v>310.4580079082</v>
      </c>
      <c r="C33" s="51" t="s">
        <v>281</v>
      </c>
      <c r="D33" s="51" t="str">
        <f>IF(B33&gt;0,"Positive ROI","Negative ROI")</f>
        <v>Positive ROI</v>
      </c>
    </row>
    <row r="36" ht="15" customHeight="1">
      <c r="A36" s="41" t="s">
        <v>283</v>
      </c>
    </row>
    <row r="38" ht="12.75" customHeight="1">
      <c r="A38" s="44" t="s">
        <v>15</v>
      </c>
    </row>
    <row r="40" ht="10.5" customHeight="1">
      <c r="A40" s="45" t="s">
        <v>16</v>
      </c>
      <c r="B40" s="45" t="s">
        <v>90</v>
      </c>
      <c r="C40" s="45" t="s">
        <v>92</v>
      </c>
      <c r="D40" s="45" t="s">
        <v>17</v>
      </c>
      <c r="E40" s="45" t="s">
        <v>18</v>
      </c>
      <c r="F40" s="45" t="s">
        <v>10</v>
      </c>
    </row>
    <row r="41" ht="15.75" customHeight="1">
      <c r="A41" t="s">
        <v>23</v>
      </c>
      <c r="B41" s="32" cm="1">
        <f t="array" ref="B41">'Inputs &amp; Assumptions'!C25</f>
        <v>1</v>
      </c>
      <c r="C41" s="32" cm="1">
        <f t="array" ref="C41">'Inputs &amp; Assumptions'!C26</f>
        <v>1</v>
      </c>
      <c r="D41" s="35" cm="1">
        <f t="array" ref="D41">B28</f>
        <v>140320887.125999</v>
      </c>
      <c r="E41" s="30" cm="1">
        <f t="array" ref="E41">B29</f>
        <v>2.69830835954486</v>
      </c>
      <c r="F41" s="53" cm="1">
        <f t="array" ref="F41">B30</f>
        <v>2.14396552388258</v>
      </c>
    </row>
    <row r="42" ht="15.75" customHeight="1">
      <c r="A42" t="s">
        <v>22</v>
      </c>
      <c r="B42" s="32" cm="1">
        <f t="array" ref="B42">'Inputs &amp; Assumptions'!B25</f>
        <v>1.3</v>
      </c>
      <c r="C42" s="32" cm="1">
        <f t="array" ref="C42">'Inputs &amp; Assumptions'!B26</f>
        <v>0.9</v>
      </c>
      <c r="D42" s="35">
        <f>B28*1.3*0.9</f>
        <v>164175437.937419</v>
      </c>
      <c r="E42" s="30">
        <f>B29*1.3*0.9</f>
        <v>3.15702078066749</v>
      </c>
      <c r="F42" s="53">
        <f>IF(ISNUMBER(B30),B30*0.8,"Better")</f>
        <v>1.71517241910606</v>
      </c>
    </row>
    <row r="43" ht="15.75" customHeight="1">
      <c r="A43" t="s">
        <v>24</v>
      </c>
      <c r="B43" s="32" cm="1">
        <f t="array" ref="B43">'Inputs &amp; Assumptions'!D25</f>
        <v>0.7</v>
      </c>
      <c r="C43" s="32" cm="1">
        <f t="array" ref="C43">'Inputs &amp; Assumptions'!D26</f>
        <v>1.2</v>
      </c>
      <c r="D43" s="35">
        <f>B28*0.7*1.2</f>
        <v>117869545.185839</v>
      </c>
      <c r="E43" s="30">
        <f>B29*0.7*1.2</f>
        <v>2.26657902201768</v>
      </c>
      <c r="F43" s="53">
        <f>IF(ISNUMBER(B30),B30*1.4,"Worse")</f>
        <v>3.00155173343561</v>
      </c>
    </row>
    <row r="46" ht="12.75" customHeight="1">
      <c r="A46" s="37" t="s">
        <v>284</v>
      </c>
    </row>
    <row r="48" ht="10.5" customHeight="1">
      <c r="A48" s="38" t="s">
        <v>285</v>
      </c>
      <c r="B48" s="38" t="s">
        <v>286</v>
      </c>
      <c r="C48" s="38" t="s">
        <v>287</v>
      </c>
    </row>
    <row r="49" ht="15.75" customHeight="1">
      <c r="A49" t="s">
        <v>288</v>
      </c>
      <c r="B49" s="35">
        <f>B28*0.1</f>
        <v>14032088.7125999</v>
      </c>
      <c r="C49" s="30">
        <f>B29*0.1</f>
        <v>0.269830835954486</v>
      </c>
    </row>
    <row r="50" ht="15.75" customHeight="1">
      <c r="A50" t="s">
        <v>289</v>
      </c>
      <c r="B50" s="35">
        <f>B28*0.05</f>
        <v>7016044.35629995</v>
      </c>
      <c r="C50" s="30">
        <f>B29*0.05</f>
        <v>0.134915417977243</v>
      </c>
    </row>
    <row r="51" ht="15.75" customHeight="1">
      <c r="A51" t="s">
        <v>290</v>
      </c>
      <c r="B51" s="35">
        <f>NPV(B9+0.01,B18:B22)+B17-B28</f>
        <v>-5446434.08950889</v>
      </c>
      <c r="C51" s="30">
        <f>0.01</f>
        <v>0.01</v>
      </c>
    </row>
    <row r="54" ht="12.75" customHeight="1">
      <c r="A54" s="49" t="s">
        <v>291</v>
      </c>
    </row>
    <row r="56" ht="10.5" customHeight="1">
      <c r="A56" s="38" t="s">
        <v>292</v>
      </c>
      <c r="B56" s="38" t="s">
        <v>28</v>
      </c>
      <c r="C56" s="38" t="s">
        <v>293</v>
      </c>
    </row>
    <row r="57" ht="15.75" customHeight="1">
      <c r="A57" t="s">
        <v>33</v>
      </c>
      <c r="B57" s="30" cm="1">
        <f t="array" ref="B57">'Inputs &amp; Assumptions'!B32</f>
        <v>0.15</v>
      </c>
      <c r="C57" s="35">
        <f>B28*-0.5</f>
        <v>-70160443.5629995</v>
      </c>
    </row>
    <row r="58" ht="15.75" customHeight="1">
      <c r="A58" t="s">
        <v>34</v>
      </c>
      <c r="B58" s="30" cm="1">
        <f t="array" ref="B58">'Inputs &amp; Assumptions'!B33</f>
        <v>0.2</v>
      </c>
      <c r="C58" s="35">
        <f>B28*-0.3</f>
        <v>-42096266.1377997</v>
      </c>
    </row>
    <row r="59" ht="15.75" customHeight="1">
      <c r="A59" t="s">
        <v>36</v>
      </c>
      <c r="B59" s="30" cm="1">
        <f t="array" ref="B59">'Inputs &amp; Assumptions'!B34</f>
        <v>0.1</v>
      </c>
      <c r="C59" s="35">
        <f>B28*-0.2</f>
        <v>-28064177.4251998</v>
      </c>
    </row>
    <row r="61" ht="11.25" customHeight="1">
      <c r="A61" s="40" t="s">
        <v>13</v>
      </c>
      <c r="B61" s="40">
        <f>B28-(B57*C57+B58*C58+B59*C59)</f>
        <v>162070624.630529</v>
      </c>
      <c r="C61" s="40" t="s">
        <v>294</v>
      </c>
    </row>
    <row r="64" ht="15" customHeight="1">
      <c r="A64" s="41" t="s">
        <v>25</v>
      </c>
    </row>
    <row r="66" ht="10.5" customHeight="1">
      <c r="A66" s="31" t="s">
        <v>295</v>
      </c>
      <c r="B66" s="31" t="s">
        <v>296</v>
      </c>
      <c r="C66" s="31" t="s">
        <v>297</v>
      </c>
    </row>
    <row r="67" ht="15.75" customHeight="1">
      <c r="A67" t="s">
        <v>298</v>
      </c>
      <c r="B67" t="str">
        <f>IF(B28&gt;0,"PASS","FAIL")</f>
        <v>PASS</v>
      </c>
      <c r="C67" t="str">
        <f>IF(B28&gt;0,"Accept - Creates Value","Reject - Destroys Value")</f>
        <v>Accept - Creates Value</v>
      </c>
    </row>
    <row r="68" ht="15.75" customHeight="1">
      <c r="A68" t="s">
        <v>300</v>
      </c>
      <c r="B68" t="str">
        <f>IF(B29&gt;B9,"PASS","FAIL")</f>
        <v>PASS</v>
      </c>
      <c r="C68" t="str">
        <f>IF(B29&gt;B9,"Accept - IRR &gt; WACC","Reject - IRR &lt; WACC")</f>
        <v>Accept - IRR &gt; WACC</v>
      </c>
    </row>
    <row r="69" ht="15.75" customHeight="1">
      <c r="A69" t="s">
        <v>301</v>
      </c>
      <c r="B69" t="str">
        <f>IF(ISNUMBER(B30),IF(B30&lt;=4,"PASS","CAUTION"),"FAIL")</f>
        <v>PASS</v>
      </c>
      <c r="C69" t="str">
        <f>IF(ISNUMBER(B30),IF(B30&lt;=4,"Accept - Reasonable Payback","Caution - Long Payback"),"Reject - No Payback")</f>
        <v>Accept - Reasonable Payback</v>
      </c>
    </row>
    <row r="70" ht="15.75" customHeight="1">
      <c r="A70" t="s">
        <v>13</v>
      </c>
      <c r="B70" t="str">
        <f>IF(B61&gt;0,"PASS","FAIL")</f>
        <v>PASS</v>
      </c>
      <c r="C70" t="str">
        <f>IF(B61&gt;0,"Accept - Positive after risk adjustment","Reject - Negative after risk adjustment")</f>
        <v>Accept - Positive after risk adjustment</v>
      </c>
    </row>
    <row r="72" ht="12.75" customHeight="1">
      <c r="A72" s="43" t="s">
        <v>303</v>
      </c>
      <c r="B72" s="43" t="str">
        <f>IF(AND(B28&gt;0,B29&gt;B9,B61&gt;0),"ACCEPT PROJECT","REVIEW/REJECT PROJECT")</f>
        <v>ACCEPT PROJECT</v>
      </c>
      <c r="C72" s="43" t="str">
        <f>IF(AND(B28&gt;0,B29&gt;B9,B61&gt;0),"All key metrics positive","One or more key metrics negative")</f>
        <v>All key metrics positive</v>
      </c>
    </row>
  </sheetData>
  <mergeCells>
    <mergeCell ref="A1:H1"/>
    <mergeCell ref="A3:H3"/>
    <mergeCell ref="A6:C6"/>
    <mergeCell ref="A14:C14"/>
    <mergeCell ref="A25:D25"/>
    <mergeCell ref="A36:F36"/>
    <mergeCell ref="A38:B38"/>
    <mergeCell ref="A46:C46"/>
    <mergeCell ref="A54:C54"/>
    <mergeCell ref="A64:D64"/>
  </mergeCells>
  <printOptions/>
  <pageMargins left="0.7" right="0.7" top="0.75" bottom="0.75" header="0.3" footer="0.3"/>
  <pageSetup paperSize="1" pageOrder="downThenOver" orientation="portrait"/>
  <headerFooter>
    <oddHeader>&amp;L&amp;C&amp;R</oddHeader>
    <oddFooter>&amp;L&amp;C&amp;R</oddFooter>
  </headerFooter>
  <extLst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Shortcut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Shortcut</dc:creator>
  <cp:lastModifiedBy>Shortcut</cp:lastModifiedBy>
  <dcterms:created xsi:type="dcterms:W3CDTF">2025-05-22T23:41:35Z</dcterms:created>
  <dcterms:modified xsi:type="dcterms:W3CDTF">2025-05-22T23:45:09Z</dcterms:modified>
</cp:coreProperties>
</file>