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/xl/workbook.xml"/><Relationship Id="rId2" Type="http://schemas.openxmlformats.org/package/2006/relationships/metadata/core-properties" Target="/docProps/core.xml"/><Relationship Id="rId3" Type="http://schemas.openxmlformats.org/officeDocument/2006/relationships/extended-properties" Target="/docProps/app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firstSheet="3" activeTab="5" tabRatio="500"/>
  </bookViews>
  <sheets>
    <sheet r:id="rId1" name="Executive Summary" sheetId="1"/>
    <sheet r:id="rId2" name="Assumptions" sheetId="2"/>
    <sheet r:id="rId3" name="3-Statement Model" sheetId="3"/>
    <sheet r:id="rId4" name="KPIs &amp; Ratios" sheetId="4"/>
    <sheet r:id="rId5" name="Sheet1" sheetId="5"/>
    <sheet r:id="rId6" name="Cap Table" sheetId="6"/>
  </sheets>
  <calcPr calcId="0" iterate="1" iterateCount="1000" iterateDelta="0.01"/>
</workbook>
</file>

<file path=xl/sharedStrings.xml><?xml version="1.0" encoding="utf-8"?>
<sst xmlns="http://schemas.openxmlformats.org/spreadsheetml/2006/main" count="233" uniqueCount="233">
  <si>
    <t>EXECUTIVE SUMMARY DASHBOARD</t>
  </si>
  <si>
    <t>KEY FINANCIAL HIGHLIGHTS</t>
  </si>
  <si>
    <t>Current Year (Year 0) Performance:</t>
  </si>
  <si>
    <t>5-Year Projection Summary:</t>
  </si>
  <si>
    <t>Revenue</t>
  </si>
  <si>
    <t>Year 5 Revenue</t>
  </si>
  <si>
    <t>Operating Margin</t>
  </si>
  <si>
    <t>5-Year Revenue CAGR</t>
  </si>
  <si>
    <t>Net Income</t>
  </si>
  <si>
    <t>Year 5 Net Income</t>
  </si>
  <si>
    <t>Net Margin</t>
  </si>
  <si>
    <t>Year 5 Net Margin</t>
  </si>
  <si>
    <t>KEY MODEL ASSUMPTIONS</t>
  </si>
  <si>
    <t>• Base Revenue (TTM): $1,000,000</t>
  </si>
  <si>
    <t>• Revenue Growth: 20% Year 1, declining to 15% by Year 5</t>
  </si>
  <si>
    <t>• Operating Margin: 20% in base year</t>
  </si>
  <si>
    <t>• Net Margin: 2% in base year</t>
  </si>
  <si>
    <t>• Initial Debt: $500,000 at 8% interest</t>
  </si>
  <si>
    <t>• Annual Debt Repayment: $100,000</t>
  </si>
  <si>
    <t>• Tax Rate: 21%</t>
  </si>
  <si>
    <t>FINANCIAL HEALTH INDICATORS</t>
  </si>
  <si>
    <t>Current Ratio (Year 5)</t>
  </si>
  <si>
    <t>Cash Balance (Year 5)</t>
  </si>
  <si>
    <t>Debt to Equity (Year 5)</t>
  </si>
  <si>
    <t>Total Debt (Year 5)</t>
  </si>
  <si>
    <t>ROE (Year 5)</t>
  </si>
  <si>
    <t>Total Equity (Year 5)</t>
  </si>
  <si>
    <t>FINANCIAL MODEL ASSUMPTIONS</t>
  </si>
  <si>
    <t>REVENUE ASSUMPTIONS</t>
  </si>
  <si>
    <t>Base Revenue (Year 0 - TTM)</t>
  </si>
  <si>
    <t>Revenue Growth Rates</t>
  </si>
  <si>
    <t>Year 1</t>
  </si>
  <si>
    <t>Year 2</t>
  </si>
  <si>
    <t>Year 3</t>
  </si>
  <si>
    <t>Year 4</t>
  </si>
  <si>
    <t>Year 5</t>
  </si>
  <si>
    <t>Annual Growth Rate</t>
  </si>
  <si>
    <t>OPERATING EXPENSE ASSUMPTIONS (% of Revenue)</t>
  </si>
  <si>
    <t>Cost of Goods Sold</t>
  </si>
  <si>
    <t>Sales &amp; Marketing</t>
  </si>
  <si>
    <t>Research &amp; Development</t>
  </si>
  <si>
    <t>General &amp; Administrative</t>
  </si>
  <si>
    <t>Total Operating Expenses</t>
  </si>
  <si>
    <t>Implied Operating Margin</t>
  </si>
  <si>
    <t>DEBT FINANCING ASSUMPTIONS</t>
  </si>
  <si>
    <t>Initial Debt Balance</t>
  </si>
  <si>
    <t>Interest Rate</t>
  </si>
  <si>
    <t>Debt Repayment Schedule</t>
  </si>
  <si>
    <t>WORKING CAPITAL ASSUMPTIONS (Days)</t>
  </si>
  <si>
    <t>Days Sales Outstanding (DSO)</t>
  </si>
  <si>
    <t>Days Inventory Outstanding (DIO)</t>
  </si>
  <si>
    <t>Days Payables Outstanding (DPO)</t>
  </si>
  <si>
    <t>OTHER ASSUMPTIONS</t>
  </si>
  <si>
    <t>Tax Rate</t>
  </si>
  <si>
    <t>Depreciation (% of Revenue)</t>
  </si>
  <si>
    <t>CapEx (% of Revenue)</t>
  </si>
  <si>
    <t>3-STATEMENT FINANCIAL MODEL</t>
  </si>
  <si>
    <t>INCOME STATEMENT</t>
  </si>
  <si>
    <t>($000s)</t>
  </si>
  <si>
    <t>Year 0 (Base)</t>
  </si>
  <si>
    <t>Gross Profit</t>
  </si>
  <si>
    <t xml:space="preserve">  Gross Margin %</t>
  </si>
  <si>
    <t>Operating Expenses:</t>
  </si>
  <si>
    <t xml:space="preserve">  Sales &amp; Marketing</t>
  </si>
  <si>
    <t xml:space="preserve">  Research &amp; Development</t>
  </si>
  <si>
    <t xml:space="preserve">  General &amp; Administrative</t>
  </si>
  <si>
    <t>Operating Income (EBIT)</t>
  </si>
  <si>
    <t xml:space="preserve">  Operating Margin %</t>
  </si>
  <si>
    <t>Interest Expense</t>
  </si>
  <si>
    <t>Earnings Before Tax (EBT)</t>
  </si>
  <si>
    <t>Income Tax</t>
  </si>
  <si>
    <t xml:space="preserve">  Net Margin %</t>
  </si>
  <si>
    <t>BALANCE SHEET</t>
  </si>
  <si>
    <t>Year 0</t>
  </si>
  <si>
    <t>ASSETS</t>
  </si>
  <si>
    <t>Current Assets:</t>
  </si>
  <si>
    <t xml:space="preserve">  Cash</t>
  </si>
  <si>
    <t xml:space="preserve">  Accounts Receivable</t>
  </si>
  <si>
    <t xml:space="preserve">  Inventory</t>
  </si>
  <si>
    <t>Total Current Assets</t>
  </si>
  <si>
    <t>Fixed Assets:</t>
  </si>
  <si>
    <t xml:space="preserve">  Property, Plant &amp; Equipment</t>
  </si>
  <si>
    <t xml:space="preserve">  Less: Accumulated Depreciation</t>
  </si>
  <si>
    <t>Net Fixed Assets</t>
  </si>
  <si>
    <t>TOTAL ASSETS</t>
  </si>
  <si>
    <t>LIABILITIES &amp; EQUITY</t>
  </si>
  <si>
    <t>Current Liabilities:</t>
  </si>
  <si>
    <t xml:space="preserve">  Accounts Payable</t>
  </si>
  <si>
    <t xml:space="preserve">  Accrued Expenses</t>
  </si>
  <si>
    <t>Total Current Liabilities</t>
  </si>
  <si>
    <t>Long-term Debt</t>
  </si>
  <si>
    <t>Total Liabilities</t>
  </si>
  <si>
    <t>Shareholders' Equity:</t>
  </si>
  <si>
    <t xml:space="preserve">  Common Stock</t>
  </si>
  <si>
    <t xml:space="preserve">  Retained Earnings</t>
  </si>
  <si>
    <t>Total Shareholders' Equity</t>
  </si>
  <si>
    <t>TOTAL LIABILITIES &amp; EQUITY</t>
  </si>
  <si>
    <t>Balance Check:</t>
  </si>
  <si>
    <t>CASH FLOW STATEMENT</t>
  </si>
  <si>
    <t>CASH FLOW FROM OPERATING ACTIVITIES</t>
  </si>
  <si>
    <t>Add: Depreciation</t>
  </si>
  <si>
    <t>Changes in Working Capital:</t>
  </si>
  <si>
    <t xml:space="preserve">  (Increase)/Decrease in A/R</t>
  </si>
  <si>
    <t>-</t>
  </si>
  <si>
    <t xml:space="preserve">  (Increase)/Decrease in Inventory</t>
  </si>
  <si>
    <t xml:space="preserve">  Increase/(Decrease) in A/P</t>
  </si>
  <si>
    <t xml:space="preserve">  Increase/(Decrease) in Accrued</t>
  </si>
  <si>
    <t>Net Cash from Operating Activities</t>
  </si>
  <si>
    <t>CASH FLOW FROM INVESTING ACTIVITIES</t>
  </si>
  <si>
    <t>Capital Expenditures</t>
  </si>
  <si>
    <t>Net Cash from Investing Activities</t>
  </si>
  <si>
    <t>CASH FLOW FROM FINANCING ACTIVITIES</t>
  </si>
  <si>
    <t>Debt Repayment</t>
  </si>
  <si>
    <t>Net Cash from Financing Activities</t>
  </si>
  <si>
    <t>Net Change in Cash</t>
  </si>
  <si>
    <t>Beginning Cash Balance</t>
  </si>
  <si>
    <t>Ending Cash Balance</t>
  </si>
  <si>
    <t>KEY PERFORMANCE INDICATORS &amp; FINANCIAL RATIOS</t>
  </si>
  <si>
    <t>PROFITABILITY RATIOS</t>
  </si>
  <si>
    <t>Gross Margin %</t>
  </si>
  <si>
    <t>Operating Margin %</t>
  </si>
  <si>
    <t>Net Margin %</t>
  </si>
  <si>
    <t>Return on Equity (ROE)</t>
  </si>
  <si>
    <t>Return on Assets (ROA)</t>
  </si>
  <si>
    <t>LIQUIDITY RATIOS</t>
  </si>
  <si>
    <t>Current Ratio</t>
  </si>
  <si>
    <t>Quick Ratio</t>
  </si>
  <si>
    <t>Cash Ratio</t>
  </si>
  <si>
    <t>LEVERAGE RATIOS</t>
  </si>
  <si>
    <t>Debt to Equity</t>
  </si>
  <si>
    <t>Debt to Assets</t>
  </si>
  <si>
    <t>Interest Coverage Ratio</t>
  </si>
  <si>
    <t>N/A</t>
  </si>
  <si>
    <t>EFFICIENCY RATIOS</t>
  </si>
  <si>
    <t>Asset Turnover</t>
  </si>
  <si>
    <t>Receivables Turnover</t>
  </si>
  <si>
    <t>Inventory Turnover</t>
  </si>
  <si>
    <t>GROWTH METRICS</t>
  </si>
  <si>
    <t>Revenue Growth %</t>
  </si>
  <si>
    <t>Net Income Growth %</t>
  </si>
  <si>
    <t>CAPITALIZATION TABLE</t>
  </si>
  <si>
    <t>Company: TechStartup Inc.</t>
  </si>
  <si>
    <t>NOTES &amp; ASSUMPTIONS</t>
  </si>
  <si>
    <t>Date: August 2025</t>
  </si>
  <si>
    <t>Authorized Shares: 10,000,000</t>
  </si>
  <si>
    <t>• All shares converted to common equivalents</t>
  </si>
  <si>
    <t>• ESOP pool: 15% total (5% vested, 10% unvested)</t>
  </si>
  <si>
    <t>SHARE OWNERSHIP SUMMARY</t>
  </si>
  <si>
    <t>• Preferred shares have 1:1 conversion ratio</t>
  </si>
  <si>
    <t>• No liquidation preferences modeled</t>
  </si>
  <si>
    <t>Shareholder</t>
  </si>
  <si>
    <t>Type</t>
  </si>
  <si>
    <t>Common Shares</t>
  </si>
  <si>
    <t>Preferred Shares</t>
  </si>
  <si>
    <t>Total Shares</t>
  </si>
  <si>
    <t>Ownership %</t>
  </si>
  <si>
    <t>Fully Diluted %</t>
  </si>
  <si>
    <t>• Exit scenario assumes simple pro-rata distribution</t>
  </si>
  <si>
    <t>Founder 1 - CEO</t>
  </si>
  <si>
    <t>Founder</t>
  </si>
  <si>
    <t>Founder 2 - CTO</t>
  </si>
  <si>
    <t>KEY TAKEAWAYS</t>
  </si>
  <si>
    <t>Employee Pool (Vested)</t>
  </si>
  <si>
    <t>Employees</t>
  </si>
  <si>
    <t>✓ Founders retain 45.5% ownership</t>
  </si>
  <si>
    <t>Angel Investor 1</t>
  </si>
  <si>
    <t>Seed</t>
  </si>
  <si>
    <t>✓ Total dilution from 100% to 45.5%</t>
  </si>
  <si>
    <t>Angel Investor 2</t>
  </si>
  <si>
    <t>✓ $13.5M total capital raised</t>
  </si>
  <si>
    <t>✓ Current valuation: $35M post-money</t>
  </si>
  <si>
    <t>VC Fund Alpha</t>
  </si>
  <si>
    <t>Series A</t>
  </si>
  <si>
    <t>✓ 3.5x valuation increase since Series A</t>
  </si>
  <si>
    <t>VC Fund Beta</t>
  </si>
  <si>
    <t>✓ Exit: Founders get $45.5M on $100M exit</t>
  </si>
  <si>
    <t>Growth Equity Partners</t>
  </si>
  <si>
    <t>Series B</t>
  </si>
  <si>
    <t>Total Outstanding Shares</t>
  </si>
  <si>
    <t>ESOP Pool (Unvested)</t>
  </si>
  <si>
    <t>FUNDING ROUNDS HISTORY</t>
  </si>
  <si>
    <t>Round</t>
  </si>
  <si>
    <t>Date</t>
  </si>
  <si>
    <t>Pre-Money Valuation</t>
  </si>
  <si>
    <t>Investment Amount</t>
  </si>
  <si>
    <t>Post-Money Valuation</t>
  </si>
  <si>
    <t>Price/Share</t>
  </si>
  <si>
    <t>Shares Issued</t>
  </si>
  <si>
    <t>Investors</t>
  </si>
  <si>
    <t>Founding</t>
  </si>
  <si>
    <t>Jan 2020</t>
  </si>
  <si>
    <t>Founders</t>
  </si>
  <si>
    <t>Jun 2021</t>
  </si>
  <si>
    <t>Angels</t>
  </si>
  <si>
    <t>Mar 2023</t>
  </si>
  <si>
    <t>VC Funds</t>
  </si>
  <si>
    <t>Nov 2024</t>
  </si>
  <si>
    <t>Growth Equity</t>
  </si>
  <si>
    <t>Total</t>
  </si>
  <si>
    <t>VALUATION &amp; OWNERSHIP SUMMARY</t>
  </si>
  <si>
    <t>Current Valuation (Post-Money)</t>
  </si>
  <si>
    <t>Ownership</t>
  </si>
  <si>
    <t>Percentage</t>
  </si>
  <si>
    <t>Total Shares Outstanding</t>
  </si>
  <si>
    <t>Total Shares (Fully Diluted)</t>
  </si>
  <si>
    <t>Share Price (Latest Round)</t>
  </si>
  <si>
    <t>Founder Ownership %</t>
  </si>
  <si>
    <t>Employee Ownership %</t>
  </si>
  <si>
    <t>Investor Ownership %</t>
  </si>
  <si>
    <t>DILUTION WATERFALL</t>
  </si>
  <si>
    <t>Stage</t>
  </si>
  <si>
    <t>Founder 1 %</t>
  </si>
  <si>
    <t>Founder 2 %</t>
  </si>
  <si>
    <t>Employees %</t>
  </si>
  <si>
    <t>Seed %</t>
  </si>
  <si>
    <t>Series A %</t>
  </si>
  <si>
    <t>Series B %</t>
  </si>
  <si>
    <t>Total %</t>
  </si>
  <si>
    <t>Post-Founding</t>
  </si>
  <si>
    <t>Post-ESOP Grant</t>
  </si>
  <si>
    <t>Post-Seed</t>
  </si>
  <si>
    <t>Post-Series A</t>
  </si>
  <si>
    <t>Post-Series B (Current)</t>
  </si>
  <si>
    <t>EXIT SCENARIO ANALYSIS</t>
  </si>
  <si>
    <t>Exit Valuation</t>
  </si>
  <si>
    <t>Stakeholder</t>
  </si>
  <si>
    <t>Shares</t>
  </si>
  <si>
    <t>Proceeds</t>
  </si>
  <si>
    <t>Founder 1</t>
  </si>
  <si>
    <t>Founder 2</t>
  </si>
  <si>
    <t>Seed Investors</t>
  </si>
  <si>
    <t>Series A Investors</t>
  </si>
  <si>
    <t>Unvested ESOP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</si>
</sst>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95" formatCode="_([$$-409]* #,##0_);_([$$-409]* (#,##0);_([$$-409]* &quot;-&quot;??_);_(@_)"/>
    <numFmt numFmtId="897" formatCode="0.0%"/>
    <numFmt numFmtId="1037" formatCode="#,##0;(#,##0)"/>
    <numFmt numFmtId="1109" formatCode="0.0"/>
  </numFmts>
  <fonts count="19">
    <font>
      <sz val="11"/>
      <color theme="1"/>
      <name val="Calibri"/>
      <scheme val="minor"/>
    </font>
    <font>
      <b/>
      <sz val="15"/>
      <color rgb="FFFFFFFF"/>
      <name val="sans-serif"/>
    </font>
    <font>
      <b/>
      <sz val="10.5"/>
      <color rgb="FFFFFFFF"/>
      <name val="sans-serif"/>
    </font>
    <font>
      <name val="Calibri"/>
      <scheme val="minor"/>
    </font>
    <font>
      <sz val="8.25"/>
      <color rgb="FF605E5C"/>
      <name val="sans-serif"/>
    </font>
    <font>
      <sz val="8.25"/>
      <name val="sans-serif"/>
    </font>
    <font>
      <b/>
      <sz val="12"/>
      <color rgb="FFFFFFFF"/>
      <name val="sans-serif"/>
    </font>
    <font>
      <b/>
      <sz val="9"/>
      <color rgb="FFFFFFFF"/>
      <name val="sans-serif"/>
    </font>
    <font>
      <b/>
      <sz val="8.25"/>
      <name val="sans-serif"/>
    </font>
    <font>
      <b/>
      <sz val="13.5"/>
      <color rgb="FFFFFFFF"/>
      <name val="sans-serif"/>
    </font>
    <font>
      <i/>
      <sz val="7.5"/>
      <color rgb="FF605E5C"/>
      <name val="sans-serif"/>
    </font>
    <font>
      <b/>
      <sz val="8.25"/>
      <color rgb="FF2E75B6"/>
      <name val="sans-serif"/>
    </font>
    <font>
      <b/>
      <sz val="9"/>
      <name val="sans-serif"/>
    </font>
    <font>
      <b/>
      <sz val="9"/>
      <color rgb="FF2E75B6"/>
      <name val="sans-serif"/>
    </font>
    <font>
      <i/>
      <sz val="8.25"/>
      <name val="sans-serif"/>
    </font>
    <font>
      <sz val="9"/>
      <color rgb="FF605E5C"/>
      <name val="sans-serif"/>
    </font>
    <font>
      <sz val="7.5"/>
      <color rgb="FF605E5C"/>
      <name val="sans-serif"/>
    </font>
    <font>
      <sz val="7.5"/>
      <color rgb="FF107C10"/>
      <name val="sans-serif"/>
    </font>
    <font>
      <i/>
      <sz val="8.25"/>
      <color rgb="FF605E5C"/>
      <name val="sans-serif"/>
    </font>
  </fonts>
  <fills count="6">
    <fill>
      <patternFill patternType="none"/>
    </fill>
    <fill>
      <patternFill patternType="gray125"/>
    </fill>
    <fill>
      <patternFill patternType="solid">
        <fgColor rgb="FF1E3A5F"/>
      </patternFill>
    </fill>
    <fill>
      <patternFill patternType="solid">
        <fgColor rgb="FF4472C4"/>
      </patternFill>
    </fill>
    <fill>
      <patternFill patternType="solid">
        <fgColor rgb="FFD9E2F3"/>
      </patternFill>
    </fill>
    <fill>
      <patternFill patternType="solid">
        <fgColor rgb="FFE7E6E6"/>
      </patternFill>
    </fill>
  </fills>
  <borders count="8">
    <border>
      <left/>
      <right/>
      <top/>
      <bottom/>
    </border>
    <border>
      <left>
        <color rgb="FF000000"/>
      </left>
      <right>
        <color rgb="FF000000"/>
      </right>
      <top>
        <color rgb="FF000000"/>
      </top>
      <bottom>
        <color rgb="FF000000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000000"/>
      </top>
    </border>
    <border>
      <bottom style="thin">
        <color rgb="FF000000"/>
      </bottom>
    </border>
    <border>
      <top style="double">
        <color rgb="FF000000"/>
      </top>
    </border>
    <border>
      <top style="double">
        <color rgb="FF000000"/>
      </top>
      <bottom style="double">
        <color rgb="FF000000"/>
      </bottom>
    </border>
    <border>
      <bottom style="double">
        <color rgb="FF000000"/>
      </bottom>
    </border>
  </borders>
  <cellStyleXfs count="1">
    <xf numFmtId="0" fontId="0" fillId="0" borderId="1">
      <alignment horizontal="general" vertical="top"/>
    </xf>
  </cellStyleXfs>
  <cellXfs count="39">
    <xf numFmtId="0" fontId="0" fillId="0" borderId="1" xfId="0">
      <alignment vertical="top"/>
    </xf>
    <xf numFmtId="0" fontId="1" fillId="2" borderId="0" xfId="0">
      <alignment horizontal="center" vertical="top"/>
    </xf>
    <xf numFmtId="0" fontId="2" fillId="3" borderId="0" xfId="0">
      <alignment vertical="top"/>
    </xf>
    <xf numFmtId="0" fontId="3" fillId="0" borderId="2" xfId="0">
      <alignment vertical="top"/>
    </xf>
    <xf numFmtId="0" fontId="4" fillId="0" borderId="0" xfId="0">
      <alignment vertical="top"/>
    </xf>
    <xf numFmtId="0" fontId="5" fillId="0" borderId="0" xfId="0">
      <alignment vertical="top"/>
    </xf>
    <xf numFmtId="2" fontId="3" fillId="0" borderId="0" xfId="0">
      <alignment vertical="top"/>
    </xf>
    <xf numFmtId="895" fontId="3" fillId="0" borderId="0" xfId="0">
      <alignment vertical="top"/>
    </xf>
    <xf numFmtId="897" fontId="3" fillId="0" borderId="0" xfId="0">
      <alignment vertical="top"/>
    </xf>
    <xf numFmtId="0" fontId="6" fillId="2" borderId="0" xfId="0">
      <alignment horizontal="center" vertical="top"/>
    </xf>
    <xf numFmtId="0" fontId="7" fillId="3" borderId="0" xfId="0">
      <alignment vertical="top"/>
    </xf>
    <xf numFmtId="0" fontId="8" fillId="4" borderId="0" xfId="0">
      <alignment horizontal="center" vertical="top"/>
    </xf>
    <xf numFmtId="0" fontId="8" fillId="0" borderId="3" xfId="0">
      <alignment vertical="top"/>
    </xf>
    <xf numFmtId="0" fontId="8" fillId="5" borderId="0" xfId="0">
      <alignment vertical="top"/>
    </xf>
    <xf numFmtId="1" fontId="3" fillId="0" borderId="0" xfId="0">
      <alignment vertical="top"/>
    </xf>
    <xf numFmtId="0" fontId="9" fillId="2" borderId="0" xfId="0">
      <alignment horizontal="center" vertical="top"/>
    </xf>
    <xf numFmtId="0" fontId="8" fillId="4" borderId="4" xfId="0">
      <alignment horizontal="center" vertical="top"/>
    </xf>
    <xf numFmtId="0" fontId="8" fillId="0" borderId="0" xfId="0">
      <alignment vertical="top"/>
    </xf>
    <xf numFmtId="895" fontId="8" fillId="0" borderId="3" xfId="0">
      <alignment vertical="top"/>
    </xf>
    <xf numFmtId="0" fontId="10" fillId="0" borderId="0" xfId="0">
      <alignment vertical="top"/>
    </xf>
    <xf numFmtId="895" fontId="10" fillId="0" borderId="0" xfId="0">
      <alignment vertical="top"/>
    </xf>
    <xf numFmtId="0" fontId="11" fillId="0" borderId="0" xfId="0">
      <alignment vertical="top"/>
    </xf>
    <xf numFmtId="0" fontId="8" fillId="0" borderId="5" xfId="0">
      <alignment vertical="top"/>
    </xf>
    <xf numFmtId="895" fontId="8" fillId="0" borderId="5" xfId="0">
      <alignment vertical="top"/>
    </xf>
    <xf numFmtId="0" fontId="12" fillId="5" borderId="6" xfId="0">
      <alignment vertical="top"/>
    </xf>
    <xf numFmtId="895" fontId="12" fillId="5" borderId="6" xfId="0">
      <alignment vertical="top"/>
    </xf>
    <xf numFmtId="0" fontId="13" fillId="0" borderId="0" xfId="0">
      <alignment vertical="top"/>
    </xf>
    <xf numFmtId="3" fontId="3" fillId="0" borderId="0" xfId="0">
      <alignment vertical="top"/>
    </xf>
    <xf numFmtId="1037" fontId="3" fillId="0" borderId="0" xfId="0">
      <alignment vertical="top"/>
    </xf>
    <xf numFmtId="0" fontId="14" fillId="0" borderId="0" xfId="0">
      <alignment vertical="top"/>
    </xf>
    <xf numFmtId="0" fontId="8" fillId="5" borderId="7" xfId="0">
      <alignment vertical="top"/>
    </xf>
    <xf numFmtId="1109" fontId="3" fillId="0" borderId="0" xfId="0">
      <alignment vertical="top"/>
    </xf>
    <xf numFmtId="0" fontId="15" fillId="0" borderId="0" xfId="0">
      <alignment vertical="top"/>
    </xf>
    <xf numFmtId="0" fontId="16" fillId="0" borderId="0" xfId="0">
      <alignment vertical="top"/>
    </xf>
    <xf numFmtId="0" fontId="17" fillId="0" borderId="0" xfId="0">
      <alignment vertical="top"/>
    </xf>
    <xf numFmtId="10" fontId="3" fillId="0" borderId="0" xfId="0">
      <alignment vertical="top"/>
    </xf>
    <xf numFmtId="0" fontId="18" fillId="0" borderId="0" xfId="0">
      <alignment vertical="top"/>
    </xf>
    <xf numFmtId="10" fontId="18" fillId="0" borderId="0" xfId="0">
      <alignment vertical="top"/>
    </xf>
    <xf numFmtId="0" fontId="8" fillId="0" borderId="4" xfId="0">
      <alignment vertical="top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sharedStrings" Target="sharedStrings.xml"/><Relationship Id="rId8" Type="http://schemas.openxmlformats.org/officeDocument/2006/relationships/styles" Target="styles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 xmlns:c16r2="http://schemas.microsoft.com/office/drawing/2015/06/chart">
  <c:roundedCorners val="0"/>
  <c:chart>
    <c:title>
      <c:tx>
        <c:rich>
          <a:bodyPr/>
          <a:p>
            <a:pPr>
              <a:defRPr sz="1050" b="0">
                <a:solidFill>
                  <a:srgbClr val="333333"/>
                </a:solidFill>
                <a:latin typeface="Arial"/>
              </a:defRPr>
            </a:pPr>
            <a:r>
              <a:rPr sz="1050" b="0">
                <a:solidFill>
                  <a:srgbClr val="333333"/>
                </a:solidFill>
                <a:latin typeface="Arial"/>
              </a:rPr>
              <a:t>Current Ownership Distribution</a:t>
            </a:r>
            <a:endParaRPr/>
          </a:p>
        </c:rich>
      </c:tx>
      <c:overlay val="0"/>
      <c:spPr>
        <a:noFill/>
        <a:ln>
          <a:noFill/>
        </a:ln>
      </c:spPr>
    </c:title>
    <c:autoTitleDeleted val="0"/>
    <c:plotArea>
      <c:pieChart chartType="10">
        <c:ser seriesType="3">
          <c:dPt>
            <c:idx val="0"/>
            <c:invertIfNegative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</c:spPr>
            <c:marker>
              <c:spPr/>
              <c:size val="5"/>
              <c:symbol val="none"/>
            </c:marker>
          </c:dPt>
          <c:dPt>
            <c:idx val="1"/>
            <c:invertIfNegative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</c:spPr>
            <c:marker>
              <c:spPr/>
              <c:size val="5"/>
              <c:symbol val="none"/>
            </c:marker>
          </c:dPt>
          <c:dPt>
            <c:idx val="2"/>
            <c:invertIfNegative val="0"/>
            <c:spPr>
              <a:solidFill>
                <a:schemeClr val="accent3"/>
              </a:solidFill>
              <a:ln w="19050">
                <a:solidFill>
                  <a:srgbClr val="ffffff"/>
                </a:solidFill>
                <a:prstDash val="solid"/>
              </a:ln>
            </c:spPr>
            <c:marker>
              <c:spPr/>
              <c:size val="5"/>
              <c:symbol val="none"/>
            </c:marker>
          </c:dPt>
          <c:idx val="0"/>
          <c:order val="0"/>
          <c:spPr>
            <a:ln w="19050">
              <a:solidFill>
                <a:srgbClr val="ffffff"/>
              </a:solidFill>
            </a:ln>
          </c:spPr>
          <c:cat>
            <c:strRef>
              <c:f>'Cap Table'!$E$40:$E$42</c:f>
            </c:strRef>
          </c:cat>
          <c:val>
            <c:numRef>
              <c:f>'Cap Table'!$F$40:$F$42</c:f>
              <c:numCache>
                <c:formatCode>General</c:formatCode>
              </c:numCache>
            </c:numRef>
          </c:val>
          <c:dLbls>
            <c:spPr>
              <a:noFill/>
              <a:ln>
                <a:noFill/>
              </a:ln>
            </c:spPr>
            <c:dLblPos val="bestFit"/>
            <c:showLeaderLines val="0"/>
            <c:showBubbleSize val="0"/>
            <c:showLegendKey val="0"/>
            <c:showPercent val="0"/>
            <c:showCatName val="0"/>
            <c:showSerName val="0"/>
            <c:showVal val="0"/>
            <c:separator>, </c:separato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/>
          <c:explosion val="0"/>
        </c:ser>
        <c:varyColors val="1"/>
        <c:firstSliceAng val="0"/>
      </c:pieChart>
      <c:spPr>
        <a:noFill/>
        <a:ln>
          <a:noFill/>
        </a:ln>
      </c:spPr>
    </c:plotArea>
    <c:legend>
      <c:legendPos val="r"/>
      <c:overlay val="0"/>
      <c:spPr>
        <a:noFill/>
      </c:spPr>
      <c:txPr>
        <a:bodyPr/>
        <a:p>
          <a:pPr>
            <a:defRPr sz="750" b="0">
              <a:solidFill>
                <a:schemeClr val="tx1">
                  <a:lumMod val="65000"/>
                  <a:lumOff val="35000"/>
                </a:schemeClr>
              </a:solidFill>
              <a:latin typeface="Arial"/>
            </a:defRPr>
          </a:pPr>
          <a:r>
            <a:rPr sz="750" b="0">
              <a:solidFill>
                <a:schemeClr val="tx1">
                  <a:lumMod val="65000"/>
                  <a:lumOff val="35000"/>
                </a:schemeClr>
              </a:solidFill>
              <a:latin typeface="Arial"/>
            </a:rPr>
            <a:t/>
          </a:r>
          <a:endParaRPr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0"/>
        </c16r3:dataDisplayOptions16>
      </c:ext>
    </c:extLst>
  </c:chart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4"/>
    </mc:Fallback>
  </mc:AlternateContent>
  <c:spPr>
    <a:solidFill>
      <a:schemeClr val="bg1"/>
    </a:solidFill>
    <a:ln w="9525">
      <a:solidFill>
        <a:schemeClr val="tx1">
          <a:lumMod val="15000"/>
          <a:lumOff val="85000"/>
        </a:schemeClr>
      </a:solidFill>
    </a:ln>
  </c:spPr>
  <c:txPr>
    <a:bodyPr/>
    <a:p>
      <a:pPr>
        <a:defRPr b="0">
          <a:solidFill>
            <a:schemeClr val="tx1">
              <a:lumMod val="65000"/>
              <a:lumOff val="35000"/>
            </a:schemeClr>
          </a:solidFill>
          <a:latin typeface="+mn-lt"/>
        </a:defRPr>
      </a:pPr>
      <a:r>
        <a:rPr b="0">
          <a:solidFill>
            <a:schemeClr val="tx1">
              <a:lumMod val="65000"/>
              <a:lumOff val="35000"/>
            </a:schemeClr>
          </a:solidFill>
          <a:latin typeface="+mn-lt"/>
        </a:rPr>
        <a:t/>
      </a:r>
      <a:endParaRPr/>
    </a:p>
  </c:txPr>
</c:chartSpace>
</file>

<file path=xl/charts/colors1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a:schemeClr val="accent1">
    <a:lumMod val="60000"/>
  </a:schemeClr>
  <a:schemeClr val="accent2">
    <a:lumMod val="60000"/>
  </a:schemeClr>
  <a:schemeClr val="accent3">
    <a:lumMod val="60000"/>
  </a:schemeClr>
  <a:schemeClr val="accent4">
    <a:lumMod val="60000"/>
  </a:schemeClr>
  <a:schemeClr val="accent5">
    <a:lumMod val="60000"/>
  </a:schemeClr>
  <a:schemeClr val="accent6">
    <a:lumMod val="60000"/>
  </a:schemeClr>
  <a:schemeClr val="accent1">
    <a:lumMod val="80000"/>
    <a:lumOff val="20000"/>
  </a:schemeClr>
  <a:schemeClr val="accent2">
    <a:lumMod val="80000"/>
    <a:lumOff val="20000"/>
  </a:schemeClr>
  <a:schemeClr val="accent3">
    <a:lumMod val="80000"/>
    <a:lumOff val="20000"/>
  </a:schemeClr>
  <a:schemeClr val="accent4">
    <a:lumMod val="80000"/>
    <a:lumOff val="20000"/>
  </a:schemeClr>
  <a:schemeClr val="accent5">
    <a:lumMod val="80000"/>
    <a:lumOff val="20000"/>
  </a:schemeClr>
  <a:schemeClr val="accent6">
    <a:lumMod val="80000"/>
    <a:lumOff val="20000"/>
  </a:schemeClr>
  <a:schemeClr val="accent1">
    <a:lumMod val="80000"/>
  </a:schemeClr>
  <a:schemeClr val="accent2">
    <a:lumMod val="80000"/>
  </a:schemeClr>
  <a:schemeClr val="accent3">
    <a:lumMod val="80000"/>
  </a:schemeClr>
  <a:schemeClr val="accent4">
    <a:lumMod val="80000"/>
  </a:schemeClr>
  <a:schemeClr val="accent5">
    <a:lumMod val="80000"/>
  </a:schemeClr>
  <a:schemeClr val="accent6">
    <a:lumMod val="80000"/>
  </a:schemeClr>
  <a:schemeClr val="accent1">
    <a:lumMod val="60000"/>
    <a:lumOff val="40000"/>
  </a:schemeClr>
  <a:schemeClr val="accent2">
    <a:lumMod val="60000"/>
    <a:lumOff val="40000"/>
  </a:schemeClr>
  <a:schemeClr val="accent3">
    <a:lumMod val="60000"/>
    <a:lumOff val="40000"/>
  </a:schemeClr>
  <a:schemeClr val="accent4">
    <a:lumMod val="60000"/>
    <a:lumOff val="40000"/>
  </a:schemeClr>
  <a:schemeClr val="accent5">
    <a:lumMod val="60000"/>
    <a:lumOff val="40000"/>
  </a:schemeClr>
  <a:schemeClr val="accent6">
    <a:lumMod val="60000"/>
    <a:lumOff val="40000"/>
  </a:schemeClr>
  <a:schemeClr val="accent1">
    <a:lumMod val="50000"/>
  </a:schemeClr>
  <a:schemeClr val="accent2">
    <a:lumMod val="50000"/>
  </a:schemeClr>
  <a:schemeClr val="accent3">
    <a:lumMod val="50000"/>
  </a:schemeClr>
  <a:schemeClr val="accent4">
    <a:lumMod val="50000"/>
  </a:schemeClr>
  <a:schemeClr val="accent5">
    <a:lumMod val="50000"/>
  </a:schemeClr>
  <a:schemeClr val="accent6">
    <a:lumMod val="50000"/>
  </a:schemeClr>
  <a:schemeClr val="accent1">
    <a:lumMod val="70000"/>
    <a:lumOff val="30000"/>
  </a:schemeClr>
  <a:schemeClr val="accent2">
    <a:lumMod val="70000"/>
    <a:lumOff val="30000"/>
  </a:schemeClr>
  <a:schemeClr val="accent3">
    <a:lumMod val="70000"/>
    <a:lumOff val="30000"/>
  </a:schemeClr>
  <a:schemeClr val="accent4">
    <a:lumMod val="70000"/>
    <a:lumOff val="30000"/>
  </a:schemeClr>
  <a:schemeClr val="accent5">
    <a:lumMod val="70000"/>
    <a:lumOff val="30000"/>
  </a:schemeClr>
  <a:schemeClr val="accent6">
    <a:lumMod val="70000"/>
    <a:lumOff val="30000"/>
  </a:schemeClr>
  <a:schemeClr val="accent1">
    <a:lumMod val="70000"/>
  </a:schemeClr>
  <a:schemeClr val="accent2">
    <a:lumMod val="70000"/>
  </a:schemeClr>
  <a:schemeClr val="accent3">
    <a:lumMod val="70000"/>
  </a:schemeClr>
  <a:schemeClr val="accent4">
    <a:lumMod val="70000"/>
  </a:schemeClr>
  <a:schemeClr val="accent5">
    <a:lumMod val="70000"/>
  </a:schemeClr>
  <a:schemeClr val="accent6">
    <a:lumMod val="70000"/>
  </a:schemeClr>
  <a:schemeClr val="accent1">
    <a:lumMod val="50000"/>
    <a:lumOff val="50000"/>
  </a:schemeClr>
  <a:schemeClr val="accent2">
    <a:lumMod val="50000"/>
    <a:lumOff val="50000"/>
  </a:schemeClr>
  <a:schemeClr val="accent3">
    <a:lumMod val="50000"/>
    <a:lumOff val="50000"/>
  </a:schemeClr>
  <a:schemeClr val="accent4">
    <a:lumMod val="50000"/>
    <a:lumOff val="50000"/>
  </a:schemeClr>
  <a:schemeClr val="accent5">
    <a:lumMod val="50000"/>
    <a:lumOff val="50000"/>
  </a:schemeClr>
  <a:schemeClr val="accent6">
    <a:lumMod val="50000"/>
    <a:lumOff val="50000"/>
  </a:schemeClr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37</xdr:row>
      <xdr:rowOff>0</xdr:rowOff>
    </xdr:from>
    <xdr:to>
      <xdr:col>12</xdr:col>
      <xdr:colOff>285750</xdr:colOff>
      <xdr:row>51</xdr:row>
      <xdr:rowOff>76200</xdr:rowOff>
    </xdr:to>
    <xdr:graphicFrame>
      <xdr:nvGraphicFramePr>
        <xdr:cNvPr id="2" name="OwnershipChart"/>
        <xdr:cNvGraphicFramePr>
          <a:graphicFrameLocks noChangeAspect="0"/>
        </xdr:cNvGraphicFramePr>
      </xdr:nvGraphicFramePr>
      <xdr:xfrm>
        <a:off x="7429500" y="7048500"/>
        <a:ext cx="489585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E67C128-9AE8-EC43-BCA2-7A8EF9A846C8}" mc:Ignorable="x14ac xr xr2 xr3">
  <dimension ref="A1:GR50000"/>
  <sheetViews>
    <sheetView topLeftCell="A1" workbookViewId="0">
      <selection activeCell="D12" sqref="D12"/>
    </sheetView>
  </sheetViews>
  <sheetFormatPr defaultRowHeight="15" defaultColWidth="8.8515625" customHeight="1"/>
  <cols>
    <col min="1" max="1" width="28.57421875" customWidth="1"/>
    <col min="2" max="2" width="21.421875" customWidth="1"/>
    <col min="3" max="3" width="7.140625" customWidth="1"/>
    <col min="4" max="4" width="28.57421875" customWidth="1"/>
    <col min="5" max="5" width="21.421875" customWidth="1"/>
  </cols>
  <sheetData>
    <row r="1" ht="15" customHeight="1">
      <c r="A1" s="1" t="s">
        <v>0</v>
      </c>
    </row>
    <row r="3" ht="15" customHeight="1">
      <c r="A3" s="2" t="s">
        <v>1</v>
      </c>
    </row>
    <row r="5" ht="15" customHeight="1">
      <c r="A5" s="3" t="s">
        <v>2</v>
      </c>
      <c r="B5" s="3"/>
      <c r="D5" s="3" t="s">
        <v>3</v>
      </c>
      <c r="E5" s="3"/>
    </row>
    <row r="6" ht="15" customHeight="1">
      <c r="A6" s="3" t="s">
        <v>4</v>
      </c>
      <c r="B6" s="3">
        <f>'3-Statement Model'!B7*1000</f>
        <v>1000000</v>
      </c>
      <c r="D6" s="3" t="s">
        <v>5</v>
      </c>
      <c r="E6" s="3">
        <f>'3-Statement Model'!G7*1000</f>
        <v>2210064.48</v>
      </c>
    </row>
    <row r="7" ht="15" customHeight="1">
      <c r="A7" s="3" t="s">
        <v>6</v>
      </c>
      <c r="B7" s="3">
        <f>'3-Statement Model'!B19</f>
        <v>0.065</v>
      </c>
      <c r="D7" s="3" t="s">
        <v>7</v>
      </c>
      <c r="E7" s="3">
        <f>'KPIs &amp; Ratios'!B36</f>
        <v>0.171874189224835</v>
      </c>
    </row>
    <row r="8" ht="15" customHeight="1">
      <c r="A8" s="3" t="s">
        <v>8</v>
      </c>
      <c r="B8" s="3">
        <f>'3-Statement Model'!B26*1000</f>
        <v>19750</v>
      </c>
      <c r="D8" s="3" t="s">
        <v>9</v>
      </c>
      <c r="E8" s="3">
        <f>'3-Statement Model'!G26*1000</f>
        <v>183324.848616</v>
      </c>
    </row>
    <row r="9" ht="15" customHeight="1">
      <c r="A9" s="3" t="s">
        <v>10</v>
      </c>
      <c r="B9" s="3">
        <f>'3-Statement Model'!B27</f>
        <v>0.01975</v>
      </c>
      <c r="D9" s="3" t="s">
        <v>11</v>
      </c>
      <c r="E9" s="3">
        <f>'3-Statement Model'!G27</f>
        <v>0.08295</v>
      </c>
    </row>
    <row r="11" ht="15" customHeight="1">
      <c r="A11" s="2" t="s">
        <v>12</v>
      </c>
    </row>
    <row r="13" ht="15" customHeight="1">
      <c r="A13" s="4" t="s">
        <v>13</v>
      </c>
    </row>
    <row r="14" ht="15" customHeight="1">
      <c r="A14" s="4" t="s">
        <v>14</v>
      </c>
    </row>
    <row r="15" ht="15" customHeight="1">
      <c r="A15" s="4" t="s">
        <v>15</v>
      </c>
    </row>
    <row r="16" ht="15" customHeight="1">
      <c r="A16" s="4" t="s">
        <v>16</v>
      </c>
    </row>
    <row r="17" ht="15" customHeight="1">
      <c r="A17" s="4" t="s">
        <v>17</v>
      </c>
    </row>
    <row r="18" ht="15" customHeight="1">
      <c r="A18" s="4" t="s">
        <v>18</v>
      </c>
    </row>
    <row r="19" ht="15" customHeight="1">
      <c r="A19" s="4" t="s">
        <v>19</v>
      </c>
    </row>
    <row r="21" ht="15" customHeight="1">
      <c r="A21" s="2" t="s">
        <v>20</v>
      </c>
    </row>
    <row r="23" ht="15" customHeight="1">
      <c r="A23" s="5" t="s">
        <v>21</v>
      </c>
      <c r="B23" s="6">
        <f>'KPIs &amp; Ratios'!G15</f>
        <v>2.45036740080223</v>
      </c>
      <c r="D23" s="5" t="s">
        <v>22</v>
      </c>
      <c r="E23" s="7">
        <f>'3-Statement Model'!G36*1000</f>
        <v>-71954.009404822</v>
      </c>
    </row>
    <row r="24" ht="15" customHeight="1">
      <c r="A24" s="5" t="s">
        <v>23</v>
      </c>
      <c r="B24" s="6">
        <f>'KPIs &amp; Ratios'!G21</f>
        <v>0</v>
      </c>
      <c r="D24" s="5" t="s">
        <v>24</v>
      </c>
      <c r="E24" s="7">
        <f>'3-Statement Model'!G54*1000</f>
        <v>0</v>
      </c>
    </row>
    <row r="25" ht="15" customHeight="1">
      <c r="A25" s="5" t="s">
        <v>25</v>
      </c>
      <c r="B25" s="8">
        <f>'KPIs &amp; Ratios'!G10</f>
        <v>0.412512881353635</v>
      </c>
      <c r="D25" s="5" t="s">
        <v>26</v>
      </c>
      <c r="E25" s="7">
        <f>'3-Statement Model'!G61*1000</f>
        <v>444409.997608877</v>
      </c>
    </row>
  </sheetData>
  <mergeCells>
    <mergeCell ref="A1:H1"/>
    <mergeCell ref="A3:H3"/>
    <mergeCell ref="A11:H11"/>
    <mergeCell ref="A21:H21"/>
  </mergeCells>
  <printOptions/>
  <pageMargins left="0.7" right="0.7" top="0.75" bottom="0.75" header="0.3" footer="0.3"/>
  <pageSetup paperSize="1" orientation="portrait"/>
  <headerFooter>
    <oddHeader>&amp;L&amp;C&amp;R</oddHeader>
    <oddFooter>&amp;L&amp;C&amp;R</oddFooter>
  </headerFooter>
  <extLst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7EEB7B8-9C18-411F-B982-0FD053B098D6}" mc:Ignorable="x14ac xr xr2 xr3">
  <dimension ref="A1:GR50000"/>
  <sheetViews>
    <sheetView topLeftCell="A1" workbookViewId="0">
      <selection activeCell="D28" sqref="D28"/>
    </sheetView>
  </sheetViews>
  <sheetFormatPr defaultRowHeight="15" defaultColWidth="8.8515625" customHeight="1"/>
  <cols>
    <col min="1" max="1" width="35.7109375" customWidth="1"/>
    <col min="2" max="6" width="17.140625" customWidth="1"/>
  </cols>
  <sheetData>
    <row r="1" ht="15" customHeight="1">
      <c r="A1" s="9" t="s">
        <v>27</v>
      </c>
    </row>
    <row r="3" ht="15" customHeight="1">
      <c r="A3" s="10" t="s">
        <v>28</v>
      </c>
    </row>
    <row r="5" ht="15" customHeight="1">
      <c r="A5" t="s">
        <v>29</v>
      </c>
      <c r="B5" s="7">
        <v>1000000</v>
      </c>
    </row>
    <row r="7" ht="15" customHeight="1">
      <c r="A7" t="s">
        <v>30</v>
      </c>
      <c r="B7" s="11" t="s">
        <v>31</v>
      </c>
      <c r="C7" s="11" t="s">
        <v>32</v>
      </c>
      <c r="D7" s="11" t="s">
        <v>33</v>
      </c>
      <c r="E7" s="11" t="s">
        <v>34</v>
      </c>
      <c r="F7" s="11" t="s">
        <v>35</v>
      </c>
    </row>
    <row r="8" ht="15" customHeight="1">
      <c r="A8" t="s">
        <v>36</v>
      </c>
      <c r="B8" s="8">
        <v>0.2</v>
      </c>
      <c r="C8" s="8">
        <v>0.18</v>
      </c>
      <c r="D8" s="8">
        <v>0.17</v>
      </c>
      <c r="E8" s="8">
        <v>0.16</v>
      </c>
      <c r="F8" s="8">
        <v>0.15</v>
      </c>
    </row>
    <row r="10" ht="15" customHeight="1">
      <c r="A10" s="10" t="s">
        <v>37</v>
      </c>
    </row>
    <row r="12" ht="15" customHeight="1">
      <c r="A12" t="s">
        <v>38</v>
      </c>
      <c r="B12" s="8">
        <v>0.35</v>
      </c>
      <c r="C12" s="8">
        <f t="shared" si="0" ref="C12:F23">B12</f>
        <v>0.35</v>
      </c>
      <c r="D12" s="8">
        <f t="shared" si="0"/>
        <v>0.35</v>
      </c>
      <c r="E12" s="8">
        <f t="shared" si="0"/>
        <v>0.35</v>
      </c>
      <c r="F12" s="8">
        <f t="shared" si="0"/>
        <v>0.35</v>
      </c>
    </row>
    <row r="13" ht="15" customHeight="1">
      <c r="A13" t="s">
        <v>39</v>
      </c>
      <c r="B13" s="8">
        <v>0.385</v>
      </c>
      <c r="C13" s="8">
        <v>0.375</v>
      </c>
      <c r="D13" s="8">
        <v>0.365</v>
      </c>
      <c r="E13" s="8">
        <v>0.355</v>
      </c>
      <c r="F13" s="8">
        <v>0.345</v>
      </c>
    </row>
    <row r="14" ht="15" customHeight="1">
      <c r="A14" t="s">
        <v>40</v>
      </c>
      <c r="B14" s="8">
        <v>0.15</v>
      </c>
      <c r="C14" s="8">
        <f t="shared" si="0"/>
        <v>0.15</v>
      </c>
      <c r="D14" s="8">
        <f t="shared" si="0"/>
        <v>0.15</v>
      </c>
      <c r="E14" s="8">
        <f t="shared" si="0"/>
        <v>0.15</v>
      </c>
      <c r="F14" s="8">
        <f t="shared" si="0"/>
        <v>0.15</v>
      </c>
    </row>
    <row r="15" ht="15" customHeight="1">
      <c r="A15" t="s">
        <v>41</v>
      </c>
      <c r="B15" s="8">
        <v>0.05</v>
      </c>
      <c r="C15" s="8">
        <f t="shared" si="0"/>
        <v>0.05</v>
      </c>
      <c r="D15" s="8">
        <f t="shared" si="0"/>
        <v>0.05</v>
      </c>
      <c r="E15" s="8">
        <f t="shared" si="0"/>
        <v>0.05</v>
      </c>
      <c r="F15" s="8">
        <f t="shared" si="0"/>
        <v>0.05</v>
      </c>
    </row>
    <row r="16" ht="15" customHeight="1">
      <c r="A16" s="12" t="s">
        <v>42</v>
      </c>
      <c r="B16" s="12">
        <f t="shared" si="1" ref="B16:F16">SUM(B12:B15)</f>
        <v>0.935</v>
      </c>
      <c r="C16" s="12">
        <f t="shared" si="1"/>
        <v>0.925</v>
      </c>
      <c r="D16" s="12">
        <f t="shared" si="1"/>
        <v>0.915</v>
      </c>
      <c r="E16" s="12">
        <f t="shared" si="1"/>
        <v>0.905</v>
      </c>
      <c r="F16" s="12">
        <f t="shared" si="1"/>
        <v>0.895</v>
      </c>
    </row>
    <row r="17" ht="15" customHeight="1">
      <c r="A17" s="13" t="s">
        <v>43</v>
      </c>
      <c r="B17" s="13">
        <f t="shared" si="2" ref="B17:F17">1-B16</f>
        <v>0.065</v>
      </c>
      <c r="C17" s="13">
        <f t="shared" si="2"/>
        <v>0.075</v>
      </c>
      <c r="D17" s="13">
        <f t="shared" si="2"/>
        <v>0.085</v>
      </c>
      <c r="E17" s="13">
        <f t="shared" si="2"/>
        <v>0.095</v>
      </c>
      <c r="F17" s="13">
        <f t="shared" si="2"/>
        <v>0.105</v>
      </c>
    </row>
    <row r="19" ht="15" customHeight="1">
      <c r="A19" s="10" t="s">
        <v>44</v>
      </c>
    </row>
    <row r="21" ht="15" customHeight="1">
      <c r="A21" t="s">
        <v>45</v>
      </c>
      <c r="B21" s="7">
        <v>500000</v>
      </c>
    </row>
    <row r="22" ht="15" customHeight="1">
      <c r="A22" t="s">
        <v>46</v>
      </c>
      <c r="B22" s="8">
        <v>0.08</v>
      </c>
    </row>
    <row r="23" ht="15" customHeight="1">
      <c r="A23" t="s">
        <v>47</v>
      </c>
      <c r="B23" s="7">
        <v>100000</v>
      </c>
      <c r="C23" s="7">
        <f t="shared" si="0"/>
        <v>100000</v>
      </c>
      <c r="D23" s="7">
        <f t="shared" si="0"/>
        <v>100000</v>
      </c>
      <c r="E23" s="7">
        <f t="shared" si="0"/>
        <v>100000</v>
      </c>
      <c r="F23" s="7">
        <f t="shared" si="0"/>
        <v>100000</v>
      </c>
    </row>
    <row r="25" ht="15" customHeight="1">
      <c r="A25" s="10" t="s">
        <v>48</v>
      </c>
    </row>
    <row r="27" ht="15" customHeight="1">
      <c r="A27" t="s">
        <v>49</v>
      </c>
      <c r="B27" s="14">
        <v>45</v>
      </c>
    </row>
    <row r="28" ht="15" customHeight="1">
      <c r="A28" t="s">
        <v>50</v>
      </c>
      <c r="B28" s="14">
        <v>30</v>
      </c>
    </row>
    <row r="29" ht="15" customHeight="1">
      <c r="A29" t="s">
        <v>51</v>
      </c>
      <c r="B29" s="14">
        <v>30</v>
      </c>
    </row>
    <row r="31" ht="15" customHeight="1">
      <c r="A31" s="10" t="s">
        <v>52</v>
      </c>
    </row>
    <row r="33" ht="15" customHeight="1">
      <c r="A33" t="s">
        <v>53</v>
      </c>
      <c r="B33" s="8">
        <v>0.21</v>
      </c>
    </row>
    <row r="34" ht="15" customHeight="1">
      <c r="A34" t="s">
        <v>54</v>
      </c>
      <c r="B34" s="8">
        <v>0.03</v>
      </c>
    </row>
    <row r="35" ht="15" customHeight="1">
      <c r="A35" t="s">
        <v>55</v>
      </c>
      <c r="B35" s="8">
        <v>0.05</v>
      </c>
    </row>
  </sheetData>
  <mergeCells>
    <mergeCell ref="A1:G1"/>
    <mergeCell ref="A3:G3"/>
    <mergeCell ref="A10:G10"/>
    <mergeCell ref="A19:G19"/>
    <mergeCell ref="A25:G25"/>
    <mergeCell ref="A31:G31"/>
  </mergeCells>
  <printOptions/>
  <pageMargins left="0.7" right="0.7" top="0.75" bottom="0.75" header="0.3" footer="0.3"/>
  <pageSetup paperSize="1" orientation="portrait"/>
  <headerFooter>
    <oddHeader>&amp;L&amp;C&amp;R</oddHeader>
    <oddFooter>&amp;L&amp;C&amp;R</oddFooter>
  </headerFooter>
  <extLst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C791358-C498-3DED-466E-214A7BB429D8}" mc:Ignorable="x14ac xr xr2 xr3">
  <dimension ref="A1:GR50000"/>
  <sheetViews>
    <sheetView topLeftCell="A34" workbookViewId="0">
      <selection activeCell="I50" sqref="I50"/>
    </sheetView>
  </sheetViews>
  <sheetFormatPr defaultRowHeight="15" defaultColWidth="8.8515625" customHeight="1"/>
  <cols>
    <col min="1" max="1" width="28.57421875" customWidth="1"/>
    <col min="2" max="7" width="17.140625" customWidth="1"/>
  </cols>
  <sheetData>
    <row r="1" ht="15" customHeight="1">
      <c r="A1" s="15" t="s">
        <v>56</v>
      </c>
    </row>
    <row r="3" ht="15" customHeight="1">
      <c r="A3" s="2" t="s">
        <v>57</v>
      </c>
    </row>
    <row r="5" ht="15" customHeight="1">
      <c r="A5" s="16" t="s">
        <v>58</v>
      </c>
      <c r="B5" s="16" t="s">
        <v>59</v>
      </c>
      <c r="C5" s="16" t="s">
        <v>31</v>
      </c>
      <c r="D5" s="16" t="s">
        <v>32</v>
      </c>
      <c r="E5" s="16" t="s">
        <v>33</v>
      </c>
      <c r="F5" s="16" t="s">
        <v>34</v>
      </c>
      <c r="G5" s="16" t="s">
        <v>35</v>
      </c>
    </row>
    <row r="7" ht="15" customHeight="1">
      <c r="A7" s="17" t="s">
        <v>4</v>
      </c>
      <c r="B7" s="7">
        <f>Assumptions!B5/1000</f>
        <v>1000</v>
      </c>
      <c r="C7" s="7">
        <f>B7*(1+Assumptions!B8)</f>
        <v>1200</v>
      </c>
      <c r="D7" s="7">
        <f>C7*(1+Assumptions!C8)</f>
        <v>1416</v>
      </c>
      <c r="E7" s="7">
        <f>D7*(1+Assumptions!D8)</f>
        <v>1656.72</v>
      </c>
      <c r="F7" s="7">
        <f>E7*(1+Assumptions!E8)</f>
        <v>1921.7952</v>
      </c>
      <c r="G7" s="7">
        <f>F7*(1+Assumptions!F8)</f>
        <v>2210.06448</v>
      </c>
    </row>
    <row r="8" ht="15" customHeight="1">
      <c r="A8" t="s">
        <v>38</v>
      </c>
      <c r="B8" s="7">
        <f>B7*Assumptions!B12*1000/1000</f>
        <v>350</v>
      </c>
      <c r="C8" s="7">
        <f>C7*Assumptions!B12</f>
        <v>420</v>
      </c>
      <c r="D8" s="7">
        <f>D7*Assumptions!C12</f>
        <v>495.6</v>
      </c>
      <c r="E8" s="7">
        <f>E7*Assumptions!D12</f>
        <v>579.852</v>
      </c>
      <c r="F8" s="7">
        <f>F7*Assumptions!E12</f>
        <v>672.62832</v>
      </c>
      <c r="G8" s="7">
        <f>G7*Assumptions!F12</f>
        <v>773.522568</v>
      </c>
    </row>
    <row r="9" ht="15" customHeight="1">
      <c r="A9" s="12" t="s">
        <v>60</v>
      </c>
      <c r="B9" s="18">
        <f t="shared" si="0" ref="B9:G9">B7-B8</f>
        <v>650</v>
      </c>
      <c r="C9" s="18">
        <f t="shared" si="0"/>
        <v>780</v>
      </c>
      <c r="D9" s="18">
        <f t="shared" si="0"/>
        <v>920.4</v>
      </c>
      <c r="E9" s="18">
        <f t="shared" si="0"/>
        <v>1076.868</v>
      </c>
      <c r="F9" s="18">
        <f t="shared" si="0"/>
        <v>1249.16688</v>
      </c>
      <c r="G9" s="18">
        <f t="shared" si="0"/>
        <v>1436.541912</v>
      </c>
    </row>
    <row r="10" ht="15" customHeight="1">
      <c r="A10" s="19" t="s">
        <v>61</v>
      </c>
      <c r="B10" s="20">
        <f t="shared" si="1" ref="B10:G10">B9/B7</f>
        <v>0.65</v>
      </c>
      <c r="C10" s="20">
        <f t="shared" si="1"/>
        <v>0.65</v>
      </c>
      <c r="D10" s="20">
        <f t="shared" si="1"/>
        <v>0.65</v>
      </c>
      <c r="E10" s="20">
        <f t="shared" si="1"/>
        <v>0.65</v>
      </c>
      <c r="F10" s="20">
        <f t="shared" si="1"/>
        <v>0.65</v>
      </c>
      <c r="G10" s="20">
        <f t="shared" si="1"/>
        <v>0.65</v>
      </c>
    </row>
    <row r="11" ht="15" customHeight="1">
      <c r="B11" s="7"/>
      <c r="C11" s="7"/>
      <c r="D11" s="7"/>
      <c r="E11" s="7"/>
      <c r="F11" s="7"/>
      <c r="G11" s="7"/>
    </row>
    <row r="12" ht="15" customHeight="1">
      <c r="A12" s="21" t="s">
        <v>62</v>
      </c>
      <c r="B12" s="7"/>
      <c r="C12" s="7"/>
      <c r="D12" s="7"/>
      <c r="E12" s="7"/>
      <c r="F12" s="7"/>
      <c r="G12" s="7"/>
    </row>
    <row r="13" ht="15" customHeight="1">
      <c r="A13" t="s">
        <v>63</v>
      </c>
      <c r="B13" s="7">
        <f>B7*Assumptions!B13</f>
        <v>385</v>
      </c>
      <c r="C13" s="7">
        <f>C7*Assumptions!B13</f>
        <v>462</v>
      </c>
      <c r="D13" s="7">
        <f>D7*Assumptions!C13</f>
        <v>531</v>
      </c>
      <c r="E13" s="7">
        <f>E7*Assumptions!D13</f>
        <v>604.7028</v>
      </c>
      <c r="F13" s="7">
        <f>F7*Assumptions!E13</f>
        <v>682.237296</v>
      </c>
      <c r="G13" s="7">
        <f>G7*Assumptions!F13</f>
        <v>762.4722456</v>
      </c>
    </row>
    <row r="14" ht="15" customHeight="1">
      <c r="A14" t="s">
        <v>64</v>
      </c>
      <c r="B14" s="7">
        <f>B7*Assumptions!B14</f>
        <v>150</v>
      </c>
      <c r="C14" s="7">
        <f>C7*Assumptions!B14</f>
        <v>180</v>
      </c>
      <c r="D14" s="7">
        <f>D7*Assumptions!C14</f>
        <v>212.4</v>
      </c>
      <c r="E14" s="7">
        <f>E7*Assumptions!D14</f>
        <v>248.508</v>
      </c>
      <c r="F14" s="7">
        <f>F7*Assumptions!E14</f>
        <v>288.26928</v>
      </c>
      <c r="G14" s="7">
        <f>G7*Assumptions!F14</f>
        <v>331.509672</v>
      </c>
    </row>
    <row r="15" ht="15" customHeight="1">
      <c r="A15" t="s">
        <v>65</v>
      </c>
      <c r="B15" s="7">
        <f>B7*Assumptions!B15</f>
        <v>50</v>
      </c>
      <c r="C15" s="7">
        <f>C7*Assumptions!B15</f>
        <v>60</v>
      </c>
      <c r="D15" s="7">
        <f>D7*Assumptions!C15</f>
        <v>70.8</v>
      </c>
      <c r="E15" s="7">
        <f>E7*Assumptions!D15</f>
        <v>82.836</v>
      </c>
      <c r="F15" s="7">
        <f>F7*Assumptions!E15</f>
        <v>96.08976</v>
      </c>
      <c r="G15" s="7">
        <f>G7*Assumptions!F15</f>
        <v>110.503224</v>
      </c>
    </row>
    <row r="16" ht="15" customHeight="1">
      <c r="A16" s="12" t="s">
        <v>42</v>
      </c>
      <c r="B16" s="18">
        <f t="shared" si="2" ref="B16:G39">SUM(B13:B15)</f>
        <v>585</v>
      </c>
      <c r="C16" s="18">
        <f t="shared" si="2"/>
        <v>702</v>
      </c>
      <c r="D16" s="18">
        <f t="shared" si="2"/>
        <v>814.2</v>
      </c>
      <c r="E16" s="18">
        <f t="shared" si="2"/>
        <v>936.0468</v>
      </c>
      <c r="F16" s="18">
        <f t="shared" si="2"/>
        <v>1066.596336</v>
      </c>
      <c r="G16" s="18">
        <f t="shared" si="2"/>
        <v>1204.4851416</v>
      </c>
    </row>
    <row r="18" ht="15" customHeight="1">
      <c r="A18" s="22" t="s">
        <v>66</v>
      </c>
      <c r="B18" s="23">
        <f t="shared" si="3" ref="B18:G18">B9-B16</f>
        <v>65</v>
      </c>
      <c r="C18" s="23">
        <f t="shared" si="3"/>
        <v>78</v>
      </c>
      <c r="D18" s="23">
        <f t="shared" si="3"/>
        <v>106.2</v>
      </c>
      <c r="E18" s="23">
        <f t="shared" si="3"/>
        <v>140.8212</v>
      </c>
      <c r="F18" s="23">
        <f t="shared" si="3"/>
        <v>182.570544</v>
      </c>
      <c r="G18" s="23">
        <f t="shared" si="3"/>
        <v>232.0567704</v>
      </c>
    </row>
    <row r="19" ht="15" customHeight="1">
      <c r="A19" s="19" t="s">
        <v>67</v>
      </c>
      <c r="B19" s="19">
        <f t="shared" si="4" ref="B19:G19">B18/B7</f>
        <v>0.065</v>
      </c>
      <c r="C19" s="19">
        <f t="shared" si="4"/>
        <v>0.065</v>
      </c>
      <c r="D19" s="19">
        <f t="shared" si="4"/>
        <v>0.075</v>
      </c>
      <c r="E19" s="19">
        <f t="shared" si="4"/>
        <v>0.085</v>
      </c>
      <c r="F19" s="19">
        <f t="shared" si="4"/>
        <v>0.095</v>
      </c>
      <c r="G19" s="19">
        <f t="shared" si="4"/>
        <v>0.105</v>
      </c>
    </row>
    <row r="21" ht="15" customHeight="1">
      <c r="A21" t="s">
        <v>68</v>
      </c>
      <c r="B21" s="7">
        <f>Assumptions!B21*Assumptions!B22/1000</f>
        <v>40</v>
      </c>
      <c r="C21" s="7">
        <f>(Assumptions!B21-Assumptions!B23)*Assumptions!B22/1000</f>
        <v>32</v>
      </c>
      <c r="D21" s="7">
        <f>(Assumptions!B21-Assumptions!B23*2)*Assumptions!B22/1000</f>
        <v>24</v>
      </c>
      <c r="E21" s="7">
        <f>(Assumptions!B21-Assumptions!B23*3)*Assumptions!B22/1000</f>
        <v>16</v>
      </c>
      <c r="F21" s="7">
        <f>(Assumptions!B21-Assumptions!B23*4)*Assumptions!B22/1000</f>
        <v>8</v>
      </c>
      <c r="G21" s="7">
        <f>MAX(0,(Assumptions!B21-Assumptions!B23*5)*Assumptions!B22/1000)</f>
        <v>0</v>
      </c>
    </row>
    <row r="22" ht="15" customHeight="1">
      <c r="B22" s="7"/>
      <c r="C22" s="7"/>
      <c r="D22" s="7"/>
      <c r="E22" s="7"/>
      <c r="F22" s="7"/>
      <c r="G22" s="7"/>
    </row>
    <row r="23" ht="15" customHeight="1">
      <c r="A23" s="12" t="s">
        <v>69</v>
      </c>
      <c r="B23" s="18">
        <f t="shared" si="5" ref="B23:G23">B18-B21</f>
        <v>25</v>
      </c>
      <c r="C23" s="18">
        <f t="shared" si="5"/>
        <v>46</v>
      </c>
      <c r="D23" s="18">
        <f t="shared" si="5"/>
        <v>82.2</v>
      </c>
      <c r="E23" s="18">
        <f t="shared" si="5"/>
        <v>124.8212</v>
      </c>
      <c r="F23" s="18">
        <f t="shared" si="5"/>
        <v>174.570544</v>
      </c>
      <c r="G23" s="18">
        <f t="shared" si="5"/>
        <v>232.0567704</v>
      </c>
    </row>
    <row r="24" ht="15" customHeight="1">
      <c r="A24" t="s">
        <v>70</v>
      </c>
      <c r="B24" s="7">
        <f>MAX(0,B23*Assumptions!B33)</f>
        <v>5.25</v>
      </c>
      <c r="C24" s="7">
        <f>MAX(0,C23*Assumptions!B33)</f>
        <v>9.66</v>
      </c>
      <c r="D24" s="7">
        <f>MAX(0,D23*Assumptions!B33)</f>
        <v>17.262</v>
      </c>
      <c r="E24" s="7">
        <f>MAX(0,E23*Assumptions!B33)</f>
        <v>26.212452</v>
      </c>
      <c r="F24" s="7">
        <f>MAX(0,F23*Assumptions!B33)</f>
        <v>36.65981424</v>
      </c>
      <c r="G24" s="7">
        <f>MAX(0,G23*Assumptions!B33)</f>
        <v>48.731921784</v>
      </c>
    </row>
    <row r="25" ht="15" customHeight="1">
      <c r="B25" s="7"/>
      <c r="C25" s="7"/>
      <c r="D25" s="7"/>
      <c r="E25" s="7"/>
      <c r="F25" s="7"/>
      <c r="G25" s="7"/>
    </row>
    <row r="26" ht="15" customHeight="1">
      <c r="A26" s="24" t="s">
        <v>8</v>
      </c>
      <c r="B26" s="25">
        <f t="shared" si="6" ref="B26:G26">B23-B24</f>
        <v>19.75</v>
      </c>
      <c r="C26" s="25">
        <f t="shared" si="6"/>
        <v>36.34</v>
      </c>
      <c r="D26" s="25">
        <f t="shared" si="6"/>
        <v>64.938</v>
      </c>
      <c r="E26" s="25">
        <f t="shared" si="6"/>
        <v>98.608748</v>
      </c>
      <c r="F26" s="25">
        <f t="shared" si="6"/>
        <v>137.91072976</v>
      </c>
      <c r="G26" s="25">
        <f t="shared" si="6"/>
        <v>183.324848616</v>
      </c>
    </row>
    <row r="27" ht="15" customHeight="1">
      <c r="A27" s="19" t="s">
        <v>71</v>
      </c>
      <c r="B27" s="19">
        <f t="shared" si="7" ref="B27:G27">B26/B7</f>
        <v>0.01975</v>
      </c>
      <c r="C27" s="19">
        <f t="shared" si="7"/>
        <v>0.0302833333333333</v>
      </c>
      <c r="D27" s="19">
        <f t="shared" si="7"/>
        <v>0.0458601694915254</v>
      </c>
      <c r="E27" s="19">
        <f t="shared" si="7"/>
        <v>0.0595204669467381</v>
      </c>
      <c r="F27" s="19">
        <f t="shared" si="7"/>
        <v>0.0717614081666975</v>
      </c>
      <c r="G27" s="19">
        <f t="shared" si="7"/>
        <v>0.08295</v>
      </c>
    </row>
    <row r="30" ht="15" customHeight="1">
      <c r="A30" s="2" t="s">
        <v>72</v>
      </c>
    </row>
    <row r="32" ht="15" customHeight="1">
      <c r="A32" s="16" t="s">
        <v>58</v>
      </c>
      <c r="B32" s="16" t="s">
        <v>73</v>
      </c>
      <c r="C32" s="16" t="s">
        <v>31</v>
      </c>
      <c r="D32" s="16" t="s">
        <v>32</v>
      </c>
      <c r="E32" s="16" t="s">
        <v>33</v>
      </c>
      <c r="F32" s="16" t="s">
        <v>34</v>
      </c>
      <c r="G32" s="16" t="s">
        <v>35</v>
      </c>
    </row>
    <row r="34" ht="15" customHeight="1">
      <c r="A34" s="26" t="s">
        <v>74</v>
      </c>
    </row>
    <row r="35" ht="15" customHeight="1">
      <c r="A35" s="17" t="s">
        <v>75</v>
      </c>
    </row>
    <row r="36" ht="15" customHeight="1">
      <c r="A36" t="s">
        <v>76</v>
      </c>
      <c r="B36" s="27">
        <v>200</v>
      </c>
      <c r="C36" s="27">
        <f t="shared" si="8" ref="C36:G36">C96</f>
        <v>91.682465753425</v>
      </c>
      <c r="D36" s="27">
        <f t="shared" si="8"/>
        <v>5.99032876712401</v>
      </c>
      <c r="E36" s="27">
        <f t="shared" si="8"/>
        <v>-53.398731452054</v>
      </c>
      <c r="F36" s="27">
        <f t="shared" si="8"/>
        <v>-81.302905801644</v>
      </c>
      <c r="G36" s="27">
        <f t="shared" si="8"/>
        <v>-71.954009404822</v>
      </c>
    </row>
    <row r="37" ht="15" customHeight="1">
      <c r="A37" t="s">
        <v>77</v>
      </c>
      <c r="B37" s="27">
        <f>B7*Assumptions!B27/365</f>
        <v>123.287671232877</v>
      </c>
      <c r="C37" s="27">
        <f>C7*Assumptions!B27/365</f>
        <v>147.945205479452</v>
      </c>
      <c r="D37" s="27">
        <f>D7*Assumptions!B27/365</f>
        <v>174.575342465753</v>
      </c>
      <c r="E37" s="27">
        <f>E7*Assumptions!B27/365</f>
        <v>204.253150684931</v>
      </c>
      <c r="F37" s="27">
        <f>F7*Assumptions!B27/365</f>
        <v>236.933654794521</v>
      </c>
      <c r="G37" s="27">
        <f>G7*Assumptions!B27/365</f>
        <v>272.473703013699</v>
      </c>
    </row>
    <row r="38" ht="15" customHeight="1">
      <c r="A38" t="s">
        <v>78</v>
      </c>
      <c r="B38" s="27">
        <f>B8*Assumptions!B28/365</f>
        <v>28.7671232876712</v>
      </c>
      <c r="C38" s="27">
        <f>C8*Assumptions!B28/365</f>
        <v>34.5205479452055</v>
      </c>
      <c r="D38" s="27">
        <f>D8*Assumptions!B28/365</f>
        <v>40.7342465753425</v>
      </c>
      <c r="E38" s="27">
        <f>E8*Assumptions!B28/365</f>
        <v>47.6590684931507</v>
      </c>
      <c r="F38" s="27">
        <f>F8*Assumptions!B28/365</f>
        <v>55.2845194520548</v>
      </c>
      <c r="G38" s="27">
        <f>G8*Assumptions!B28/365</f>
        <v>63.577197369863</v>
      </c>
    </row>
    <row r="39" ht="15" customHeight="1">
      <c r="A39" s="12" t="s">
        <v>79</v>
      </c>
      <c r="B39" s="12">
        <f t="shared" si="2"/>
        <v>352.054794520548</v>
      </c>
      <c r="C39" s="12">
        <f t="shared" si="2"/>
        <v>274.148219178083</v>
      </c>
      <c r="D39" s="12">
        <f t="shared" si="2"/>
        <v>221.29991780822</v>
      </c>
      <c r="E39" s="12">
        <f t="shared" si="2"/>
        <v>198.513487726028</v>
      </c>
      <c r="F39" s="12">
        <f t="shared" si="2"/>
        <v>210.915268444932</v>
      </c>
      <c r="G39" s="12">
        <f t="shared" si="2"/>
        <v>264.09689097874</v>
      </c>
    </row>
    <row r="41" ht="15" customHeight="1">
      <c r="A41" s="17" t="s">
        <v>80</v>
      </c>
    </row>
    <row r="42" ht="15" customHeight="1">
      <c r="A42" t="s">
        <v>81</v>
      </c>
      <c r="B42" s="27">
        <v>150</v>
      </c>
      <c r="C42" s="27">
        <f>B42+C7*Assumptions!B35</f>
        <v>210</v>
      </c>
      <c r="D42" s="27">
        <f>C42+D7*Assumptions!B35</f>
        <v>280.8</v>
      </c>
      <c r="E42" s="27">
        <f>D42+E7*Assumptions!B35</f>
        <v>363.636</v>
      </c>
      <c r="F42" s="27">
        <f>E42+F7*Assumptions!B35</f>
        <v>459.72576</v>
      </c>
      <c r="G42" s="27">
        <f>F42+G7*Assumptions!B35</f>
        <v>570.228984</v>
      </c>
    </row>
    <row r="43" ht="15" customHeight="1">
      <c r="A43" t="s">
        <v>82</v>
      </c>
      <c r="B43" s="28">
        <v>-30</v>
      </c>
      <c r="C43" s="28">
        <f>B43-C7*Assumptions!B34</f>
        <v>-66</v>
      </c>
      <c r="D43" s="28">
        <f>C43-D7*Assumptions!B34</f>
        <v>-108.48</v>
      </c>
      <c r="E43" s="28">
        <f>D43-E7*Assumptions!B34</f>
        <v>-158.1816</v>
      </c>
      <c r="F43" s="28">
        <f>E43-F7*Assumptions!B34</f>
        <v>-215.835456</v>
      </c>
      <c r="G43" s="28">
        <f>F43-G7*Assumptions!B34</f>
        <v>-282.1373904</v>
      </c>
    </row>
    <row r="44" ht="15" customHeight="1">
      <c r="A44" s="12" t="s">
        <v>83</v>
      </c>
      <c r="B44" s="12">
        <f t="shared" si="9" ref="B44:G61">B42+B43</f>
        <v>120</v>
      </c>
      <c r="C44" s="12">
        <f t="shared" si="9"/>
        <v>144</v>
      </c>
      <c r="D44" s="12">
        <f t="shared" si="9"/>
        <v>172.32</v>
      </c>
      <c r="E44" s="12">
        <f t="shared" si="9"/>
        <v>205.4544</v>
      </c>
      <c r="F44" s="12">
        <f t="shared" si="9"/>
        <v>243.890304</v>
      </c>
      <c r="G44" s="12">
        <f t="shared" si="9"/>
        <v>288.0915936</v>
      </c>
    </row>
    <row r="46" ht="15" customHeight="1">
      <c r="A46" s="24" t="s">
        <v>84</v>
      </c>
      <c r="B46" s="24">
        <f t="shared" si="10" ref="B46:G63">B39+B44</f>
        <v>472.054794520548</v>
      </c>
      <c r="C46" s="24">
        <f t="shared" si="10"/>
        <v>418.148219178083</v>
      </c>
      <c r="D46" s="24">
        <f t="shared" si="10"/>
        <v>393.61991780822</v>
      </c>
      <c r="E46" s="24">
        <f t="shared" si="10"/>
        <v>403.967887726028</v>
      </c>
      <c r="F46" s="24">
        <f t="shared" si="10"/>
        <v>454.805572444932</v>
      </c>
      <c r="G46" s="24">
        <f t="shared" si="10"/>
        <v>552.18848457874</v>
      </c>
    </row>
    <row r="48" ht="15" customHeight="1">
      <c r="A48" s="26" t="s">
        <v>85</v>
      </c>
    </row>
    <row r="49" ht="15" customHeight="1">
      <c r="A49" s="17" t="s">
        <v>86</v>
      </c>
    </row>
    <row r="50" ht="15" customHeight="1">
      <c r="A50" t="s">
        <v>87</v>
      </c>
      <c r="B50" s="27">
        <f>B8*Assumptions!B29/365</f>
        <v>28.7671232876712</v>
      </c>
      <c r="C50" s="27">
        <f>C8*Assumptions!B29/365</f>
        <v>34.5205479452055</v>
      </c>
      <c r="D50" s="27">
        <f>D8*Assumptions!B29/365</f>
        <v>40.7342465753425</v>
      </c>
      <c r="E50" s="27">
        <f>E8*Assumptions!B29/365</f>
        <v>47.6590684931507</v>
      </c>
      <c r="F50" s="27">
        <f>F8*Assumptions!B29/365</f>
        <v>55.2845194520548</v>
      </c>
      <c r="G50" s="27">
        <f>G8*Assumptions!B29/365</f>
        <v>63.577197369863</v>
      </c>
    </row>
    <row r="51" ht="15" customHeight="1">
      <c r="A51" t="s">
        <v>88</v>
      </c>
      <c r="B51" s="27">
        <v>20</v>
      </c>
      <c r="C51" s="27">
        <f t="shared" si="11" ref="C51:G51">B51*C7/B7</f>
        <v>24</v>
      </c>
      <c r="D51" s="27">
        <f t="shared" si="11"/>
        <v>28.32</v>
      </c>
      <c r="E51" s="27">
        <f t="shared" si="11"/>
        <v>33.1344</v>
      </c>
      <c r="F51" s="27">
        <f t="shared" si="11"/>
        <v>38.435904</v>
      </c>
      <c r="G51" s="27">
        <f t="shared" si="11"/>
        <v>44.2012896</v>
      </c>
    </row>
    <row r="52" ht="15" customHeight="1">
      <c r="A52" s="12" t="s">
        <v>89</v>
      </c>
      <c r="B52" s="12">
        <f t="shared" si="12" ref="B52:G52">SUM(B50:B51)</f>
        <v>48.7671232876712</v>
      </c>
      <c r="C52" s="12">
        <f t="shared" si="12"/>
        <v>58.5205479452055</v>
      </c>
      <c r="D52" s="12">
        <f t="shared" si="12"/>
        <v>69.0542465753425</v>
      </c>
      <c r="E52" s="12">
        <f t="shared" si="12"/>
        <v>80.7934684931507</v>
      </c>
      <c r="F52" s="12">
        <f t="shared" si="12"/>
        <v>93.7204234520548</v>
      </c>
      <c r="G52" s="12">
        <f t="shared" si="12"/>
        <v>107.778486969863</v>
      </c>
    </row>
    <row r="54" ht="15" customHeight="1">
      <c r="A54" s="17" t="s">
        <v>90</v>
      </c>
      <c r="B54" s="27">
        <f>Assumptions!B21/1000</f>
        <v>500</v>
      </c>
      <c r="C54" s="27">
        <f>MAX(0,B54-Assumptions!B23/1000)</f>
        <v>400</v>
      </c>
      <c r="D54" s="27">
        <f>MAX(0,C54-Assumptions!C23/1000)</f>
        <v>300</v>
      </c>
      <c r="E54" s="27">
        <f>MAX(0,D54-Assumptions!D23/1000)</f>
        <v>200</v>
      </c>
      <c r="F54" s="27">
        <f>MAX(0,E54-Assumptions!E23/1000)</f>
        <v>100</v>
      </c>
      <c r="G54" s="27">
        <f>MAX(0,F54-Assumptions!F23/1000)</f>
        <v>0</v>
      </c>
    </row>
    <row r="56" ht="15" customHeight="1">
      <c r="A56" s="12" t="s">
        <v>91</v>
      </c>
      <c r="B56" s="12">
        <f t="shared" si="13" ref="B56:G56">B52+B54</f>
        <v>548.767123287671</v>
      </c>
      <c r="C56" s="12">
        <f t="shared" si="13"/>
        <v>458.520547945206</v>
      </c>
      <c r="D56" s="12">
        <f t="shared" si="13"/>
        <v>369.054246575343</v>
      </c>
      <c r="E56" s="12">
        <f t="shared" si="13"/>
        <v>280.793468493151</v>
      </c>
      <c r="F56" s="12">
        <f t="shared" si="13"/>
        <v>193.720423452055</v>
      </c>
      <c r="G56" s="12">
        <f t="shared" si="13"/>
        <v>107.778486969863</v>
      </c>
    </row>
    <row r="58" ht="15" customHeight="1">
      <c r="A58" s="17" t="s">
        <v>92</v>
      </c>
    </row>
    <row r="59" ht="15" customHeight="1">
      <c r="A59" t="s">
        <v>93</v>
      </c>
      <c r="B59" s="27">
        <v>100</v>
      </c>
      <c r="C59" s="27">
        <f t="shared" si="14" ref="C59:G59">B59</f>
        <v>100</v>
      </c>
      <c r="D59" s="27">
        <f t="shared" si="14"/>
        <v>100</v>
      </c>
      <c r="E59" s="27">
        <f t="shared" si="14"/>
        <v>100</v>
      </c>
      <c r="F59" s="27">
        <f t="shared" si="14"/>
        <v>100</v>
      </c>
      <c r="G59" s="27">
        <f t="shared" si="14"/>
        <v>100</v>
      </c>
    </row>
    <row r="60" ht="15" customHeight="1">
      <c r="A60" t="s">
        <v>94</v>
      </c>
      <c r="B60" s="28">
        <f>B46-B56-B59</f>
        <v>-176.712328767123</v>
      </c>
      <c r="C60" s="28">
        <f t="shared" si="15" ref="C60:G60">B60+C26</f>
        <v>-140.372328767123</v>
      </c>
      <c r="D60" s="28">
        <f t="shared" si="15"/>
        <v>-75.434328767123</v>
      </c>
      <c r="E60" s="28">
        <f t="shared" si="15"/>
        <v>23.174419232877</v>
      </c>
      <c r="F60" s="28">
        <f t="shared" si="15"/>
        <v>161.085148992877</v>
      </c>
      <c r="G60" s="28">
        <f t="shared" si="15"/>
        <v>344.409997608877</v>
      </c>
    </row>
    <row r="61" ht="15" customHeight="1">
      <c r="A61" s="12" t="s">
        <v>95</v>
      </c>
      <c r="B61" s="12">
        <f t="shared" si="9"/>
        <v>-76.712328767123</v>
      </c>
      <c r="C61" s="12">
        <f t="shared" si="9"/>
        <v>-40.372328767123</v>
      </c>
      <c r="D61" s="12">
        <f t="shared" si="9"/>
        <v>24.565671232877</v>
      </c>
      <c r="E61" s="12">
        <f t="shared" si="9"/>
        <v>123.174419232877</v>
      </c>
      <c r="F61" s="12">
        <f t="shared" si="9"/>
        <v>261.085148992877</v>
      </c>
      <c r="G61" s="12">
        <f t="shared" si="9"/>
        <v>444.409997608877</v>
      </c>
    </row>
    <row r="63" ht="15" customHeight="1">
      <c r="A63" s="24" t="s">
        <v>96</v>
      </c>
      <c r="B63" s="24">
        <f t="shared" si="10"/>
        <v>472.054794520548</v>
      </c>
      <c r="C63" s="24">
        <f t="shared" si="10"/>
        <v>418.148219178083</v>
      </c>
      <c r="D63" s="24">
        <f t="shared" si="10"/>
        <v>393.61991780822</v>
      </c>
      <c r="E63" s="24">
        <f t="shared" si="10"/>
        <v>403.967887726028</v>
      </c>
      <c r="F63" s="24">
        <f t="shared" si="10"/>
        <v>454.805572444932</v>
      </c>
      <c r="G63" s="24">
        <f t="shared" si="10"/>
        <v>552.18848457874</v>
      </c>
    </row>
    <row r="65" ht="15" customHeight="1">
      <c r="A65" s="19" t="s">
        <v>97</v>
      </c>
      <c r="B65" s="19">
        <f t="shared" si="16" ref="B65:G65">B46-B63</f>
        <v>0</v>
      </c>
      <c r="C65" s="19">
        <f t="shared" si="16"/>
        <v>0</v>
      </c>
      <c r="D65" s="19">
        <f t="shared" si="16"/>
        <v>0</v>
      </c>
      <c r="E65" s="19">
        <f t="shared" si="16"/>
        <v>0</v>
      </c>
      <c r="F65" s="19">
        <f t="shared" si="16"/>
        <v>0</v>
      </c>
      <c r="G65" s="19">
        <f t="shared" si="16"/>
        <v>0</v>
      </c>
    </row>
    <row r="68" ht="15" customHeight="1">
      <c r="A68" s="2" t="s">
        <v>98</v>
      </c>
    </row>
    <row r="70" ht="15" customHeight="1">
      <c r="A70" s="16" t="s">
        <v>58</v>
      </c>
      <c r="B70" s="16" t="s">
        <v>73</v>
      </c>
      <c r="C70" s="16" t="s">
        <v>31</v>
      </c>
      <c r="D70" s="16" t="s">
        <v>32</v>
      </c>
      <c r="E70" s="16" t="s">
        <v>33</v>
      </c>
      <c r="F70" s="16" t="s">
        <v>34</v>
      </c>
      <c r="G70" s="16" t="s">
        <v>35</v>
      </c>
    </row>
    <row r="72" ht="15" customHeight="1">
      <c r="A72" s="21" t="s">
        <v>99</v>
      </c>
    </row>
    <row r="73" ht="15" customHeight="1">
      <c r="A73" t="s">
        <v>8</v>
      </c>
      <c r="B73" s="27">
        <f t="shared" si="17" ref="B73:G73">B26</f>
        <v>19.75</v>
      </c>
      <c r="C73" s="27">
        <f t="shared" si="17"/>
        <v>36.34</v>
      </c>
      <c r="D73" s="27">
        <f t="shared" si="17"/>
        <v>64.938</v>
      </c>
      <c r="E73" s="27">
        <f t="shared" si="17"/>
        <v>98.608748</v>
      </c>
      <c r="F73" s="27">
        <f t="shared" si="17"/>
        <v>137.91072976</v>
      </c>
      <c r="G73" s="27">
        <f t="shared" si="17"/>
        <v>183.324848616</v>
      </c>
    </row>
    <row r="74" ht="15" customHeight="1">
      <c r="A74" t="s">
        <v>100</v>
      </c>
      <c r="B74" s="27">
        <f>B7*Assumptions!B34</f>
        <v>30</v>
      </c>
      <c r="C74" s="27">
        <f>C7*Assumptions!B34</f>
        <v>36</v>
      </c>
      <c r="D74" s="27">
        <f>D7*Assumptions!B34</f>
        <v>42.48</v>
      </c>
      <c r="E74" s="27">
        <f>E7*Assumptions!B34</f>
        <v>49.7016</v>
      </c>
      <c r="F74" s="27">
        <f>F7*Assumptions!B34</f>
        <v>57.653856</v>
      </c>
      <c r="G74" s="27">
        <f>G7*Assumptions!B34</f>
        <v>66.3019344</v>
      </c>
    </row>
    <row r="76" ht="15" customHeight="1">
      <c r="A76" s="29" t="s">
        <v>101</v>
      </c>
    </row>
    <row r="77" ht="15" customHeight="1">
      <c r="A77" t="s">
        <v>102</v>
      </c>
      <c r="B77" t="s">
        <v>103</v>
      </c>
      <c r="C77" s="28">
        <f t="shared" si="18" ref="C77:G78">-(C37-B37)</f>
        <v>-24.657534246575</v>
      </c>
      <c r="D77" s="28">
        <f t="shared" si="18"/>
        <v>-26.630136986301</v>
      </c>
      <c r="E77" s="28">
        <f t="shared" si="18"/>
        <v>-29.677808219178</v>
      </c>
      <c r="F77" s="28">
        <f t="shared" si="18"/>
        <v>-32.68050410959</v>
      </c>
      <c r="G77" s="28">
        <f t="shared" si="18"/>
        <v>-35.540048219178</v>
      </c>
    </row>
    <row r="78" ht="15" customHeight="1">
      <c r="A78" t="s">
        <v>104</v>
      </c>
      <c r="B78" t="s">
        <v>103</v>
      </c>
      <c r="C78" s="28">
        <f t="shared" si="18"/>
        <v>-5.7534246575343</v>
      </c>
      <c r="D78" s="28">
        <f t="shared" si="18"/>
        <v>-6.213698630137</v>
      </c>
      <c r="E78" s="28">
        <f t="shared" si="18"/>
        <v>-6.9248219178082</v>
      </c>
      <c r="F78" s="28">
        <f t="shared" si="18"/>
        <v>-7.6254509589041</v>
      </c>
      <c r="G78" s="28">
        <f t="shared" si="18"/>
        <v>-8.2926779178082</v>
      </c>
    </row>
    <row r="79" ht="15" customHeight="1">
      <c r="A79" t="s">
        <v>105</v>
      </c>
      <c r="B79" t="s">
        <v>103</v>
      </c>
      <c r="C79" s="28">
        <f t="shared" si="19" ref="C79:G80">C50-B50</f>
        <v>5.7534246575343</v>
      </c>
      <c r="D79" s="28">
        <f t="shared" si="19"/>
        <v>6.213698630137</v>
      </c>
      <c r="E79" s="28">
        <f t="shared" si="19"/>
        <v>6.9248219178082</v>
      </c>
      <c r="F79" s="28">
        <f t="shared" si="19"/>
        <v>7.6254509589041</v>
      </c>
      <c r="G79" s="28">
        <f t="shared" si="19"/>
        <v>8.2926779178082</v>
      </c>
    </row>
    <row r="80" ht="15" customHeight="1">
      <c r="A80" t="s">
        <v>106</v>
      </c>
      <c r="B80" t="s">
        <v>103</v>
      </c>
      <c r="C80" s="28">
        <f t="shared" si="19"/>
        <v>4</v>
      </c>
      <c r="D80" s="28">
        <f t="shared" si="19"/>
        <v>4.32</v>
      </c>
      <c r="E80" s="28">
        <f t="shared" si="19"/>
        <v>4.8144</v>
      </c>
      <c r="F80" s="28">
        <f t="shared" si="19"/>
        <v>5.301504</v>
      </c>
      <c r="G80" s="28">
        <f t="shared" si="19"/>
        <v>5.7653856</v>
      </c>
    </row>
    <row r="82" ht="15" customHeight="1">
      <c r="A82" s="12" t="s">
        <v>107</v>
      </c>
      <c r="B82" s="12">
        <f>B73+B74</f>
        <v>49.75</v>
      </c>
      <c r="C82" s="12">
        <f t="shared" si="20" ref="C82:G82">C73+C74+C77+C78+C79+C80</f>
        <v>51.682465753425</v>
      </c>
      <c r="D82" s="12">
        <f t="shared" si="20"/>
        <v>85.107863013699</v>
      </c>
      <c r="E82" s="12">
        <f t="shared" si="20"/>
        <v>123.446939780822</v>
      </c>
      <c r="F82" s="12">
        <f t="shared" si="20"/>
        <v>168.18558565041</v>
      </c>
      <c r="G82" s="12">
        <f t="shared" si="20"/>
        <v>219.852120396822</v>
      </c>
    </row>
    <row r="84" ht="15" customHeight="1">
      <c r="A84" s="21" t="s">
        <v>108</v>
      </c>
    </row>
    <row r="85" ht="15" customHeight="1">
      <c r="A85" t="s">
        <v>109</v>
      </c>
      <c r="B85" t="s">
        <v>103</v>
      </c>
      <c r="C85" s="28">
        <f>-C7*Assumptions!B35</f>
        <v>-60</v>
      </c>
      <c r="D85" s="28">
        <f>-D7*Assumptions!B35</f>
        <v>-70.8</v>
      </c>
      <c r="E85" s="28">
        <f>-E7*Assumptions!B35</f>
        <v>-82.836</v>
      </c>
      <c r="F85" s="28">
        <f>-F7*Assumptions!B35</f>
        <v>-96.08976</v>
      </c>
      <c r="G85" s="28">
        <f>-G7*Assumptions!B35</f>
        <v>-110.503224</v>
      </c>
    </row>
    <row r="87" ht="15" customHeight="1">
      <c r="A87" s="12" t="s">
        <v>110</v>
      </c>
      <c r="B87" s="12" t="s">
        <v>103</v>
      </c>
      <c r="C87" s="12">
        <f t="shared" si="21" ref="C87:G92">C85</f>
        <v>-60</v>
      </c>
      <c r="D87" s="12">
        <f t="shared" si="21"/>
        <v>-70.8</v>
      </c>
      <c r="E87" s="12">
        <f t="shared" si="21"/>
        <v>-82.836</v>
      </c>
      <c r="F87" s="12">
        <f t="shared" si="21"/>
        <v>-96.08976</v>
      </c>
      <c r="G87" s="12">
        <f t="shared" si="21"/>
        <v>-110.503224</v>
      </c>
    </row>
    <row r="89" ht="15" customHeight="1">
      <c r="A89" s="21" t="s">
        <v>111</v>
      </c>
    </row>
    <row r="90" ht="15" customHeight="1">
      <c r="A90" t="s">
        <v>112</v>
      </c>
      <c r="B90" t="s">
        <v>103</v>
      </c>
      <c r="C90" s="28">
        <f>-Assumptions!B23/1000</f>
        <v>-100</v>
      </c>
      <c r="D90" s="28">
        <f>-Assumptions!C23/1000</f>
        <v>-100</v>
      </c>
      <c r="E90" s="28">
        <f>-Assumptions!D23/1000</f>
        <v>-100</v>
      </c>
      <c r="F90" s="28">
        <f>-Assumptions!E23/1000</f>
        <v>-100</v>
      </c>
      <c r="G90" s="28">
        <v>-100</v>
      </c>
    </row>
    <row r="92" ht="15" customHeight="1">
      <c r="A92" s="12" t="s">
        <v>113</v>
      </c>
      <c r="B92" s="12" t="s">
        <v>103</v>
      </c>
      <c r="C92" s="12">
        <f t="shared" si="21"/>
        <v>-100</v>
      </c>
      <c r="D92" s="12">
        <f t="shared" si="21"/>
        <v>-100</v>
      </c>
      <c r="E92" s="12">
        <f t="shared" si="21"/>
        <v>-100</v>
      </c>
      <c r="F92" s="12">
        <f t="shared" si="21"/>
        <v>-100</v>
      </c>
      <c r="G92" s="12">
        <f t="shared" si="21"/>
        <v>-100</v>
      </c>
    </row>
    <row r="94" ht="15" customHeight="1">
      <c r="A94" s="22" t="s">
        <v>114</v>
      </c>
      <c r="B94" s="22" t="s">
        <v>103</v>
      </c>
      <c r="C94" s="22">
        <f t="shared" si="22" ref="C94:G94">C82+C87+C92</f>
        <v>-108.317534246575</v>
      </c>
      <c r="D94" s="22">
        <f t="shared" si="22"/>
        <v>-85.692136986301</v>
      </c>
      <c r="E94" s="22">
        <f t="shared" si="22"/>
        <v>-59.389060219178</v>
      </c>
      <c r="F94" s="22">
        <f t="shared" si="22"/>
        <v>-27.90417434959</v>
      </c>
      <c r="G94" s="22">
        <f t="shared" si="22"/>
        <v>9.34889639682198</v>
      </c>
    </row>
    <row r="95" ht="15" customHeight="1">
      <c r="A95" t="s">
        <v>115</v>
      </c>
      <c r="B95" s="27">
        <f>B36</f>
        <v>200</v>
      </c>
      <c r="C95" s="27">
        <f t="shared" si="23" ref="C95:G95">B96</f>
        <v>200</v>
      </c>
      <c r="D95" s="27">
        <f t="shared" si="23"/>
        <v>91.682465753425</v>
      </c>
      <c r="E95" s="27">
        <f t="shared" si="23"/>
        <v>5.99032876712401</v>
      </c>
      <c r="F95" s="27">
        <f t="shared" si="23"/>
        <v>-53.398731452054</v>
      </c>
      <c r="G95" s="27">
        <f t="shared" si="23"/>
        <v>-81.302905801644</v>
      </c>
    </row>
    <row r="96" ht="15" customHeight="1">
      <c r="A96" s="30" t="s">
        <v>116</v>
      </c>
      <c r="B96" s="30">
        <f>B36</f>
        <v>200</v>
      </c>
      <c r="C96" s="30">
        <f t="shared" si="24" ref="C96:G96">C95+C94</f>
        <v>91.682465753425</v>
      </c>
      <c r="D96" s="30">
        <f t="shared" si="24"/>
        <v>5.99032876712401</v>
      </c>
      <c r="E96" s="30">
        <f t="shared" si="24"/>
        <v>-53.398731452054</v>
      </c>
      <c r="F96" s="30">
        <f t="shared" si="24"/>
        <v>-81.302905801644</v>
      </c>
      <c r="G96" s="30">
        <f t="shared" si="24"/>
        <v>-71.954009404822</v>
      </c>
    </row>
  </sheetData>
  <mergeCells>
    <mergeCell ref="A1:G1"/>
    <mergeCell ref="A3:G3"/>
    <mergeCell ref="A30:G30"/>
    <mergeCell ref="A68:G68"/>
  </mergeCells>
  <conditionalFormatting sqref="B26:G26">
    <cfRule type="colorScale" priority="4">
      <colorScale>
        <cfvo type="min"/>
        <cfvo type="percentile" val="50"/>
        <cfvo type="max"/>
        <color rgb="FFFF0000"/>
        <color rgb="FFFFFF00"/>
        <color rgb="FF00FF00"/>
      </colorScale>
    </cfRule>
  </conditionalFormatting>
  <conditionalFormatting sqref="B19:G19">
    <cfRule type="dataBar" priority="3">
      <dataBar>
        <cfvo type="min" val="0"/>
        <cfvo type="max" val="0"/>
        <color rgb="FF4472C4"/>
      </dataBar>
      <extLst>
        <ext xmlns:x14="http://schemas.microsoft.com/office/spreadsheetml/2009/9/main" uri="{B025F937-C7B1-47D3-B67F-A62EFF666E3E}">
          <x14:id>{4819918f-196a-44e5-ac34-318fcbf732a7}</x14:id>
        </ext>
      </extLst>
    </cfRule>
  </conditionalFormatting>
  <conditionalFormatting sqref="B27:G27">
    <cfRule type="dataBar" priority="2">
      <dataBar>
        <cfvo type="min" val="0"/>
        <cfvo type="max" val="0"/>
        <color rgb="FF70AD47"/>
      </dataBar>
      <extLst>
        <ext xmlns:x14="http://schemas.microsoft.com/office/spreadsheetml/2009/9/main" uri="{B025F937-C7B1-47D3-B67F-A62EFF666E3E}">
          <x14:id>{476ea903-a0f4-4f3b-a2ab-9f022ef1689f}</x14:id>
        </ext>
      </extLst>
    </cfRule>
  </conditionalFormatting>
  <conditionalFormatting sqref="C94:G94">
    <cfRule type="colorScale" priority="1">
      <colorScale>
        <cfvo type="min"/>
        <cfvo type="percentile" val="50"/>
        <cfvo type="max"/>
        <color rgb="FFFF0000"/>
        <color rgb="FFFFFF00"/>
        <color rgb="FF00FF00"/>
      </colorScale>
    </cfRule>
  </conditionalFormatting>
  <printOptions/>
  <pageMargins left="0.7" right="0.7" top="0.75" bottom="0.75" header="0.3" footer="0.3"/>
  <pageSetup paperSize="1" orientation="portrait"/>
  <headerFooter>
    <oddHeader>&amp;L&amp;C&amp;R</oddHeader>
    <oddFooter>&amp;L&amp;C&amp;R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819918f-196a-44e5-ac34-318fcbf732a7}">
            <x14:dataBar minLength="0" maxLength="100" direction="leftToRight">
              <x14:color rgb="FF4472C4"/>
              <x14:cfvo type="min">
                <xm:f>0</xm:f>
              </x14:cfvo>
              <x14:cfvo type="max">
                <xm:f>0</xm:f>
              </x14:cfvo>
              <x14:negativeFillColor rgb="FFFF0000"/>
              <x14:negativeBorderColor rgb="FF000000"/>
              <x14:axisColor rgb="FF000000"/>
            </x14:dataBar>
          </x14:cfRule>
          <xm:sqref>B19:G19</xm:sqref>
        </x14:conditionalFormatting>
        <x14:conditionalFormatting xmlns:xm="http://schemas.microsoft.com/office/excel/2006/main">
          <x14:cfRule type="dataBar" id="{476ea903-a0f4-4f3b-a2ab-9f022ef1689f}">
            <x14:dataBar minLength="0" maxLength="100" direction="leftToRight">
              <x14:color rgb="FF70AD47"/>
              <x14:cfvo type="min">
                <xm:f>0</xm:f>
              </x14:cfvo>
              <x14:cfvo type="max">
                <xm:f>0</xm:f>
              </x14:cfvo>
              <x14:negativeFillColor rgb="FFFF0000"/>
              <x14:negativeBorderColor rgb="FF000000"/>
              <x14:axisColor rgb="FF000000"/>
            </x14:dataBar>
          </x14:cfRule>
          <xm:sqref>B27:G27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CE0546F-AE84-B008-7A18-CFA970A41E08}" mc:Ignorable="x14ac xr xr2 xr3">
  <dimension ref="A1:GR50000"/>
  <sheetViews>
    <sheetView topLeftCell="C1" workbookViewId="0">
      <selection activeCell="A1" sqref="A1:G1"/>
    </sheetView>
  </sheetViews>
  <sheetFormatPr defaultRowHeight="15" defaultColWidth="8.8515625" customHeight="1"/>
  <cols>
    <col min="1" max="1" width="28.57421875" customWidth="1"/>
    <col min="2" max="7" width="14.28125" customWidth="1"/>
  </cols>
  <sheetData>
    <row r="1" ht="15" customHeight="1">
      <c r="A1" s="15" t="s">
        <v>117</v>
      </c>
    </row>
    <row r="3" ht="15" customHeight="1">
      <c r="B3" s="16" t="s">
        <v>73</v>
      </c>
      <c r="C3" s="16" t="s">
        <v>31</v>
      </c>
      <c r="D3" s="16" t="s">
        <v>32</v>
      </c>
      <c r="E3" s="16" t="s">
        <v>33</v>
      </c>
      <c r="F3" s="16" t="s">
        <v>34</v>
      </c>
      <c r="G3" s="16" t="s">
        <v>35</v>
      </c>
    </row>
    <row r="5" ht="15" customHeight="1">
      <c r="A5" s="10" t="s">
        <v>118</v>
      </c>
    </row>
    <row r="7" ht="15" customHeight="1">
      <c r="A7" t="s">
        <v>119</v>
      </c>
      <c r="B7" s="8">
        <f>'3-Statement Model'!B10</f>
        <v>0.65</v>
      </c>
      <c r="C7" s="8">
        <f>'3-Statement Model'!C10</f>
        <v>0.65</v>
      </c>
      <c r="D7" s="8">
        <f>'3-Statement Model'!D10</f>
        <v>0.65</v>
      </c>
      <c r="E7" s="8">
        <f>'3-Statement Model'!E10</f>
        <v>0.65</v>
      </c>
      <c r="F7" s="8">
        <f>'3-Statement Model'!F10</f>
        <v>0.65</v>
      </c>
      <c r="G7" s="8">
        <f>'3-Statement Model'!G10</f>
        <v>0.65</v>
      </c>
    </row>
    <row r="8" ht="15" customHeight="1">
      <c r="A8" t="s">
        <v>120</v>
      </c>
      <c r="B8" s="8">
        <f>'3-Statement Model'!B19</f>
        <v>0.065</v>
      </c>
      <c r="C8" s="8">
        <f>'3-Statement Model'!C19</f>
        <v>0.065</v>
      </c>
      <c r="D8" s="8">
        <f>'3-Statement Model'!D19</f>
        <v>0.075</v>
      </c>
      <c r="E8" s="8">
        <f>'3-Statement Model'!E19</f>
        <v>0.085</v>
      </c>
      <c r="F8" s="8">
        <f>'3-Statement Model'!F19</f>
        <v>0.095</v>
      </c>
      <c r="G8" s="8">
        <f>'3-Statement Model'!G19</f>
        <v>0.105</v>
      </c>
    </row>
    <row r="9" ht="15" customHeight="1">
      <c r="A9" t="s">
        <v>121</v>
      </c>
      <c r="B9" s="8">
        <f>'3-Statement Model'!B27</f>
        <v>0.01975</v>
      </c>
      <c r="C9" s="8">
        <f>'3-Statement Model'!C27</f>
        <v>0.0302833333333333</v>
      </c>
      <c r="D9" s="8">
        <f>'3-Statement Model'!D27</f>
        <v>0.0458601694915254</v>
      </c>
      <c r="E9" s="8">
        <f>'3-Statement Model'!E27</f>
        <v>0.0595204669467381</v>
      </c>
      <c r="F9" s="8">
        <f>'3-Statement Model'!F27</f>
        <v>0.0717614081666975</v>
      </c>
      <c r="G9" s="8">
        <f>'3-Statement Model'!G27</f>
        <v>0.08295</v>
      </c>
    </row>
    <row r="10" ht="15" customHeight="1">
      <c r="A10" t="s">
        <v>122</v>
      </c>
      <c r="B10" s="8">
        <f>'3-Statement Model'!B26/'3-Statement Model'!B61</f>
        <v>-0.257455357142858</v>
      </c>
      <c r="C10" s="8">
        <f>'3-Statement Model'!C26/'3-Statement Model'!C61</f>
        <v>-0.900121472051255</v>
      </c>
      <c r="D10" s="8">
        <f>'3-Statement Model'!D26/'3-Statement Model'!D61</f>
        <v>2.64344496775205</v>
      </c>
      <c r="E10" s="8">
        <f>'3-Statement Model'!E26/'3-Statement Model'!E61</f>
        <v>0.800561907367857</v>
      </c>
      <c r="F10" s="8">
        <f>'3-Statement Model'!F26/'3-Statement Model'!F61</f>
        <v>0.528221272990761</v>
      </c>
      <c r="G10" s="8">
        <f>'3-Statement Model'!G26/'3-Statement Model'!G61</f>
        <v>0.412512881353635</v>
      </c>
    </row>
    <row r="11" ht="15" customHeight="1">
      <c r="A11" t="s">
        <v>123</v>
      </c>
      <c r="B11" s="8">
        <f>'3-Statement Model'!B26/'3-Statement Model'!B46</f>
        <v>0.0418383633197911</v>
      </c>
      <c r="C11" s="8">
        <f>'3-Statement Model'!C26/'3-Statement Model'!C46</f>
        <v>0.0869069825800773</v>
      </c>
      <c r="D11" s="8">
        <f>'3-Statement Model'!D26/'3-Statement Model'!D46</f>
        <v>0.164976407600489</v>
      </c>
      <c r="E11" s="8">
        <f>'3-Statement Model'!E26/'3-Statement Model'!E46</f>
        <v>0.244100461932946</v>
      </c>
      <c r="F11" s="8">
        <f>'3-Statement Model'!F26/'3-Statement Model'!F46</f>
        <v>0.30323007921522</v>
      </c>
      <c r="G11" s="8">
        <f>'3-Statement Model'!G26/'3-Statement Model'!G46</f>
        <v>0.331996870155409</v>
      </c>
    </row>
    <row r="13" ht="15" customHeight="1">
      <c r="A13" s="10" t="s">
        <v>124</v>
      </c>
    </row>
    <row r="15" ht="15" customHeight="1">
      <c r="A15" t="s">
        <v>125</v>
      </c>
      <c r="B15" s="6">
        <f>'3-Statement Model'!B39/'3-Statement Model'!B52</f>
        <v>7.21910112359551</v>
      </c>
      <c r="C15" s="6">
        <f>'3-Statement Model'!C39/'3-Statement Model'!C52</f>
        <v>4.68464887640451</v>
      </c>
      <c r="D15" s="6">
        <f>'3-Statement Model'!D39/'3-Statement Model'!D52</f>
        <v>3.20472568717071</v>
      </c>
      <c r="E15" s="6">
        <f>'3-Statement Model'!E39/'3-Statement Model'!E52</f>
        <v>2.45704871233319</v>
      </c>
      <c r="F15" s="6">
        <f>'3-Statement Model'!F39/'3-Statement Model'!F52</f>
        <v>2.25047284973943</v>
      </c>
      <c r="G15" s="6">
        <f>'3-Statement Model'!G39/'3-Statement Model'!G52</f>
        <v>2.45036740080223</v>
      </c>
    </row>
    <row r="16" ht="15" customHeight="1">
      <c r="A16" t="s">
        <v>126</v>
      </c>
      <c r="B16" s="6">
        <f>('3-Statement Model'!B36+'3-Statement Model'!B37)/'3-Statement Model'!B52</f>
        <v>6.62921348314608</v>
      </c>
      <c r="C16" s="6">
        <f>('3-Statement Model'!C36+'3-Statement Model'!C37)/'3-Statement Model'!C52</f>
        <v>4.09476123595506</v>
      </c>
      <c r="D16" s="6">
        <f>('3-Statement Model'!D36+'3-Statement Model'!D37)/'3-Statement Model'!D52</f>
        <v>2.61483804672126</v>
      </c>
      <c r="E16" s="6">
        <f>('3-Statement Model'!E36+'3-Statement Model'!E37)/'3-Statement Model'!E52</f>
        <v>1.86716107188375</v>
      </c>
      <c r="F16" s="6">
        <f>('3-Statement Model'!F36+'3-Statement Model'!F37)/'3-Statement Model'!F52</f>
        <v>1.66058520928999</v>
      </c>
      <c r="G16" s="6">
        <f>('3-Statement Model'!G36+'3-Statement Model'!G37)/'3-Statement Model'!G52</f>
        <v>1.86047976035279</v>
      </c>
    </row>
    <row r="17" ht="15" customHeight="1">
      <c r="A17" t="s">
        <v>127</v>
      </c>
      <c r="B17" s="6">
        <f>'3-Statement Model'!B36/'3-Statement Model'!B52</f>
        <v>4.10112359550562</v>
      </c>
      <c r="C17" s="6">
        <f>'3-Statement Model'!C36/'3-Statement Model'!C52</f>
        <v>1.56667134831461</v>
      </c>
      <c r="D17" s="6">
        <f>'3-Statement Model'!D36/'3-Statement Model'!D52</f>
        <v>0.0867481590808204</v>
      </c>
      <c r="E17" s="6">
        <f>'3-Statement Model'!E36/'3-Statement Model'!E52</f>
        <v>-0.660928815756696</v>
      </c>
      <c r="F17" s="6">
        <f>'3-Statement Model'!F36/'3-Statement Model'!F52</f>
        <v>-0.867504678350463</v>
      </c>
      <c r="G17" s="6">
        <f>'3-Statement Model'!G36/'3-Statement Model'!G52</f>
        <v>-0.667610127287663</v>
      </c>
    </row>
    <row r="19" ht="15" customHeight="1">
      <c r="A19" s="10" t="s">
        <v>128</v>
      </c>
    </row>
    <row r="21" ht="15" customHeight="1">
      <c r="A21" t="s">
        <v>129</v>
      </c>
      <c r="B21" s="6">
        <f>'3-Statement Model'!B54/'3-Statement Model'!B61</f>
        <v>-6.51785714285717</v>
      </c>
      <c r="C21" s="6">
        <f>'3-Statement Model'!C54/'3-Statement Model'!C61</f>
        <v>-9.90777624712444</v>
      </c>
      <c r="D21" s="6">
        <f>'3-Statement Model'!D54/'3-Statement Model'!D61</f>
        <v>12.2121637612125</v>
      </c>
      <c r="E21" s="6">
        <f>'3-Statement Model'!E54/'3-Statement Model'!E61</f>
        <v>1.62371376496506</v>
      </c>
      <c r="F21" s="6">
        <f>'3-Statement Model'!F54/'3-Statement Model'!F61</f>
        <v>0.383016806531298</v>
      </c>
      <c r="G21" s="6">
        <f>'3-Statement Model'!G54/'3-Statement Model'!G61</f>
        <v>0</v>
      </c>
    </row>
    <row r="22" ht="15" customHeight="1">
      <c r="A22" t="s">
        <v>130</v>
      </c>
      <c r="B22" s="6">
        <f>'3-Statement Model'!B54/'3-Statement Model'!B46</f>
        <v>1.05919907138712</v>
      </c>
      <c r="C22" s="6">
        <f>'3-Statement Model'!C54/'3-Statement Model'!C46</f>
        <v>0.956598597469205</v>
      </c>
      <c r="D22" s="6">
        <f>'3-Statement Model'!D54/'3-Statement Model'!D46</f>
        <v>0.762156553638036</v>
      </c>
      <c r="E22" s="6">
        <f>'3-Statement Model'!E54/'3-Statement Model'!E46</f>
        <v>0.495088857497605</v>
      </c>
      <c r="F22" s="6">
        <f>'3-Statement Model'!F54/'3-Statement Model'!F46</f>
        <v>0.219874174941223</v>
      </c>
      <c r="G22" s="6">
        <f>'3-Statement Model'!G54/'3-Statement Model'!G46</f>
        <v>0</v>
      </c>
    </row>
    <row r="23" ht="15" customHeight="1">
      <c r="A23" t="s">
        <v>131</v>
      </c>
      <c r="B23" s="31">
        <f>'3-Statement Model'!B18/'3-Statement Model'!B21</f>
        <v>1.625</v>
      </c>
      <c r="C23" s="31">
        <f>'3-Statement Model'!C18/'3-Statement Model'!C21</f>
        <v>2.4375</v>
      </c>
      <c r="D23" s="31">
        <f>'3-Statement Model'!D18/'3-Statement Model'!D21</f>
        <v>4.425</v>
      </c>
      <c r="E23" s="31">
        <f>'3-Statement Model'!E18/'3-Statement Model'!E21</f>
        <v>8.801325</v>
      </c>
      <c r="F23" s="31">
        <f>'3-Statement Model'!F18/'3-Statement Model'!F21</f>
        <v>22.821318</v>
      </c>
      <c r="G23" t="str">
        <f>IF('3-Statement Model'!G21&gt;0,'3-Statement Model'!G18/'3-Statement Model'!G21,"N/A")</f>
        <v>N/A</v>
      </c>
    </row>
    <row r="25" ht="15" customHeight="1">
      <c r="A25" s="10" t="s">
        <v>133</v>
      </c>
    </row>
    <row r="27" ht="15" customHeight="1">
      <c r="A27" t="s">
        <v>134</v>
      </c>
      <c r="B27" s="6">
        <f>'3-Statement Model'!B7/'3-Statement Model'!B46</f>
        <v>2.11839814277423</v>
      </c>
      <c r="C27" s="6">
        <f>'3-Statement Model'!C7/'3-Statement Model'!C46</f>
        <v>2.86979579240762</v>
      </c>
      <c r="D27" s="6">
        <f>'3-Statement Model'!D7/'3-Statement Model'!D46</f>
        <v>3.59737893317153</v>
      </c>
      <c r="E27" s="6">
        <f>'3-Statement Model'!E7/'3-Statement Model'!E46</f>
        <v>4.10111805996716</v>
      </c>
      <c r="F27" s="6">
        <f>'3-Statement Model'!F7/'3-Statement Model'!F46</f>
        <v>4.22553134006002</v>
      </c>
      <c r="G27" s="6">
        <f>'3-Statement Model'!G7/'3-Statement Model'!G46</f>
        <v>4.00237335931777</v>
      </c>
    </row>
    <row r="28" ht="15" customHeight="1">
      <c r="A28" t="s">
        <v>135</v>
      </c>
      <c r="B28" s="31">
        <f>'3-Statement Model'!B7/'3-Statement Model'!B37</f>
        <v>8.11111111111109</v>
      </c>
      <c r="C28" s="31">
        <f>'3-Statement Model'!C7/'3-Statement Model'!C37</f>
        <v>8.11111111111111</v>
      </c>
      <c r="D28" s="31">
        <f>'3-Statement Model'!D7/'3-Statement Model'!D37</f>
        <v>8.11111111111113</v>
      </c>
      <c r="E28" s="31">
        <f>'3-Statement Model'!E7/'3-Statement Model'!E37</f>
        <v>8.11111111111113</v>
      </c>
      <c r="F28" s="31">
        <f>'3-Statement Model'!F7/'3-Statement Model'!F37</f>
        <v>8.11111111111109</v>
      </c>
      <c r="G28" s="31">
        <f>'3-Statement Model'!G7/'3-Statement Model'!G37</f>
        <v>8.1111111111111</v>
      </c>
    </row>
    <row r="29" ht="15" customHeight="1">
      <c r="A29" t="s">
        <v>136</v>
      </c>
      <c r="B29" s="31">
        <f>'3-Statement Model'!B8/'3-Statement Model'!B38</f>
        <v>12.1666666666667</v>
      </c>
      <c r="C29" s="31">
        <f>'3-Statement Model'!C8/'3-Statement Model'!C38</f>
        <v>12.1666666666667</v>
      </c>
      <c r="D29" s="31">
        <f>'3-Statement Model'!D8/'3-Statement Model'!D38</f>
        <v>12.1666666666667</v>
      </c>
      <c r="E29" s="31">
        <f>'3-Statement Model'!E8/'3-Statement Model'!E38</f>
        <v>12.1666666666667</v>
      </c>
      <c r="F29" s="31">
        <f>'3-Statement Model'!F8/'3-Statement Model'!F38</f>
        <v>12.1666666666667</v>
      </c>
      <c r="G29" s="31">
        <f>'3-Statement Model'!G8/'3-Statement Model'!G38</f>
        <v>12.1666666666667</v>
      </c>
    </row>
    <row r="31" ht="15" customHeight="1">
      <c r="A31" s="10" t="s">
        <v>137</v>
      </c>
    </row>
    <row r="33" ht="15" customHeight="1">
      <c r="A33" t="s">
        <v>138</v>
      </c>
      <c r="B33" t="s">
        <v>103</v>
      </c>
      <c r="C33" s="8">
        <f>('3-Statement Model'!C7-'3-Statement Model'!B7)/'3-Statement Model'!B7</f>
        <v>0.2</v>
      </c>
      <c r="D33" s="8">
        <f>('3-Statement Model'!D7-'3-Statement Model'!C7)/'3-Statement Model'!C7</f>
        <v>0.18</v>
      </c>
      <c r="E33" s="8">
        <f>('3-Statement Model'!E7-'3-Statement Model'!D7)/'3-Statement Model'!D7</f>
        <v>0.17</v>
      </c>
      <c r="F33" s="8">
        <f>('3-Statement Model'!F7-'3-Statement Model'!E7)/'3-Statement Model'!E7</f>
        <v>0.16</v>
      </c>
      <c r="G33" s="8">
        <f>('3-Statement Model'!G7-'3-Statement Model'!F7)/'3-Statement Model'!F7</f>
        <v>0.15</v>
      </c>
    </row>
    <row r="34" ht="15" customHeight="1">
      <c r="A34" t="s">
        <v>139</v>
      </c>
      <c r="B34" t="s">
        <v>103</v>
      </c>
      <c r="C34" s="8">
        <f>('3-Statement Model'!C26-'3-Statement Model'!B26)/'3-Statement Model'!B26</f>
        <v>0.84</v>
      </c>
      <c r="D34" s="8">
        <f>('3-Statement Model'!D26-'3-Statement Model'!C26)/'3-Statement Model'!C26</f>
        <v>0.78695652173913</v>
      </c>
      <c r="E34" s="8">
        <f>('3-Statement Model'!E26-'3-Statement Model'!D26)/'3-Statement Model'!D26</f>
        <v>0.518506082725061</v>
      </c>
      <c r="F34" s="8">
        <f>('3-Statement Model'!F26-'3-Statement Model'!E26)/'3-Statement Model'!E26</f>
        <v>0.398564859174563</v>
      </c>
      <c r="G34" s="8">
        <f>('3-Statement Model'!G26-'3-Statement Model'!F26)/'3-Statement Model'!F26</f>
        <v>0.329300837832068</v>
      </c>
    </row>
    <row r="36" ht="15" customHeight="1">
      <c r="A36" s="13" t="s">
        <v>7</v>
      </c>
      <c r="B36" s="13">
        <f>(('3-Statement Model'!G7/'3-Statement Model'!B7)^(1/5)-1)</f>
        <v>0.171874189224835</v>
      </c>
      <c r="C36" s="13"/>
      <c r="D36" s="13"/>
      <c r="E36" s="13"/>
      <c r="F36" s="13"/>
      <c r="G36" s="13"/>
    </row>
    <row r="54" ht="15" customHeight="1"/>
    <row r="90" ht="15" customHeight="1">
      <c r="G90">
        <v>-100</v>
      </c>
    </row>
  </sheetData>
  <mergeCells>
    <mergeCell ref="A1:G1"/>
    <mergeCell ref="A5:G5"/>
    <mergeCell ref="A13:G13"/>
    <mergeCell ref="A19:G19"/>
    <mergeCell ref="A25:G25"/>
    <mergeCell ref="A31:G31"/>
    <mergeCell ref="B36:G36"/>
  </mergeCells>
  <conditionalFormatting sqref="B9:G9">
    <cfRule type="dataBar" priority="2">
      <dataBar>
        <cfvo type="min" val="0"/>
        <cfvo type="max" val="0"/>
        <color rgb="FF70AD47"/>
      </dataBar>
      <extLst>
        <ext xmlns:x14="http://schemas.microsoft.com/office/spreadsheetml/2009/9/main" uri="{B025F937-C7B1-47D3-B67F-A62EFF666E3E}">
          <x14:id>{d499ed8e-5df3-427e-a660-bb87094a4bd9}</x14:id>
        </ext>
      </extLst>
    </cfRule>
  </conditionalFormatting>
  <conditionalFormatting sqref="B15:G15">
    <cfRule type="iconSet" priority="1">
      <iconSet iconSet="3TrafficLights1">
        <cfvo type="percent" val="0"/>
        <cfvo type="percent" val="33"/>
        <cfvo type="percent" val="67"/>
      </iconSet>
    </cfRule>
  </conditionalFormatting>
  <printOptions/>
  <pageMargins left="0.7" right="0.7" top="0.75" bottom="0.75" header="0.3" footer="0.3"/>
  <pageSetup paperSize="1" orientation="portrait"/>
  <headerFooter>
    <oddHeader>&amp;L&amp;C&amp;R</oddHeader>
    <oddFooter>&amp;L&amp;C&amp;R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99ed8e-5df3-427e-a660-bb87094a4bd9}">
            <x14:dataBar minLength="0" maxLength="100" direction="leftToRight">
              <x14:color rgb="FF70AD47"/>
              <x14:cfvo type="min">
                <xm:f>0</xm:f>
              </x14:cfvo>
              <x14:cfvo type="max">
                <xm:f>0</xm:f>
              </x14:cfvo>
              <x14:negativeFillColor rgb="FFFF0000"/>
              <x14:negativeBorderColor rgb="FF000000"/>
              <x14:axisColor rgb="FF000000"/>
            </x14:dataBar>
          </x14:cfRule>
          <xm:sqref>B9:G9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214B1F8-1E88-36E8-5DCE-61937C29767D}" mc:Ignorable="x14ac xr xr2 xr3">
  <dimension ref="A1:GR50000"/>
  <sheetViews>
    <sheetView topLeftCell="A1" workbookViewId="0">
      <selection activeCell="A1" sqref="A1"/>
    </sheetView>
  </sheetViews>
  <sheetFormatPr defaultRowHeight="15" defaultColWidth="8.8515625" customHeight="1"/>
  <sheetData/>
  <printOptions/>
  <pageMargins left="0.7" right="0.7" top="0.75" bottom="0.75" header="0.3" footer="0.3"/>
  <pageSetup paperSize="1" orientation="portrait"/>
  <headerFooter>
    <oddHeader>&amp;L&amp;C&amp;R</oddHeader>
    <oddFooter>&amp;L&amp;C&amp;R</oddFooter>
  </headerFooter>
  <extLst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2ED6898-874A-EDB6-6513-F9429AB10298}" mc:Ignorable="x14ac xr xr2 xr3">
  <dimension ref="A1:GR50000"/>
  <sheetViews>
    <sheetView topLeftCell="B21" workbookViewId="0" tabSelected="1">
      <selection activeCell="K31" sqref="K31"/>
    </sheetView>
  </sheetViews>
  <sheetFormatPr defaultRowHeight="15" defaultColWidth="8.8515625" customHeight="1"/>
  <cols>
    <col min="1" max="1" width="28.57421875" customWidth="1"/>
    <col min="2" max="2" width="14.28125" customWidth="1"/>
    <col min="3" max="6" width="17.140625" customWidth="1"/>
    <col min="7" max="7" width="20.00390625" customWidth="1"/>
    <col min="8" max="8" width="17.140625" customWidth="1"/>
    <col min="9" max="10" width="7.140625" customWidth="1"/>
  </cols>
  <sheetData>
    <row r="1" ht="15" customHeight="1">
      <c r="A1" s="15" t="s">
        <v>140</v>
      </c>
    </row>
    <row r="3" ht="15" customHeight="1">
      <c r="A3" s="32" t="s">
        <v>141</v>
      </c>
      <c r="I3" s="26" t="s">
        <v>142</v>
      </c>
    </row>
    <row r="4" ht="15" customHeight="1">
      <c r="A4" s="32" t="s">
        <v>143</v>
      </c>
    </row>
    <row r="5" ht="15" customHeight="1">
      <c r="A5" s="32" t="s">
        <v>144</v>
      </c>
      <c r="I5" s="33" t="s">
        <v>145</v>
      </c>
    </row>
    <row r="6" ht="15" customHeight="1">
      <c r="I6" s="33" t="s">
        <v>146</v>
      </c>
    </row>
    <row r="7" ht="15" customHeight="1">
      <c r="A7" s="2" t="s">
        <v>147</v>
      </c>
      <c r="I7" s="33" t="s">
        <v>148</v>
      </c>
    </row>
    <row r="8" ht="15" customHeight="1">
      <c r="I8" s="33" t="s">
        <v>149</v>
      </c>
    </row>
    <row r="9" ht="15" customHeight="1">
      <c r="A9" s="3" t="s">
        <v>150</v>
      </c>
      <c r="B9" s="3" t="s">
        <v>151</v>
      </c>
      <c r="C9" s="3" t="s">
        <v>152</v>
      </c>
      <c r="D9" s="3" t="s">
        <v>153</v>
      </c>
      <c r="E9" s="3" t="s">
        <v>154</v>
      </c>
      <c r="F9" s="3" t="s">
        <v>155</v>
      </c>
      <c r="G9" s="3" t="s">
        <v>156</v>
      </c>
      <c r="I9" s="33" t="s">
        <v>157</v>
      </c>
    </row>
    <row r="10" ht="15" customHeight="1">
      <c r="A10" s="3" t="s">
        <v>158</v>
      </c>
      <c r="B10" s="3" t="s">
        <v>159</v>
      </c>
      <c r="C10" s="3">
        <v>2500000</v>
      </c>
      <c r="D10" s="3">
        <v>0</v>
      </c>
      <c r="E10" s="3">
        <f t="shared" si="0" ref="E10:E32">C10+D10</f>
        <v>2500000</v>
      </c>
      <c r="F10" s="3">
        <f t="shared" si="1" ref="F10:F19">E10/SUM($E$10:$E$20)</f>
        <v>0.238095238095238</v>
      </c>
      <c r="G10" s="3">
        <f>E10/E30</f>
        <v>0.217391304347826</v>
      </c>
    </row>
    <row r="11" ht="15" customHeight="1">
      <c r="A11" s="3" t="s">
        <v>160</v>
      </c>
      <c r="B11" s="3" t="s">
        <v>159</v>
      </c>
      <c r="C11" s="3">
        <v>2500000</v>
      </c>
      <c r="D11" s="3">
        <v>0</v>
      </c>
      <c r="E11" s="3">
        <f t="shared" si="0"/>
        <v>2500000</v>
      </c>
      <c r="F11" s="3">
        <f t="shared" si="1"/>
        <v>0.238095238095238</v>
      </c>
      <c r="G11" s="3">
        <f>E11/E30</f>
        <v>0.217391304347826</v>
      </c>
      <c r="I11" s="26" t="s">
        <v>161</v>
      </c>
    </row>
    <row r="12" ht="15" customHeight="1">
      <c r="A12" s="3" t="s">
        <v>162</v>
      </c>
      <c r="B12" s="3" t="s">
        <v>163</v>
      </c>
      <c r="C12" s="3">
        <v>500000</v>
      </c>
      <c r="D12" s="3">
        <v>0</v>
      </c>
      <c r="E12" s="3">
        <f t="shared" si="0"/>
        <v>500000</v>
      </c>
      <c r="F12" s="3">
        <f t="shared" si="1"/>
        <v>0.0476190476190476</v>
      </c>
      <c r="G12" s="3">
        <f>E12/E30</f>
        <v>0.0434782608695652</v>
      </c>
    </row>
    <row r="13" ht="15" customHeight="1">
      <c r="A13" s="3"/>
      <c r="B13" s="3"/>
      <c r="C13" s="3"/>
      <c r="D13" s="3"/>
      <c r="E13" s="3"/>
      <c r="F13" s="3"/>
      <c r="G13" s="3"/>
      <c r="I13" s="34" t="s">
        <v>164</v>
      </c>
    </row>
    <row r="14" ht="15" customHeight="1">
      <c r="A14" s="3" t="s">
        <v>165</v>
      </c>
      <c r="B14" s="3" t="s">
        <v>166</v>
      </c>
      <c r="C14" s="3">
        <v>0</v>
      </c>
      <c r="D14" s="3">
        <v>300000</v>
      </c>
      <c r="E14" s="3">
        <f t="shared" si="0"/>
        <v>300000</v>
      </c>
      <c r="F14" s="3">
        <f t="shared" si="1"/>
        <v>0.0285714285714286</v>
      </c>
      <c r="G14" s="3">
        <f>E14/E30</f>
        <v>0.0260869565217391</v>
      </c>
      <c r="I14" s="34" t="s">
        <v>167</v>
      </c>
    </row>
    <row r="15" ht="15" customHeight="1">
      <c r="A15" s="3" t="s">
        <v>168</v>
      </c>
      <c r="B15" s="3" t="s">
        <v>166</v>
      </c>
      <c r="C15" s="3">
        <v>0</v>
      </c>
      <c r="D15" s="3">
        <v>200000</v>
      </c>
      <c r="E15" s="3">
        <f t="shared" si="0"/>
        <v>200000</v>
      </c>
      <c r="F15" s="3">
        <f t="shared" si="1"/>
        <v>0.019047619047619</v>
      </c>
      <c r="G15" s="3">
        <f>E15/E30</f>
        <v>0.0173913043478261</v>
      </c>
      <c r="I15" s="34" t="s">
        <v>169</v>
      </c>
    </row>
    <row r="16" ht="15" customHeight="1">
      <c r="A16" s="3"/>
      <c r="B16" s="3"/>
      <c r="C16" s="3"/>
      <c r="D16" s="3"/>
      <c r="E16" s="3"/>
      <c r="F16" s="3"/>
      <c r="G16" s="3"/>
      <c r="I16" s="34" t="s">
        <v>170</v>
      </c>
    </row>
    <row r="17" ht="15" customHeight="1">
      <c r="A17" s="3" t="s">
        <v>171</v>
      </c>
      <c r="B17" s="3" t="s">
        <v>172</v>
      </c>
      <c r="C17" s="3">
        <v>0</v>
      </c>
      <c r="D17" s="3">
        <v>2000000</v>
      </c>
      <c r="E17" s="3">
        <f t="shared" si="0"/>
        <v>2000000</v>
      </c>
      <c r="F17" s="3">
        <f t="shared" si="1"/>
        <v>0.19047619047619</v>
      </c>
      <c r="G17" s="3">
        <f>E17/E30</f>
        <v>0.173913043478261</v>
      </c>
      <c r="I17" s="34" t="s">
        <v>173</v>
      </c>
    </row>
    <row r="18" ht="15" customHeight="1">
      <c r="A18" s="3" t="s">
        <v>174</v>
      </c>
      <c r="B18" s="3" t="s">
        <v>172</v>
      </c>
      <c r="C18" s="3">
        <v>0</v>
      </c>
      <c r="D18" s="3">
        <v>1000000</v>
      </c>
      <c r="E18" s="3">
        <f t="shared" si="0"/>
        <v>1000000</v>
      </c>
      <c r="F18" s="3">
        <f t="shared" si="1"/>
        <v>0.0952380952380952</v>
      </c>
      <c r="G18" s="3">
        <f>E18/E30</f>
        <v>0.0869565217391304</v>
      </c>
      <c r="I18" t="s">
        <v>175</v>
      </c>
    </row>
    <row r="19" ht="15" customHeight="1">
      <c r="A19" s="3" t="s">
        <v>176</v>
      </c>
      <c r="B19" s="3" t="s">
        <v>177</v>
      </c>
      <c r="C19" s="3">
        <v>0</v>
      </c>
      <c r="D19" s="3">
        <v>1500000</v>
      </c>
      <c r="E19" s="3">
        <f t="shared" si="0"/>
        <v>1500000</v>
      </c>
      <c r="F19" s="3">
        <f t="shared" si="1"/>
        <v>0.142857142857143</v>
      </c>
      <c r="G19" s="3">
        <f>E19/E30</f>
        <v>0.130434782608696</v>
      </c>
    </row>
    <row r="20" ht="15" customHeight="1">
      <c r="A20" s="3"/>
      <c r="B20" s="3"/>
      <c r="C20" s="3"/>
      <c r="D20" s="3"/>
      <c r="E20" s="3"/>
      <c r="F20" s="3"/>
      <c r="G20" s="3"/>
    </row>
    <row r="21" ht="15" customHeight="1">
      <c r="A21" s="3" t="s">
        <v>178</v>
      </c>
      <c r="B21" s="3"/>
      <c r="C21" s="3">
        <f t="shared" si="2" ref="C21:D21">SUM(C10:C20)</f>
        <v>5500000</v>
      </c>
      <c r="D21" s="3">
        <f t="shared" si="2"/>
        <v>5000000</v>
      </c>
      <c r="E21" s="3">
        <f t="shared" si="0"/>
        <v>10500000</v>
      </c>
      <c r="F21" s="3">
        <f>E21/E21</f>
        <v>1</v>
      </c>
      <c r="G21" s="3"/>
    </row>
    <row r="22" ht="15" customHeight="1">
      <c r="F22" s="35"/>
      <c r="G22" s="35"/>
    </row>
    <row r="23" ht="15" customHeight="1">
      <c r="A23" s="36" t="s">
        <v>179</v>
      </c>
      <c r="B23" s="36"/>
      <c r="C23" s="36"/>
      <c r="D23" s="36"/>
      <c r="E23" s="36">
        <v>1000000</v>
      </c>
      <c r="F23" s="37"/>
      <c r="G23" s="37">
        <f>E23/E30</f>
        <v>0.0869565217391304</v>
      </c>
    </row>
    <row r="26" ht="15" customHeight="1">
      <c r="A26" s="2" t="s">
        <v>180</v>
      </c>
    </row>
    <row r="28" ht="15" customHeight="1">
      <c r="A28" s="3" t="s">
        <v>181</v>
      </c>
      <c r="B28" s="3" t="s">
        <v>182</v>
      </c>
      <c r="C28" s="3" t="s">
        <v>183</v>
      </c>
      <c r="D28" s="3" t="s">
        <v>184</v>
      </c>
      <c r="E28" s="3" t="s">
        <v>185</v>
      </c>
      <c r="F28" s="3" t="s">
        <v>186</v>
      </c>
      <c r="G28" s="3" t="s">
        <v>187</v>
      </c>
      <c r="H28" s="3" t="s">
        <v>188</v>
      </c>
    </row>
    <row r="29" ht="15" customHeight="1">
      <c r="A29" s="3" t="s">
        <v>189</v>
      </c>
      <c r="B29" s="3" t="s">
        <v>190</v>
      </c>
      <c r="C29" s="3">
        <v>0</v>
      </c>
      <c r="D29" s="3">
        <v>50000</v>
      </c>
      <c r="E29" s="3">
        <f t="shared" si="0"/>
        <v>50000</v>
      </c>
      <c r="F29" s="3">
        <v>0.01</v>
      </c>
      <c r="G29" s="3">
        <v>5000000</v>
      </c>
      <c r="H29" s="3" t="s">
        <v>191</v>
      </c>
    </row>
    <row r="30" ht="15" customHeight="1">
      <c r="A30" s="3" t="s">
        <v>166</v>
      </c>
      <c r="B30" s="3" t="s">
        <v>192</v>
      </c>
      <c r="C30" s="3">
        <v>2000000</v>
      </c>
      <c r="D30" s="3">
        <v>500000</v>
      </c>
      <c r="E30" s="3">
        <f>E21+E23</f>
        <v>11500000</v>
      </c>
      <c r="F30" s="3">
        <f>C30/SUM(G29)</f>
        <v>0.4</v>
      </c>
      <c r="G30" s="3">
        <f t="shared" si="3" ref="G30:G32">D30/F30</f>
        <v>1250000</v>
      </c>
      <c r="H30" s="3" t="s">
        <v>193</v>
      </c>
    </row>
    <row r="31" ht="15" customHeight="1">
      <c r="A31" s="3" t="s">
        <v>172</v>
      </c>
      <c r="B31" s="3" t="s">
        <v>194</v>
      </c>
      <c r="C31" s="3">
        <v>8000000</v>
      </c>
      <c r="D31" s="3">
        <v>3000000</v>
      </c>
      <c r="E31" s="3">
        <f t="shared" si="0"/>
        <v>11000000</v>
      </c>
      <c r="F31" s="3">
        <f>C31/(SUM(G29:G30)+500000)</f>
        <v>1.18518518518519</v>
      </c>
      <c r="G31" s="3">
        <f t="shared" si="3"/>
        <v>2531249.99999999</v>
      </c>
      <c r="H31" s="3" t="s">
        <v>195</v>
      </c>
    </row>
    <row r="32" ht="15" customHeight="1">
      <c r="A32" s="3" t="s">
        <v>177</v>
      </c>
      <c r="B32" s="3" t="s">
        <v>196</v>
      </c>
      <c r="C32" s="3">
        <v>25000000</v>
      </c>
      <c r="D32" s="3">
        <v>10000000</v>
      </c>
      <c r="E32" s="3">
        <f t="shared" si="0"/>
        <v>35000000</v>
      </c>
      <c r="F32" s="3">
        <f>C32/(SUM(G29:G31)+500000)</f>
        <v>2.6936026936027</v>
      </c>
      <c r="G32" s="3">
        <f t="shared" si="3"/>
        <v>3712499.99999999</v>
      </c>
      <c r="H32" s="3" t="s">
        <v>197</v>
      </c>
    </row>
    <row r="33" ht="15" customHeight="1">
      <c r="A33" s="3"/>
      <c r="B33" s="3"/>
      <c r="C33" s="3"/>
      <c r="D33" s="3"/>
      <c r="E33" s="3"/>
      <c r="F33" s="3"/>
      <c r="G33" s="3"/>
      <c r="H33" s="3"/>
    </row>
    <row r="34" ht="15" customHeight="1">
      <c r="A34" s="3" t="s">
        <v>198</v>
      </c>
      <c r="B34" s="3"/>
      <c r="C34" s="3"/>
      <c r="D34" s="3">
        <f t="shared" si="4" ref="D34:G34">SUM(D29:D32)</f>
        <v>13550000</v>
      </c>
      <c r="E34" s="3">
        <f>E32</f>
        <v>35000000</v>
      </c>
      <c r="F34" s="3"/>
      <c r="G34" s="3">
        <f t="shared" si="4"/>
        <v>12493750</v>
      </c>
      <c r="H34" s="3"/>
    </row>
    <row r="37" ht="15" customHeight="1">
      <c r="A37" s="2" t="s">
        <v>199</v>
      </c>
    </row>
    <row r="39" ht="15" customHeight="1">
      <c r="A39" s="3" t="s">
        <v>200</v>
      </c>
      <c r="B39" s="3"/>
      <c r="C39" s="3">
        <f>E32</f>
        <v>35000000</v>
      </c>
      <c r="E39" s="38" t="s">
        <v>201</v>
      </c>
      <c r="F39" s="38" t="s">
        <v>202</v>
      </c>
    </row>
    <row r="40" ht="15" customHeight="1">
      <c r="A40" s="3" t="s">
        <v>203</v>
      </c>
      <c r="B40" s="3"/>
      <c r="C40" s="3">
        <f>E21</f>
        <v>10500000</v>
      </c>
      <c r="E40" t="s">
        <v>191</v>
      </c>
      <c r="F40">
        <f t="shared" si="5" ref="F40:F42">C44</f>
        <v>0.476190476190476</v>
      </c>
    </row>
    <row r="41" ht="15" customHeight="1">
      <c r="A41" s="3" t="s">
        <v>204</v>
      </c>
      <c r="B41" s="3"/>
      <c r="C41" s="3">
        <f>E21+E23</f>
        <v>11500000</v>
      </c>
      <c r="E41" t="s">
        <v>163</v>
      </c>
      <c r="F41">
        <f t="shared" si="5"/>
        <v>0.0476190476190476</v>
      </c>
    </row>
    <row r="42" ht="15" customHeight="1">
      <c r="A42" s="3" t="s">
        <v>205</v>
      </c>
      <c r="B42" s="3"/>
      <c r="C42" s="3">
        <f>F32</f>
        <v>2.6936026936027</v>
      </c>
      <c r="E42" t="s">
        <v>188</v>
      </c>
      <c r="F42">
        <f t="shared" si="5"/>
        <v>0.476190476190476</v>
      </c>
    </row>
    <row r="43" ht="15" customHeight="1">
      <c r="A43" s="3"/>
      <c r="B43" s="3"/>
      <c r="C43" s="3"/>
    </row>
    <row r="44" ht="15" customHeight="1">
      <c r="A44" s="3" t="s">
        <v>206</v>
      </c>
      <c r="B44" s="3"/>
      <c r="C44" s="3">
        <f>SUM(F10:F11)</f>
        <v>0.476190476190476</v>
      </c>
    </row>
    <row r="45" ht="15" customHeight="1">
      <c r="A45" s="3" t="s">
        <v>207</v>
      </c>
      <c r="B45" s="3"/>
      <c r="C45" s="3">
        <f>F12</f>
        <v>0.0476190476190476</v>
      </c>
    </row>
    <row r="46" ht="15" customHeight="1">
      <c r="A46" s="3" t="s">
        <v>208</v>
      </c>
      <c r="B46" s="3"/>
      <c r="C46" s="3">
        <f>SUM(F14:F19)</f>
        <v>0.476190476190476</v>
      </c>
    </row>
    <row r="49" ht="15" customHeight="1">
      <c r="A49" s="2" t="s">
        <v>209</v>
      </c>
    </row>
    <row r="51" ht="15" customHeight="1">
      <c r="A51" s="3" t="s">
        <v>210</v>
      </c>
      <c r="B51" s="3" t="s">
        <v>211</v>
      </c>
      <c r="C51" s="3" t="s">
        <v>212</v>
      </c>
      <c r="D51" s="3" t="s">
        <v>213</v>
      </c>
      <c r="E51" s="3" t="s">
        <v>214</v>
      </c>
      <c r="F51" s="3" t="s">
        <v>215</v>
      </c>
      <c r="G51" s="3" t="s">
        <v>216</v>
      </c>
      <c r="H51" s="3" t="s">
        <v>217</v>
      </c>
    </row>
    <row r="52" ht="15" customHeight="1">
      <c r="A52" s="3" t="s">
        <v>218</v>
      </c>
      <c r="B52" s="3">
        <v>0.5</v>
      </c>
      <c r="C52" s="3">
        <v>0.5</v>
      </c>
      <c r="D52" s="3">
        <v>0</v>
      </c>
      <c r="E52" s="3">
        <v>0</v>
      </c>
      <c r="F52" s="3">
        <v>0</v>
      </c>
      <c r="G52" s="3">
        <v>0</v>
      </c>
      <c r="H52" s="3">
        <f t="shared" si="6" ref="H52:H56">SUM(B52:G52)</f>
        <v>1</v>
      </c>
    </row>
    <row r="53" ht="15" customHeight="1">
      <c r="A53" s="3" t="s">
        <v>219</v>
      </c>
      <c r="B53" s="3">
        <v>0.45</v>
      </c>
      <c r="C53" s="3">
        <v>0.45</v>
      </c>
      <c r="D53" s="3">
        <v>0.1</v>
      </c>
      <c r="E53" s="3">
        <v>0</v>
      </c>
      <c r="F53" s="3">
        <v>0</v>
      </c>
      <c r="G53" s="3">
        <v>0</v>
      </c>
      <c r="H53" s="3">
        <f t="shared" si="6"/>
        <v>1</v>
      </c>
    </row>
    <row r="54" ht="15" customHeight="1">
      <c r="A54" s="3" t="s">
        <v>220</v>
      </c>
      <c r="B54" s="3">
        <v>0.36</v>
      </c>
      <c r="C54" s="3">
        <v>0.36</v>
      </c>
      <c r="D54" s="3">
        <v>0.08</v>
      </c>
      <c r="E54" s="3">
        <v>0.2</v>
      </c>
      <c r="F54" s="3">
        <v>0</v>
      </c>
      <c r="G54" s="3">
        <v>0</v>
      </c>
      <c r="H54" s="3">
        <f t="shared" si="6"/>
        <v>1</v>
      </c>
    </row>
    <row r="55" ht="15" customHeight="1">
      <c r="A55" s="3" t="s">
        <v>221</v>
      </c>
      <c r="B55" s="3">
        <v>0.25</v>
      </c>
      <c r="C55" s="3">
        <v>0.25</v>
      </c>
      <c r="D55" s="3">
        <v>0.06</v>
      </c>
      <c r="E55" s="3">
        <v>0.14</v>
      </c>
      <c r="F55" s="3">
        <v>0.3</v>
      </c>
      <c r="G55" s="3">
        <v>0</v>
      </c>
      <c r="H55" s="3">
        <f t="shared" si="6"/>
        <v>1</v>
      </c>
    </row>
    <row r="56" ht="15" customHeight="1">
      <c r="A56" s="3" t="s">
        <v>222</v>
      </c>
      <c r="B56" s="3">
        <f>G10</f>
        <v>0.217391304347826</v>
      </c>
      <c r="C56" s="3">
        <f>G11</f>
        <v>0.217391304347826</v>
      </c>
      <c r="D56" s="3">
        <f>G12</f>
        <v>0.0434782608695652</v>
      </c>
      <c r="E56" s="3">
        <f>(G14+G15)</f>
        <v>0.0434782608695652</v>
      </c>
      <c r="F56" s="3">
        <f>(G17+G18)</f>
        <v>0.260869565217391</v>
      </c>
      <c r="G56" s="3">
        <f>G19</f>
        <v>0.130434782608696</v>
      </c>
      <c r="H56" s="3">
        <f t="shared" si="6"/>
        <v>0.913043478260869</v>
      </c>
    </row>
    <row r="59" ht="15" customHeight="1">
      <c r="A59" s="2" t="s">
        <v>223</v>
      </c>
    </row>
    <row r="61" ht="15" customHeight="1">
      <c r="A61" t="s">
        <v>224</v>
      </c>
      <c r="C61" s="7">
        <v>100000000</v>
      </c>
    </row>
    <row r="63" ht="15" customHeight="1">
      <c r="A63" s="3" t="s">
        <v>225</v>
      </c>
      <c r="B63" s="3" t="s">
        <v>226</v>
      </c>
      <c r="C63" s="3" t="s">
        <v>155</v>
      </c>
      <c r="D63" s="3" t="s">
        <v>227</v>
      </c>
    </row>
    <row r="64" ht="15" customHeight="1">
      <c r="A64" s="3" t="s">
        <v>228</v>
      </c>
      <c r="B64" s="3">
        <f t="shared" si="7" ref="B64:B66">E10</f>
        <v>2500000</v>
      </c>
      <c r="C64" s="3">
        <f>B64/E30</f>
        <v>0.217391304347826</v>
      </c>
      <c r="D64" s="3">
        <f t="shared" si="8" ref="D64:D69">C64*$C$61</f>
        <v>21739130.4347826</v>
      </c>
    </row>
    <row r="65" ht="15" customHeight="1">
      <c r="A65" s="3" t="s">
        <v>229</v>
      </c>
      <c r="B65" s="3">
        <f t="shared" si="7"/>
        <v>2500000</v>
      </c>
      <c r="C65" s="3">
        <f>B65/E30</f>
        <v>0.217391304347826</v>
      </c>
      <c r="D65" s="3">
        <f t="shared" si="8"/>
        <v>21739130.4347826</v>
      </c>
    </row>
    <row r="66" ht="15" customHeight="1">
      <c r="A66" s="3" t="s">
        <v>163</v>
      </c>
      <c r="B66" s="3">
        <f t="shared" si="7"/>
        <v>500000</v>
      </c>
      <c r="C66" s="3">
        <f>B66/E30</f>
        <v>0.0434782608695652</v>
      </c>
      <c r="D66" s="3">
        <f t="shared" si="8"/>
        <v>4347826.08695652</v>
      </c>
    </row>
    <row r="67" ht="15" customHeight="1">
      <c r="A67" s="3" t="s">
        <v>230</v>
      </c>
      <c r="B67" s="3">
        <f>E14+E15</f>
        <v>500000</v>
      </c>
      <c r="C67" s="3">
        <f>B67/E30</f>
        <v>0.0434782608695652</v>
      </c>
      <c r="D67" s="3">
        <f t="shared" si="8"/>
        <v>4347826.08695652</v>
      </c>
    </row>
    <row r="68" ht="15" customHeight="1">
      <c r="A68" s="3" t="s">
        <v>231</v>
      </c>
      <c r="B68" s="3">
        <f>E17+E18</f>
        <v>3000000</v>
      </c>
      <c r="C68" s="3">
        <f>B68/E30</f>
        <v>0.260869565217391</v>
      </c>
      <c r="D68" s="3">
        <f t="shared" si="8"/>
        <v>26086956.5217391</v>
      </c>
    </row>
    <row r="69" ht="15" customHeight="1">
      <c r="A69" s="3" t="s">
        <v>232</v>
      </c>
      <c r="B69" s="3">
        <f>E23</f>
        <v>1000000</v>
      </c>
      <c r="C69" s="3">
        <f>B69/$E$30</f>
        <v>0.0869565217391304</v>
      </c>
      <c r="D69" s="3">
        <f t="shared" si="8"/>
        <v>8695652.17391304</v>
      </c>
    </row>
    <row r="70" ht="15" customHeight="1">
      <c r="A70" s="3" t="s">
        <v>198</v>
      </c>
      <c r="B70" s="3">
        <f t="shared" si="9" ref="B70:D70">SUM(B64:B69)</f>
        <v>10000000</v>
      </c>
      <c r="C70" s="3">
        <f t="shared" si="9"/>
        <v>0.869565217391304</v>
      </c>
      <c r="D70" s="3">
        <f t="shared" si="9"/>
        <v>86956521.7391304</v>
      </c>
    </row>
  </sheetData>
  <mergeCells>
    <mergeCell ref="A1:J1"/>
    <mergeCell ref="A7:J7"/>
    <mergeCell ref="A26:J26"/>
    <mergeCell ref="A37:J37"/>
    <mergeCell ref="A49:J49"/>
    <mergeCell ref="A59:J59"/>
  </mergeCells>
  <conditionalFormatting sqref="B52:G5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/>
  <pageMargins left="0.7" right="0.7" top="0.75" bottom="0.75" header="0.3" footer="0.3"/>
  <pageSetup paperSize="1" orientation="portrait"/>
  <headerFooter>
    <oddHeader>&amp;L&amp;C&amp;R</oddHeader>
    <oddFooter>&amp;L&amp;C&amp;R</oddFooter>
  </headerFooter>
  <drawing r:id="rId1"/>
  <extLst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Shortcut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2025-08-01T17:43:10Z</dcterms:created>
  <dc:creator>Shortcut</dc:creator>
  <cp:lastModifiedBy>Shortcut</cp:lastModifiedBy>
</cp:coreProperties>
</file>