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https://d.docs.live.net/ab33c8e4696a57b3/01. Brochura/"/>
    </mc:Choice>
  </mc:AlternateContent>
  <xr:revisionPtr revIDLastSave="6" documentId="899202B4EA8C00D955C3773E423E94AA79856D0E" xr6:coauthVersionLast="25" xr6:coauthVersionMax="25" xr10:uidLastSave="{DFDDB0B9-947B-4542-8F26-41DB2CB27FB7}"/>
  <workbookProtection workbookAlgorithmName="SHA-512" workbookHashValue="XEnkZZXWK5uUy5Jm3hA+jG21LWuIo18in0gI6m/G/cRAk3bo7OGBAUital4C5C5qWT6SOR23rsFz6mJA3aDALg==" workbookSaltValue="JU7xZ9vToU1fNhjdJ6g2Aw==" workbookSpinCount="100000" lockStructure="1"/>
  <bookViews>
    <workbookView xWindow="0" yWindow="0" windowWidth="20490" windowHeight="7620" xr2:uid="{00000000-000D-0000-FFFF-FFFF00000000}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5" i="1" l="1"/>
  <c r="S35" i="1"/>
  <c r="S11" i="1" l="1"/>
  <c r="S10" i="1" s="1"/>
  <c r="S9" i="1" s="1"/>
  <c r="S8" i="1" s="1"/>
  <c r="S7" i="1" s="1"/>
  <c r="S23" i="1"/>
  <c r="S22" i="1" s="1"/>
  <c r="S21" i="1" s="1"/>
  <c r="S34" i="1"/>
  <c r="S72" i="1"/>
  <c r="S71" i="1" s="1"/>
  <c r="S70" i="1" s="1"/>
  <c r="S24" i="1" l="1"/>
  <c r="S26" i="1" s="1"/>
  <c r="S12" i="1"/>
  <c r="S13" i="1" s="1"/>
  <c r="S14" i="1" s="1"/>
  <c r="S48" i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T5" i="1"/>
  <c r="T19" i="1"/>
  <c r="T32" i="1"/>
  <c r="T45" i="1"/>
  <c r="T68" i="1"/>
  <c r="S73" i="1" l="1"/>
  <c r="S74" i="1" s="1"/>
  <c r="C25" i="1"/>
  <c r="F44" i="1"/>
  <c r="S36" i="1"/>
  <c r="S37" i="1" s="1"/>
  <c r="S38" i="1" s="1"/>
  <c r="S39" i="1" s="1"/>
  <c r="C12" i="1"/>
  <c r="L36" i="1"/>
  <c r="L53" i="1"/>
  <c r="F58" i="1"/>
  <c r="F59" i="1" s="1"/>
  <c r="U46" i="1" l="1"/>
  <c r="U6" i="1"/>
  <c r="U20" i="1"/>
  <c r="U33" i="1"/>
  <c r="U69" i="1"/>
  <c r="O47" i="1"/>
  <c r="I51" i="1"/>
  <c r="O53" i="1"/>
  <c r="L54" i="1"/>
  <c r="L48" i="1"/>
  <c r="I33" i="1"/>
  <c r="O36" i="1" l="1"/>
  <c r="L31" i="1"/>
  <c r="O30" i="1"/>
  <c r="C23" i="1"/>
  <c r="L37" i="1"/>
  <c r="I34" i="1"/>
  <c r="C27" i="1" l="1"/>
  <c r="T6" i="1" s="1"/>
  <c r="T33" i="1" l="1"/>
  <c r="T20" i="1"/>
  <c r="T69" i="1"/>
  <c r="T46" i="1"/>
  <c r="C29" i="1"/>
  <c r="V6" i="1" s="1"/>
  <c r="V33" i="1" l="1"/>
  <c r="V20" i="1"/>
  <c r="V69" i="1"/>
  <c r="V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FCA</author>
  </authors>
  <commentList>
    <comment ref="B14" authorId="0" shapeId="0" xr:uid="{00000000-0006-0000-0000-000001000000}">
      <text>
        <r>
          <rPr>
            <sz val="9"/>
            <color indexed="81"/>
            <rFont val="Tahoma"/>
            <family val="2"/>
          </rPr>
          <t>The customer is delighted to have been offered a service he did not expect, he becames more loyal and therefor increases his margin.</t>
        </r>
      </text>
    </comment>
    <comment ref="L3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If not optimized, this value should be around &lt;2%.</t>
        </r>
      </text>
    </comment>
    <comment ref="I5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FCA:</t>
        </r>
        <r>
          <rPr>
            <sz val="9"/>
            <color indexed="81"/>
            <rFont val="Tahoma"/>
            <family val="2"/>
          </rPr>
          <t xml:space="preserve">
In doubt put the sahre of the market</t>
        </r>
      </text>
    </comment>
  </commentList>
</comments>
</file>

<file path=xl/sharedStrings.xml><?xml version="1.0" encoding="utf-8"?>
<sst xmlns="http://schemas.openxmlformats.org/spreadsheetml/2006/main" count="51" uniqueCount="35">
  <si>
    <t xml:space="preserve">Valor do investimento (custo do contacto)  </t>
  </si>
  <si>
    <t>ROMI</t>
  </si>
  <si>
    <t>Return on marketing investment (ROMI)</t>
  </si>
  <si>
    <t>LAZARUS BUSINESS CASE</t>
  </si>
  <si>
    <r>
      <t xml:space="preserve">Source: </t>
    </r>
    <r>
      <rPr>
        <b/>
        <u/>
        <sz val="11"/>
        <color theme="1"/>
        <rFont val="Calibri"/>
        <family val="2"/>
        <scheme val="minor"/>
      </rPr>
      <t>Data XL</t>
    </r>
  </si>
  <si>
    <t>Claims ratio</t>
  </si>
  <si>
    <t>Average duration (years)</t>
  </si>
  <si>
    <t>~Life Time Value (margin)</t>
  </si>
  <si>
    <r>
      <rPr>
        <sz val="11"/>
        <color theme="1"/>
        <rFont val="Symbol"/>
        <family val="1"/>
        <charset val="2"/>
      </rPr>
      <t xml:space="preserve">D </t>
    </r>
    <r>
      <rPr>
        <sz val="11"/>
        <color theme="1"/>
        <rFont val="Calibri"/>
        <family val="2"/>
        <scheme val="minor"/>
      </rPr>
      <t>Life Time Value</t>
    </r>
  </si>
  <si>
    <t>Lead cost</t>
  </si>
  <si>
    <t>Interest rate</t>
  </si>
  <si>
    <r>
      <t>Data XL (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)</t>
    </r>
  </si>
  <si>
    <t>&lt;-TBD</t>
  </si>
  <si>
    <t xml:space="preserve">Revenue  (PV)   </t>
  </si>
  <si>
    <t xml:space="preserve">Investment (Lead cost + Data XL)  </t>
  </si>
  <si>
    <t>Net return</t>
  </si>
  <si>
    <t>N clients</t>
  </si>
  <si>
    <r>
      <t>Call  (</t>
    </r>
    <r>
      <rPr>
        <sz val="11"/>
        <color theme="0"/>
        <rFont val="Symbol"/>
        <family val="1"/>
        <charset val="2"/>
      </rPr>
      <t>a</t>
    </r>
    <r>
      <rPr>
        <sz val="11"/>
        <color theme="0"/>
        <rFont val="Calibri"/>
        <family val="2"/>
        <scheme val="minor"/>
      </rPr>
      <t>)</t>
    </r>
  </si>
  <si>
    <r>
      <t>Wanted to get back:: Reborn (</t>
    </r>
    <r>
      <rPr>
        <sz val="11"/>
        <color theme="0"/>
        <rFont val="Symbol"/>
        <family val="1"/>
        <charset val="2"/>
      </rPr>
      <t>b</t>
    </r>
    <r>
      <rPr>
        <sz val="11"/>
        <color theme="0"/>
        <rFont val="Calibri"/>
        <family val="2"/>
        <scheme val="minor"/>
      </rPr>
      <t>)</t>
    </r>
  </si>
  <si>
    <r>
      <t>Do not  wanted to get back:: :: Dead(1-</t>
    </r>
    <r>
      <rPr>
        <sz val="11"/>
        <color theme="0"/>
        <rFont val="Symbol"/>
        <family val="1"/>
        <charset val="2"/>
      </rPr>
      <t>b</t>
    </r>
    <r>
      <rPr>
        <sz val="11"/>
        <color theme="0"/>
        <rFont val="Calibri"/>
        <family val="2"/>
        <scheme val="minor"/>
      </rPr>
      <t>)</t>
    </r>
  </si>
  <si>
    <r>
      <t>Do not accepet the incentive (1-</t>
    </r>
    <r>
      <rPr>
        <sz val="11"/>
        <color theme="0"/>
        <rFont val="Symbol"/>
        <family val="1"/>
        <charset val="2"/>
      </rPr>
      <t>y</t>
    </r>
    <r>
      <rPr>
        <sz val="11"/>
        <color theme="0"/>
        <rFont val="Calibri"/>
        <family val="2"/>
        <scheme val="minor"/>
      </rPr>
      <t>)</t>
    </r>
  </si>
  <si>
    <r>
      <t>Accepted the Incentive (</t>
    </r>
    <r>
      <rPr>
        <sz val="11"/>
        <color theme="0"/>
        <rFont val="Symbol"/>
        <family val="1"/>
        <charset val="2"/>
      </rPr>
      <t>y</t>
    </r>
    <r>
      <rPr>
        <sz val="11"/>
        <color theme="0"/>
        <rFont val="Calibri"/>
        <family val="2"/>
        <scheme val="minor"/>
      </rPr>
      <t>)</t>
    </r>
  </si>
  <si>
    <t>Net result</t>
  </si>
  <si>
    <r>
      <t>Lazarus (</t>
    </r>
    <r>
      <rPr>
        <sz val="11"/>
        <color theme="0"/>
        <rFont val="Symbol"/>
        <family val="1"/>
        <charset val="2"/>
      </rPr>
      <t>g</t>
    </r>
    <r>
      <rPr>
        <sz val="11"/>
        <color theme="0"/>
        <rFont val="Calibri"/>
        <family val="2"/>
        <scheme val="minor"/>
      </rPr>
      <t xml:space="preserve">)
</t>
    </r>
  </si>
  <si>
    <r>
      <t xml:space="preserve">Remain dead (1- </t>
    </r>
    <r>
      <rPr>
        <sz val="11"/>
        <color theme="0"/>
        <rFont val="Symbol"/>
        <family val="1"/>
        <charset val="2"/>
      </rPr>
      <t>g</t>
    </r>
    <r>
      <rPr>
        <sz val="11"/>
        <color theme="0"/>
        <rFont val="Calibri"/>
        <family val="2"/>
        <scheme val="minor"/>
      </rPr>
      <t xml:space="preserve">)
</t>
    </r>
  </si>
  <si>
    <t>Base -&gt;</t>
  </si>
  <si>
    <t>Interest rate sensitivity analysis</t>
  </si>
  <si>
    <t>Sensitivity analysis to Average term policy (years)</t>
  </si>
  <si>
    <t>Sensitivity analysis to Claims ratio</t>
  </si>
  <si>
    <t>Sensitivity analysis% of Lazarus</t>
  </si>
  <si>
    <t>Analysis of sensitivity to the commercial premium</t>
  </si>
  <si>
    <t>Price (=commercial premium with the incentive discount)</t>
  </si>
  <si>
    <t>min</t>
  </si>
  <si>
    <r>
      <t xml:space="preserve">No Call </t>
    </r>
    <r>
      <rPr>
        <sz val="11"/>
        <color theme="0"/>
        <rFont val="Symbol"/>
        <family val="1"/>
        <charset val="2"/>
      </rPr>
      <t>(1-a)</t>
    </r>
  </si>
  <si>
    <t>Vs 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</si>
</sst>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[$€-2]\ * #,##0.00_-;\-[$€-2]\ * #,##0.00_-;_-[$€-2]\ * &quot;-&quot;??_-;_-@_-"/>
    <numFmt numFmtId="166" formatCode="_-[$€-2]\ * #,##0_-;\-[$€-2]\ * #,##0_-;_-[$€-2]\ * &quot;-&quot;??_-;_-@_-"/>
    <numFmt numFmtId="167" formatCode="0.0%"/>
    <numFmt numFmtId="168" formatCode="_-* #,##0.0_-;\-* #,##0.0_-;_-* &quot;-&quot;??_-;_-@_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1"/>
      <color theme="0"/>
      <name val="Symbol"/>
      <family val="1"/>
      <charset val="2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Verdana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</cellStyleXfs>
  <cellXfs count="72">
    <xf numFmtId="0" fontId="0" fillId="0" borderId="0" xfId="0"/>
    <xf numFmtId="166" fontId="3" fillId="7" borderId="8" xfId="3" applyNumberFormat="1" applyFont="1" applyFill="1" applyBorder="1" applyProtection="1">
      <protection locked="0"/>
    </xf>
    <xf numFmtId="167" fontId="3" fillId="7" borderId="8" xfId="3" applyNumberFormat="1" applyFont="1" applyFill="1" applyBorder="1" applyProtection="1">
      <protection locked="0"/>
    </xf>
    <xf numFmtId="9" fontId="3" fillId="7" borderId="8" xfId="3" applyFont="1" applyFill="1" applyBorder="1" applyProtection="1">
      <protection locked="0"/>
    </xf>
    <xf numFmtId="164" fontId="3" fillId="7" borderId="8" xfId="1" applyNumberFormat="1" applyFont="1" applyFill="1" applyBorder="1" applyProtection="1">
      <protection locked="0"/>
    </xf>
    <xf numFmtId="10" fontId="0" fillId="7" borderId="8" xfId="3" applyNumberFormat="1" applyFont="1" applyFill="1" applyBorder="1" applyProtection="1">
      <protection locked="0"/>
    </xf>
    <xf numFmtId="0" fontId="3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0" fillId="8" borderId="0" xfId="0" applyFill="1" applyAlignment="1" applyProtection="1">
      <alignment horizontal="center"/>
      <protection hidden="1"/>
    </xf>
    <xf numFmtId="0" fontId="9" fillId="8" borderId="0" xfId="0" applyFont="1" applyFill="1" applyProtection="1">
      <protection hidden="1"/>
    </xf>
    <xf numFmtId="0" fontId="3" fillId="8" borderId="8" xfId="0" applyFont="1" applyFill="1" applyBorder="1" applyProtection="1">
      <protection hidden="1"/>
    </xf>
    <xf numFmtId="0" fontId="3" fillId="8" borderId="8" xfId="0" applyFont="1" applyFill="1" applyBorder="1" applyAlignment="1" applyProtection="1">
      <alignment horizontal="center" vertical="center" wrapText="1"/>
      <protection hidden="1"/>
    </xf>
    <xf numFmtId="166" fontId="10" fillId="8" borderId="8" xfId="0" applyNumberFormat="1" applyFont="1" applyFill="1" applyBorder="1" applyAlignment="1" applyProtection="1">
      <alignment horizontal="center" vertical="center" wrapText="1"/>
      <protection hidden="1"/>
    </xf>
    <xf numFmtId="9" fontId="10" fillId="8" borderId="8" xfId="0" applyNumberFormat="1" applyFont="1" applyFill="1" applyBorder="1" applyAlignment="1" applyProtection="1">
      <alignment horizontal="center" vertical="center" wrapText="1"/>
      <protection hidden="1"/>
    </xf>
    <xf numFmtId="166" fontId="0" fillId="8" borderId="8" xfId="3" applyNumberFormat="1" applyFont="1" applyFill="1" applyBorder="1" applyProtection="1">
      <protection hidden="1"/>
    </xf>
    <xf numFmtId="9" fontId="0" fillId="8" borderId="8" xfId="3" applyFont="1" applyFill="1" applyBorder="1" applyAlignment="1" applyProtection="1">
      <alignment horizontal="center" vertical="center" wrapText="1"/>
      <protection hidden="1"/>
    </xf>
    <xf numFmtId="8" fontId="0" fillId="8" borderId="0" xfId="0" applyNumberFormat="1" applyFill="1" applyProtection="1">
      <protection hidden="1"/>
    </xf>
    <xf numFmtId="0" fontId="8" fillId="8" borderId="0" xfId="0" applyFont="1" applyFill="1" applyProtection="1">
      <protection hidden="1"/>
    </xf>
    <xf numFmtId="0" fontId="2" fillId="8" borderId="0" xfId="0" quotePrefix="1" applyFont="1" applyFill="1" applyProtection="1">
      <protection hidden="1"/>
    </xf>
    <xf numFmtId="0" fontId="0" fillId="8" borderId="12" xfId="0" applyFill="1" applyBorder="1" applyProtection="1">
      <protection hidden="1"/>
    </xf>
    <xf numFmtId="0" fontId="0" fillId="8" borderId="13" xfId="0" applyFill="1" applyBorder="1" applyProtection="1">
      <protection hidden="1"/>
    </xf>
    <xf numFmtId="0" fontId="0" fillId="8" borderId="14" xfId="0" applyFill="1" applyBorder="1" applyProtection="1">
      <protection hidden="1"/>
    </xf>
    <xf numFmtId="166" fontId="4" fillId="5" borderId="10" xfId="7" applyNumberFormat="1" applyBorder="1" applyAlignment="1" applyProtection="1">
      <alignment horizontal="center" vertical="center"/>
      <protection hidden="1"/>
    </xf>
    <xf numFmtId="0" fontId="0" fillId="8" borderId="0" xfId="0" applyFill="1" applyBorder="1" applyProtection="1">
      <protection hidden="1"/>
    </xf>
    <xf numFmtId="0" fontId="0" fillId="8" borderId="16" xfId="0" applyFill="1" applyBorder="1" applyProtection="1">
      <protection hidden="1"/>
    </xf>
    <xf numFmtId="166" fontId="4" fillId="3" borderId="10" xfId="5" applyNumberFormat="1" applyBorder="1" applyAlignment="1" applyProtection="1">
      <alignment horizontal="center" vertical="center"/>
      <protection hidden="1"/>
    </xf>
    <xf numFmtId="166" fontId="0" fillId="8" borderId="0" xfId="0" applyNumberFormat="1" applyFill="1" applyProtection="1">
      <protection hidden="1"/>
    </xf>
    <xf numFmtId="10" fontId="0" fillId="8" borderId="0" xfId="3" applyNumberFormat="1" applyFont="1" applyFill="1" applyProtection="1">
      <protection hidden="1"/>
    </xf>
    <xf numFmtId="9" fontId="4" fillId="5" borderId="10" xfId="7" applyNumberFormat="1" applyBorder="1" applyAlignment="1" applyProtection="1">
      <alignment horizontal="center" vertical="center"/>
      <protection hidden="1"/>
    </xf>
    <xf numFmtId="0" fontId="0" fillId="8" borderId="7" xfId="0" applyFill="1" applyBorder="1" applyProtection="1">
      <protection hidden="1"/>
    </xf>
    <xf numFmtId="0" fontId="4" fillId="2" borderId="10" xfId="4" applyBorder="1" applyAlignment="1" applyProtection="1">
      <alignment horizontal="center" wrapText="1"/>
      <protection hidden="1"/>
    </xf>
    <xf numFmtId="0" fontId="4" fillId="6" borderId="8" xfId="8" applyBorder="1" applyAlignment="1" applyProtection="1">
      <alignment horizontal="center" wrapText="1"/>
      <protection hidden="1"/>
    </xf>
    <xf numFmtId="0" fontId="0" fillId="8" borderId="17" xfId="0" applyFill="1" applyBorder="1" applyProtection="1">
      <protection hidden="1"/>
    </xf>
    <xf numFmtId="0" fontId="0" fillId="8" borderId="18" xfId="0" applyFill="1" applyBorder="1" applyProtection="1">
      <protection hidden="1"/>
    </xf>
    <xf numFmtId="0" fontId="0" fillId="8" borderId="19" xfId="0" applyFill="1" applyBorder="1" applyProtection="1">
      <protection hidden="1"/>
    </xf>
    <xf numFmtId="0" fontId="0" fillId="8" borderId="5" xfId="0" applyFill="1" applyBorder="1" applyProtection="1">
      <protection hidden="1"/>
    </xf>
    <xf numFmtId="166" fontId="1" fillId="4" borderId="11" xfId="2" applyNumberFormat="1" applyFill="1" applyBorder="1" applyAlignment="1" applyProtection="1">
      <alignment horizontal="center"/>
      <protection hidden="1"/>
    </xf>
    <xf numFmtId="0" fontId="1" fillId="4" borderId="11" xfId="6" applyBorder="1" applyAlignment="1" applyProtection="1">
      <alignment horizontal="center"/>
      <protection hidden="1"/>
    </xf>
    <xf numFmtId="43" fontId="0" fillId="8" borderId="0" xfId="0" applyNumberFormat="1" applyFill="1" applyProtection="1">
      <protection hidden="1"/>
    </xf>
    <xf numFmtId="0" fontId="0" fillId="8" borderId="4" xfId="0" applyFill="1" applyBorder="1" applyProtection="1">
      <protection hidden="1"/>
    </xf>
    <xf numFmtId="0" fontId="0" fillId="8" borderId="6" xfId="0" applyFill="1" applyBorder="1" applyProtection="1">
      <protection hidden="1"/>
    </xf>
    <xf numFmtId="0" fontId="0" fillId="8" borderId="2" xfId="0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0" fillId="8" borderId="3" xfId="0" applyFill="1" applyBorder="1" applyProtection="1">
      <protection hidden="1"/>
    </xf>
    <xf numFmtId="165" fontId="1" fillId="4" borderId="11" xfId="2" applyNumberFormat="1" applyFill="1" applyBorder="1" applyAlignment="1" applyProtection="1">
      <alignment horizontal="center"/>
      <protection hidden="1"/>
    </xf>
    <xf numFmtId="9" fontId="5" fillId="8" borderId="9" xfId="3" applyFont="1" applyFill="1" applyBorder="1" applyAlignment="1" applyProtection="1">
      <alignment horizontal="right"/>
      <protection locked="0"/>
    </xf>
    <xf numFmtId="164" fontId="5" fillId="7" borderId="9" xfId="1" applyNumberFormat="1" applyFont="1" applyFill="1" applyBorder="1" applyAlignment="1" applyProtection="1">
      <alignment horizontal="right"/>
      <protection locked="0"/>
    </xf>
    <xf numFmtId="9" fontId="5" fillId="7" borderId="9" xfId="3" applyFont="1" applyFill="1" applyBorder="1" applyAlignment="1" applyProtection="1">
      <alignment horizontal="right"/>
      <protection locked="0"/>
    </xf>
    <xf numFmtId="165" fontId="5" fillId="7" borderId="9" xfId="1" applyNumberFormat="1" applyFont="1" applyFill="1" applyBorder="1" applyAlignment="1" applyProtection="1">
      <alignment horizontal="right"/>
      <protection locked="0"/>
    </xf>
    <xf numFmtId="165" fontId="13" fillId="7" borderId="9" xfId="1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8" borderId="15" xfId="0" applyFont="1" applyFill="1" applyBorder="1" applyAlignment="1" applyProtection="1">
      <alignment horizontal="left" vertical="center" indent="4"/>
      <protection hidden="1"/>
    </xf>
    <xf numFmtId="0" fontId="0" fillId="8" borderId="15" xfId="0" applyFill="1" applyBorder="1" applyAlignment="1" applyProtection="1">
      <alignment horizontal="left" indent="4"/>
      <protection hidden="1"/>
    </xf>
    <xf numFmtId="0" fontId="14" fillId="8" borderId="8" xfId="0" applyFont="1" applyFill="1" applyBorder="1" applyProtection="1">
      <protection hidden="1"/>
    </xf>
    <xf numFmtId="0" fontId="14" fillId="8" borderId="8" xfId="0" applyFont="1" applyFill="1" applyBorder="1" applyAlignment="1" applyProtection="1">
      <alignment vertical="center"/>
      <protection hidden="1"/>
    </xf>
    <xf numFmtId="9" fontId="0" fillId="8" borderId="8" xfId="3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9" fontId="5" fillId="8" borderId="20" xfId="3" applyFont="1" applyFill="1" applyBorder="1" applyAlignment="1" applyProtection="1">
      <alignment horizontal="right"/>
      <protection locked="0"/>
    </xf>
    <xf numFmtId="168" fontId="5" fillId="7" borderId="9" xfId="1" applyNumberFormat="1" applyFont="1" applyFill="1" applyBorder="1" applyAlignment="1" applyProtection="1">
      <alignment horizontal="right"/>
      <protection locked="0"/>
    </xf>
    <xf numFmtId="0" fontId="4" fillId="2" borderId="10" xfId="4" applyBorder="1" applyAlignment="1" applyProtection="1">
      <alignment horizontal="center" vertical="top" wrapText="1"/>
      <protection hidden="1"/>
    </xf>
    <xf numFmtId="167" fontId="5" fillId="7" borderId="20" xfId="3" applyNumberFormat="1" applyFont="1" applyFill="1" applyBorder="1" applyAlignment="1" applyProtection="1">
      <alignment horizontal="right"/>
      <protection locked="0"/>
    </xf>
    <xf numFmtId="0" fontId="0" fillId="8" borderId="0" xfId="0" quotePrefix="1" applyFill="1" applyProtection="1">
      <protection hidden="1"/>
    </xf>
    <xf numFmtId="9" fontId="15" fillId="7" borderId="8" xfId="3" applyFont="1" applyFill="1" applyBorder="1" applyProtection="1">
      <protection locked="0"/>
    </xf>
    <xf numFmtId="166" fontId="15" fillId="7" borderId="8" xfId="3" applyNumberFormat="1" applyFont="1" applyFill="1" applyBorder="1" applyProtection="1">
      <protection locked="0"/>
    </xf>
    <xf numFmtId="164" fontId="15" fillId="7" borderId="8" xfId="1" applyNumberFormat="1" applyFont="1" applyFill="1" applyBorder="1" applyProtection="1">
      <protection locked="0"/>
    </xf>
    <xf numFmtId="167" fontId="16" fillId="7" borderId="8" xfId="3" applyNumberFormat="1" applyFont="1" applyFill="1" applyBorder="1" applyProtection="1">
      <protection locked="0"/>
    </xf>
    <xf numFmtId="10" fontId="2" fillId="7" borderId="8" xfId="3" applyNumberFormat="1" applyFont="1" applyFill="1" applyBorder="1" applyProtection="1">
      <protection locked="0"/>
    </xf>
    <xf numFmtId="165" fontId="5" fillId="7" borderId="9" xfId="2" applyNumberFormat="1" applyFont="1" applyFill="1" applyBorder="1" applyAlignment="1" applyProtection="1">
      <alignment horizontal="right"/>
      <protection locked="0"/>
    </xf>
    <xf numFmtId="165" fontId="5" fillId="8" borderId="10" xfId="2" applyNumberFormat="1" applyFont="1" applyFill="1" applyBorder="1" applyAlignment="1" applyProtection="1">
      <alignment horizontal="right"/>
      <protection hidden="1"/>
    </xf>
    <xf numFmtId="164" fontId="16" fillId="7" borderId="8" xfId="1" applyNumberFormat="1" applyFont="1" applyFill="1" applyBorder="1" applyProtection="1">
      <protection locked="0"/>
    </xf>
  </cellXfs>
  <cellStyles count="9">
    <cellStyle name="20% - Accent5" xfId="6" builtinId="46"/>
    <cellStyle name="60% - Accent1" xfId="4" builtinId="32"/>
    <cellStyle name="60% - Accent6" xfId="8" builtinId="52"/>
    <cellStyle name="Accent2" xfId="5" builtinId="33"/>
    <cellStyle name="Accent6" xfId="7" builtinId="49"/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48576"/>
  <sheetViews>
    <sheetView showGridLines="0" tabSelected="1" topLeftCell="C43" zoomScale="85" zoomScaleNormal="85" workbookViewId="0">
      <selection activeCell="S74" sqref="S74"/>
    </sheetView>
  </sheetViews>
  <sheetFormatPr defaultColWidth="9.140625" defaultRowHeight="15" zeroHeight="1" outlineLevelCol="1"/>
  <cols>
    <col min="1" max="1" width="9.140625" style="50" customWidth="1"/>
    <col min="2" max="2" width="61.42578125" style="50" customWidth="1"/>
    <col min="3" max="3" width="14.42578125" style="50" bestFit="1" customWidth="1"/>
    <col min="4" max="5" width="3.5703125" style="50" customWidth="1"/>
    <col min="6" max="6" width="25.140625" style="50" customWidth="1"/>
    <col min="7" max="8" width="5" style="50" customWidth="1"/>
    <col min="9" max="9" width="25.140625" style="50" customWidth="1"/>
    <col min="10" max="11" width="6.5703125" style="50" customWidth="1"/>
    <col min="12" max="12" width="25.140625" style="50" customWidth="1"/>
    <col min="13" max="14" width="9.140625" style="50" customWidth="1"/>
    <col min="15" max="15" width="13.28515625" style="51" bestFit="1" customWidth="1"/>
    <col min="16" max="18" width="9.140625" style="50" customWidth="1"/>
    <col min="19" max="19" width="13" style="50" customWidth="1" outlineLevel="1"/>
    <col min="20" max="20" width="28.42578125" style="50" customWidth="1" outlineLevel="1"/>
    <col min="21" max="21" width="25" style="50" hidden="1" customWidth="1" outlineLevel="1"/>
    <col min="22" max="22" width="25" style="50" customWidth="1" outlineLevel="1"/>
    <col min="23" max="23" width="9.140625" style="50" customWidth="1" outlineLevel="1"/>
    <col min="24" max="29" width="9.140625" style="58" customWidth="1"/>
    <col min="30" max="16384" width="9.140625" style="58"/>
  </cols>
  <sheetData>
    <row r="1" spans="1:23" s="57" customFormat="1">
      <c r="A1" s="6" t="s">
        <v>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7"/>
      <c r="Q1" s="7"/>
      <c r="R1" s="7"/>
      <c r="S1" s="7"/>
      <c r="T1" s="7"/>
      <c r="U1" s="7"/>
      <c r="V1" s="7"/>
      <c r="W1" s="7"/>
    </row>
    <row r="2" spans="1:23" s="57" customFormat="1">
      <c r="A2" s="7" t="s">
        <v>34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7"/>
      <c r="Q2" s="7"/>
      <c r="R2" s="7"/>
      <c r="S2" s="7"/>
      <c r="T2" s="7"/>
      <c r="U2" s="7"/>
      <c r="V2" s="7"/>
      <c r="W2" s="7"/>
    </row>
    <row r="3" spans="1:23" s="57" customFormat="1">
      <c r="A3" s="7" t="s">
        <v>4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7"/>
      <c r="Q3" s="7"/>
      <c r="R3" s="7"/>
      <c r="S3" s="7"/>
      <c r="T3" s="7"/>
      <c r="U3" s="7"/>
      <c r="V3" s="7"/>
      <c r="W3" s="7"/>
    </row>
    <row r="4" spans="1:23" s="57" customForma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7"/>
      <c r="Q4" s="7"/>
      <c r="R4" s="7"/>
      <c r="S4" s="9" t="s">
        <v>26</v>
      </c>
      <c r="T4" s="7"/>
      <c r="U4" s="7"/>
      <c r="V4" s="7"/>
      <c r="W4" s="7"/>
    </row>
    <row r="5" spans="1:23" s="57" customFormat="1" ht="30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10"/>
      <c r="T5" s="11" t="str">
        <f>+$B$27</f>
        <v>Net return</v>
      </c>
      <c r="U5" s="11" t="s">
        <v>0</v>
      </c>
      <c r="V5" s="11" t="s">
        <v>1</v>
      </c>
      <c r="W5" s="7"/>
    </row>
    <row r="6" spans="1:23" s="57" customFormat="1">
      <c r="A6" s="7"/>
      <c r="B6" s="7" t="s">
        <v>31</v>
      </c>
      <c r="C6" s="69">
        <v>350</v>
      </c>
      <c r="D6" s="63" t="s">
        <v>32</v>
      </c>
      <c r="E6" s="7"/>
      <c r="F6" s="7"/>
      <c r="G6" s="7"/>
      <c r="H6" s="7"/>
      <c r="I6" s="7"/>
      <c r="J6" s="7"/>
      <c r="K6" s="7"/>
      <c r="L6" s="7"/>
      <c r="M6" s="7"/>
      <c r="N6" s="7"/>
      <c r="O6" s="8"/>
      <c r="P6" s="7"/>
      <c r="Q6" s="7"/>
      <c r="R6" s="7"/>
      <c r="S6" s="55" t="s">
        <v>25</v>
      </c>
      <c r="T6" s="12">
        <f>+$C$27</f>
        <v>546496.33781612723</v>
      </c>
      <c r="U6" s="12">
        <f>+$C$25</f>
        <v>240000</v>
      </c>
      <c r="V6" s="13">
        <f>+$C$29</f>
        <v>1.2770680742338634</v>
      </c>
      <c r="W6" s="7"/>
    </row>
    <row r="7" spans="1:23" s="57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8"/>
      <c r="P7" s="7"/>
      <c r="Q7" s="7"/>
      <c r="R7" s="7"/>
      <c r="S7" s="5">
        <f>+S8-0.5%</f>
        <v>0</v>
      </c>
      <c r="T7" s="14">
        <f t="dataTable" ref="T7:V14" dt2D="0" dtr="0" r1="C18" ca="1"/>
        <v>577950</v>
      </c>
      <c r="U7" s="14">
        <v>240000</v>
      </c>
      <c r="V7" s="15">
        <v>1.4081250000000001</v>
      </c>
      <c r="W7" s="7"/>
    </row>
    <row r="8" spans="1:23" s="57" customFormat="1">
      <c r="A8" s="7"/>
      <c r="B8" s="7" t="s">
        <v>5</v>
      </c>
      <c r="C8" s="47">
        <v>0.59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8"/>
      <c r="P8" s="7"/>
      <c r="Q8" s="7"/>
      <c r="R8" s="7"/>
      <c r="S8" s="5">
        <f>+S9-0.5%</f>
        <v>4.9999999999999984E-3</v>
      </c>
      <c r="T8" s="14">
        <v>603244.4535097098</v>
      </c>
      <c r="U8" s="14">
        <v>240000</v>
      </c>
      <c r="V8" s="15">
        <v>1.5135185562904576</v>
      </c>
      <c r="W8" s="7"/>
    </row>
    <row r="9" spans="1:23" s="57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8"/>
      <c r="P9" s="7"/>
      <c r="Q9" s="7"/>
      <c r="R9" s="7"/>
      <c r="S9" s="5">
        <f>+S10-0.5%</f>
        <v>9.9999999999999985E-3</v>
      </c>
      <c r="T9" s="14">
        <v>620985.55597052281</v>
      </c>
      <c r="U9" s="14">
        <v>240000</v>
      </c>
      <c r="V9" s="15">
        <v>1.5874398165438453</v>
      </c>
      <c r="W9" s="7"/>
    </row>
    <row r="10" spans="1:23" s="57" customFormat="1">
      <c r="A10" s="7"/>
      <c r="B10" s="7" t="s">
        <v>6</v>
      </c>
      <c r="C10" s="60">
        <v>5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8"/>
      <c r="P10" s="7"/>
      <c r="Q10" s="7"/>
      <c r="R10" s="7"/>
      <c r="S10" s="5">
        <f>+S11-0.5%</f>
        <v>1.4999999999999999E-2</v>
      </c>
      <c r="T10" s="14">
        <v>630133.98183805484</v>
      </c>
      <c r="U10" s="14">
        <v>240000</v>
      </c>
      <c r="V10" s="15">
        <v>1.6255582576585619</v>
      </c>
      <c r="W10" s="7"/>
    </row>
    <row r="11" spans="1:23" s="57" customForma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8"/>
      <c r="P11" s="7"/>
      <c r="Q11" s="7"/>
      <c r="R11" s="7"/>
      <c r="S11" s="68">
        <f>+C18</f>
        <v>0.02</v>
      </c>
      <c r="T11" s="14">
        <v>630133.98183805484</v>
      </c>
      <c r="U11" s="14">
        <v>240000</v>
      </c>
      <c r="V11" s="15">
        <v>1.6255582576585619</v>
      </c>
      <c r="W11" s="7"/>
    </row>
    <row r="12" spans="1:23" s="57" customFormat="1">
      <c r="A12" s="7"/>
      <c r="B12" s="7" t="s">
        <v>7</v>
      </c>
      <c r="C12" s="70">
        <f>-PV(C18,C10,C6*(1-C8),,1)</f>
        <v>689.90906825976072</v>
      </c>
      <c r="D12" s="7"/>
      <c r="E12" s="16"/>
      <c r="F12" s="7"/>
      <c r="G12" s="7"/>
      <c r="H12" s="7"/>
      <c r="I12" s="7"/>
      <c r="J12" s="7"/>
      <c r="K12" s="7"/>
      <c r="L12" s="7"/>
      <c r="M12" s="7"/>
      <c r="N12" s="7"/>
      <c r="O12" s="8"/>
      <c r="P12" s="7"/>
      <c r="Q12" s="7"/>
      <c r="R12" s="7"/>
      <c r="S12" s="5">
        <f>+S11+0.5%</f>
        <v>2.5000000000000001E-2</v>
      </c>
      <c r="T12" s="14">
        <v>620985.55597052281</v>
      </c>
      <c r="U12" s="14">
        <v>240000</v>
      </c>
      <c r="V12" s="15">
        <v>1.5874398165438453</v>
      </c>
      <c r="W12" s="7"/>
    </row>
    <row r="13" spans="1:23" s="57" customForma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8"/>
      <c r="P13" s="7"/>
      <c r="Q13" s="7"/>
      <c r="R13" s="7"/>
      <c r="S13" s="5">
        <f>+S12+0.5%</f>
        <v>3.0000000000000002E-2</v>
      </c>
      <c r="T13" s="14">
        <v>603244.4535097098</v>
      </c>
      <c r="U13" s="14">
        <v>240000</v>
      </c>
      <c r="V13" s="15">
        <v>1.5135185562904576</v>
      </c>
      <c r="W13" s="7"/>
    </row>
    <row r="14" spans="1:23" s="57" customFormat="1">
      <c r="A14" s="7"/>
      <c r="B14" s="17" t="s">
        <v>8</v>
      </c>
      <c r="C14" s="46">
        <v>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8"/>
      <c r="P14" s="7"/>
      <c r="Q14" s="7"/>
      <c r="R14" s="7"/>
      <c r="S14" s="5">
        <f>+S13+0.5%</f>
        <v>3.5000000000000003E-2</v>
      </c>
      <c r="T14" s="14">
        <v>577950</v>
      </c>
      <c r="U14" s="14">
        <v>240000</v>
      </c>
      <c r="V14" s="15">
        <v>1.4081250000000001</v>
      </c>
      <c r="W14" s="7"/>
    </row>
    <row r="15" spans="1:23" s="57" customForma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8"/>
      <c r="P15" s="7"/>
      <c r="Q15" s="7"/>
      <c r="R15" s="7"/>
      <c r="S15" s="7"/>
      <c r="T15" s="7"/>
      <c r="U15" s="7"/>
      <c r="V15" s="7"/>
      <c r="W15" s="7"/>
    </row>
    <row r="16" spans="1:23" s="57" customFormat="1">
      <c r="A16" s="7"/>
      <c r="B16" s="7" t="s">
        <v>9</v>
      </c>
      <c r="C16" s="48">
        <v>20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8"/>
      <c r="P16" s="7"/>
      <c r="Q16" s="7"/>
      <c r="R16" s="7"/>
      <c r="S16" s="7"/>
      <c r="T16" s="7"/>
      <c r="U16" s="7"/>
      <c r="V16" s="7"/>
      <c r="W16" s="7"/>
    </row>
    <row r="17" spans="1:23" s="57" customFormat="1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8"/>
      <c r="P17" s="7"/>
      <c r="Q17" s="7"/>
      <c r="R17" s="7"/>
      <c r="S17" s="7"/>
      <c r="T17" s="7"/>
      <c r="U17" s="7"/>
      <c r="V17" s="7"/>
      <c r="W17" s="7"/>
    </row>
    <row r="18" spans="1:23" s="57" customFormat="1">
      <c r="A18" s="7"/>
      <c r="B18" s="7" t="s">
        <v>10</v>
      </c>
      <c r="C18" s="47">
        <v>0.02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8"/>
      <c r="P18" s="7"/>
      <c r="Q18" s="7"/>
      <c r="R18" s="7"/>
      <c r="S18" s="9" t="s">
        <v>27</v>
      </c>
      <c r="T18" s="7"/>
      <c r="U18" s="7"/>
      <c r="V18" s="7"/>
      <c r="W18" s="7"/>
    </row>
    <row r="19" spans="1:23" s="57" customFormat="1" ht="30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8"/>
      <c r="P19" s="7"/>
      <c r="Q19" s="7"/>
      <c r="R19" s="7"/>
      <c r="S19" s="10"/>
      <c r="T19" s="11" t="str">
        <f>+$B$27</f>
        <v>Net return</v>
      </c>
      <c r="U19" s="11" t="s">
        <v>0</v>
      </c>
      <c r="V19" s="11" t="s">
        <v>1</v>
      </c>
      <c r="W19" s="7"/>
    </row>
    <row r="20" spans="1:23" s="57" customFormat="1">
      <c r="A20" s="7"/>
      <c r="B20" s="7" t="s">
        <v>11</v>
      </c>
      <c r="C20" s="49">
        <v>0</v>
      </c>
      <c r="D20" s="7"/>
      <c r="E20" s="18" t="s">
        <v>12</v>
      </c>
      <c r="F20" s="7"/>
      <c r="G20" s="7"/>
      <c r="H20" s="7"/>
      <c r="I20" s="7"/>
      <c r="J20" s="7"/>
      <c r="K20" s="7"/>
      <c r="L20" s="7"/>
      <c r="M20" s="7"/>
      <c r="N20" s="7"/>
      <c r="O20" s="8"/>
      <c r="P20" s="7"/>
      <c r="Q20" s="7"/>
      <c r="R20" s="7"/>
      <c r="S20" s="55" t="s">
        <v>25</v>
      </c>
      <c r="T20" s="12">
        <f>+$C$27</f>
        <v>546496.33781612723</v>
      </c>
      <c r="U20" s="12">
        <f>+$C$25</f>
        <v>240000</v>
      </c>
      <c r="V20" s="13">
        <f>+$C$29</f>
        <v>1.2770680742338634</v>
      </c>
      <c r="W20" s="7"/>
    </row>
    <row r="21" spans="1:23" s="57" customFormat="1" ht="15.75" thickBo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8"/>
      <c r="P21" s="7"/>
      <c r="Q21" s="7"/>
      <c r="R21" s="7"/>
      <c r="S21" s="4">
        <f>+S22-2</f>
        <v>-4</v>
      </c>
      <c r="T21" s="14">
        <f t="dataTable" ref="T21:V26" dt2D="0" dtr="0" r1="C10" ca="1"/>
        <v>-927738.92977440008</v>
      </c>
      <c r="U21" s="14">
        <v>240000</v>
      </c>
      <c r="V21" s="15">
        <v>-4.8655788740600006</v>
      </c>
      <c r="W21" s="7"/>
    </row>
    <row r="22" spans="1:23" s="57" customFormat="1">
      <c r="A22" s="7"/>
      <c r="B22" s="19"/>
      <c r="C22" s="20"/>
      <c r="D22" s="20"/>
      <c r="E22" s="20"/>
      <c r="F22" s="21"/>
      <c r="G22" s="7"/>
      <c r="H22" s="7"/>
      <c r="I22" s="7"/>
      <c r="J22" s="7"/>
      <c r="K22" s="7"/>
      <c r="L22" s="7"/>
      <c r="M22" s="7"/>
      <c r="N22" s="7"/>
      <c r="O22" s="8"/>
      <c r="P22" s="7"/>
      <c r="Q22" s="7"/>
      <c r="R22" s="7"/>
      <c r="S22" s="4">
        <f>+S23-2</f>
        <v>-2</v>
      </c>
      <c r="T22" s="14">
        <v>-577060.83599999966</v>
      </c>
      <c r="U22" s="14">
        <v>240000</v>
      </c>
      <c r="V22" s="15">
        <v>-3.4044201499999986</v>
      </c>
      <c r="W22" s="7"/>
    </row>
    <row r="23" spans="1:23" s="57" customFormat="1">
      <c r="A23" s="7"/>
      <c r="B23" s="52" t="s">
        <v>13</v>
      </c>
      <c r="C23" s="22">
        <f>++C53*F43*I33*L30*(C12)++C53*F43*I50*L47*(C14)</f>
        <v>786496.33781612723</v>
      </c>
      <c r="D23" s="23"/>
      <c r="E23" s="23"/>
      <c r="F23" s="24"/>
      <c r="G23" s="7"/>
      <c r="H23" s="7"/>
      <c r="I23" s="7"/>
      <c r="J23" s="7"/>
      <c r="K23" s="7"/>
      <c r="L23" s="7"/>
      <c r="M23" s="7"/>
      <c r="N23" s="7"/>
      <c r="O23" s="8"/>
      <c r="P23" s="7"/>
      <c r="Q23" s="7"/>
      <c r="R23" s="7"/>
      <c r="S23" s="66">
        <f>+C14</f>
        <v>0</v>
      </c>
      <c r="T23" s="14">
        <v>-240000</v>
      </c>
      <c r="U23" s="14">
        <v>240000</v>
      </c>
      <c r="V23" s="15">
        <v>-2</v>
      </c>
      <c r="W23" s="7"/>
    </row>
    <row r="24" spans="1:23" s="57" customFormat="1">
      <c r="A24" s="7"/>
      <c r="B24" s="53"/>
      <c r="C24" s="23"/>
      <c r="D24" s="23"/>
      <c r="E24" s="23"/>
      <c r="F24" s="24"/>
      <c r="G24" s="7"/>
      <c r="H24" s="7"/>
      <c r="I24" s="7"/>
      <c r="J24" s="7"/>
      <c r="K24" s="7"/>
      <c r="L24" s="7"/>
      <c r="M24" s="7"/>
      <c r="N24" s="7"/>
      <c r="O24" s="8"/>
      <c r="P24" s="7"/>
      <c r="Q24" s="7"/>
      <c r="R24" s="7"/>
      <c r="S24" s="71">
        <f>+S23+1</f>
        <v>1</v>
      </c>
      <c r="T24" s="14">
        <v>-76409.999999999884</v>
      </c>
      <c r="U24" s="14">
        <v>240000</v>
      </c>
      <c r="V24" s="15">
        <v>-1.3183749999999996</v>
      </c>
      <c r="W24" s="7"/>
    </row>
    <row r="25" spans="1:23" s="57" customFormat="1">
      <c r="A25" s="7"/>
      <c r="B25" s="52" t="s">
        <v>14</v>
      </c>
      <c r="C25" s="25">
        <f>+ROUND($F$43*$C$53,0)*C16+C20</f>
        <v>240000</v>
      </c>
      <c r="D25" s="23"/>
      <c r="E25" s="23"/>
      <c r="F25" s="24"/>
      <c r="G25" s="7"/>
      <c r="H25" s="7"/>
      <c r="I25" s="7"/>
      <c r="J25" s="7"/>
      <c r="K25" s="7"/>
      <c r="L25" s="7"/>
      <c r="M25" s="7"/>
      <c r="N25" s="7"/>
      <c r="O25" s="8"/>
      <c r="P25" s="7"/>
      <c r="Q25" s="7"/>
      <c r="R25" s="7"/>
      <c r="S25" s="4">
        <f>+S24+2</f>
        <v>3</v>
      </c>
      <c r="T25" s="14">
        <v>241209.953863898</v>
      </c>
      <c r="U25" s="14">
        <v>240000</v>
      </c>
      <c r="V25" s="15">
        <v>5.0414744329083661E-3</v>
      </c>
      <c r="W25" s="7"/>
    </row>
    <row r="26" spans="1:23" s="57" customFormat="1">
      <c r="A26" s="7"/>
      <c r="B26" s="53"/>
      <c r="C26" s="23"/>
      <c r="D26" s="23"/>
      <c r="E26" s="23"/>
      <c r="F26" s="24"/>
      <c r="G26" s="7"/>
      <c r="H26" s="7"/>
      <c r="I26" s="7"/>
      <c r="J26" s="7"/>
      <c r="K26" s="7"/>
      <c r="L26" s="7"/>
      <c r="M26" s="7"/>
      <c r="N26" s="7"/>
      <c r="O26" s="8"/>
      <c r="P26" s="7"/>
      <c r="Q26" s="7"/>
      <c r="R26" s="7"/>
      <c r="S26" s="4">
        <f>+S25+2</f>
        <v>5</v>
      </c>
      <c r="T26" s="14">
        <v>546496.33781612723</v>
      </c>
      <c r="U26" s="14">
        <v>240000</v>
      </c>
      <c r="V26" s="15">
        <v>1.2770680742338634</v>
      </c>
      <c r="W26" s="7"/>
    </row>
    <row r="27" spans="1:23" s="57" customFormat="1">
      <c r="A27" s="7"/>
      <c r="B27" s="52" t="s">
        <v>15</v>
      </c>
      <c r="C27" s="22">
        <f>+SUM(O30,O36,O47,O53,O58)</f>
        <v>546496.33781612723</v>
      </c>
      <c r="D27" s="23"/>
      <c r="E27" s="23"/>
      <c r="F27" s="24"/>
      <c r="G27" s="26"/>
      <c r="H27" s="7"/>
      <c r="I27" s="7"/>
      <c r="J27" s="7"/>
      <c r="K27" s="7"/>
      <c r="L27" s="7"/>
      <c r="M27" s="7"/>
      <c r="N27" s="7"/>
      <c r="O27" s="8"/>
      <c r="P27" s="7"/>
      <c r="Q27" s="7"/>
      <c r="R27" s="7"/>
      <c r="S27" s="27"/>
      <c r="T27" s="7"/>
      <c r="U27" s="7"/>
      <c r="V27" s="7"/>
      <c r="W27" s="7"/>
    </row>
    <row r="28" spans="1:23" s="57" customFormat="1">
      <c r="A28" s="7"/>
      <c r="B28" s="53"/>
      <c r="C28" s="23"/>
      <c r="D28" s="23"/>
      <c r="E28" s="23"/>
      <c r="F28" s="24"/>
      <c r="G28" s="7"/>
      <c r="H28" s="7"/>
      <c r="I28" s="7"/>
      <c r="J28" s="7"/>
      <c r="K28" s="7"/>
      <c r="L28" s="7"/>
      <c r="M28" s="7"/>
      <c r="N28" s="7"/>
      <c r="O28" s="8"/>
      <c r="P28" s="7"/>
      <c r="Q28" s="7"/>
      <c r="R28" s="7"/>
      <c r="S28" s="27"/>
      <c r="T28" s="7"/>
      <c r="U28" s="7"/>
      <c r="V28" s="7"/>
      <c r="W28" s="7"/>
    </row>
    <row r="29" spans="1:23" s="57" customFormat="1" ht="30">
      <c r="A29" s="7"/>
      <c r="B29" s="52" t="s">
        <v>2</v>
      </c>
      <c r="C29" s="28">
        <f>+(C27)/C25-1</f>
        <v>1.2770680742338634</v>
      </c>
      <c r="D29" s="23"/>
      <c r="E29" s="23"/>
      <c r="F29" s="24"/>
      <c r="G29" s="7"/>
      <c r="H29" s="7"/>
      <c r="I29" s="7"/>
      <c r="J29" s="7"/>
      <c r="K29" s="29"/>
      <c r="L29" s="30" t="s">
        <v>23</v>
      </c>
      <c r="M29" s="29"/>
      <c r="N29" s="29"/>
      <c r="O29" s="31" t="s">
        <v>22</v>
      </c>
      <c r="P29" s="7"/>
      <c r="Q29" s="7"/>
      <c r="R29" s="7"/>
      <c r="S29" s="27"/>
      <c r="T29" s="7"/>
      <c r="U29" s="7"/>
      <c r="V29" s="7"/>
      <c r="W29" s="7"/>
    </row>
    <row r="30" spans="1:23" s="57" customFormat="1" ht="15.75" thickBot="1">
      <c r="A30" s="7"/>
      <c r="B30" s="32"/>
      <c r="C30" s="33"/>
      <c r="D30" s="33"/>
      <c r="E30" s="33"/>
      <c r="F30" s="34"/>
      <c r="G30" s="7"/>
      <c r="H30" s="7"/>
      <c r="I30" s="7"/>
      <c r="J30" s="7"/>
      <c r="K30" s="35"/>
      <c r="L30" s="62">
        <v>0.1</v>
      </c>
      <c r="M30" s="7"/>
      <c r="N30" s="7"/>
      <c r="O30" s="36">
        <f>+C53*F43*I33*L30*(C12-C16)</f>
        <v>763696.33781612723</v>
      </c>
      <c r="P30" s="7"/>
      <c r="Q30" s="7"/>
      <c r="R30" s="7"/>
      <c r="S30" s="27"/>
      <c r="T30" s="7"/>
      <c r="U30" s="7"/>
      <c r="V30" s="7"/>
      <c r="W30" s="7"/>
    </row>
    <row r="31" spans="1:23" s="57" customFormat="1">
      <c r="A31" s="7"/>
      <c r="B31" s="7"/>
      <c r="C31" s="7"/>
      <c r="D31" s="7"/>
      <c r="E31" s="7"/>
      <c r="F31" s="7"/>
      <c r="G31" s="7"/>
      <c r="H31" s="7"/>
      <c r="I31" s="7"/>
      <c r="J31" s="7"/>
      <c r="K31" s="35"/>
      <c r="L31" s="37" t="str">
        <f>+CONCATENATE("n=",ROUND(F43*C53*I33*L30,0))</f>
        <v>n=1140</v>
      </c>
      <c r="M31" s="7"/>
      <c r="N31" s="7"/>
      <c r="O31" s="8"/>
      <c r="P31" s="7"/>
      <c r="Q31" s="7"/>
      <c r="R31" s="7"/>
      <c r="S31" s="9" t="s">
        <v>28</v>
      </c>
      <c r="T31" s="7"/>
      <c r="U31" s="7"/>
      <c r="V31" s="7"/>
      <c r="W31" s="7"/>
    </row>
    <row r="32" spans="1:23" s="57" customFormat="1" ht="30">
      <c r="A32" s="7"/>
      <c r="B32" s="7"/>
      <c r="C32" s="38"/>
      <c r="D32" s="7"/>
      <c r="E32" s="7"/>
      <c r="F32" s="7"/>
      <c r="G32" s="23"/>
      <c r="H32" s="29"/>
      <c r="I32" s="30" t="s">
        <v>19</v>
      </c>
      <c r="J32" s="29"/>
      <c r="K32" s="35"/>
      <c r="L32" s="7"/>
      <c r="M32" s="7"/>
      <c r="N32" s="7"/>
      <c r="O32" s="8"/>
      <c r="P32" s="7"/>
      <c r="Q32" s="7"/>
      <c r="R32" s="7"/>
      <c r="S32" s="10"/>
      <c r="T32" s="11" t="str">
        <f>+$B$27</f>
        <v>Net return</v>
      </c>
      <c r="U32" s="11" t="s">
        <v>0</v>
      </c>
      <c r="V32" s="11" t="s">
        <v>1</v>
      </c>
      <c r="W32" s="7"/>
    </row>
    <row r="33" spans="1:23" s="57" customFormat="1">
      <c r="A33" s="7"/>
      <c r="B33" s="7"/>
      <c r="C33" s="7"/>
      <c r="D33" s="7"/>
      <c r="E33" s="7"/>
      <c r="F33" s="7"/>
      <c r="G33" s="7"/>
      <c r="H33" s="39"/>
      <c r="I33" s="45">
        <f>100%-I50</f>
        <v>0.95</v>
      </c>
      <c r="J33" s="23"/>
      <c r="K33" s="35"/>
      <c r="L33" s="7"/>
      <c r="M33" s="7"/>
      <c r="N33" s="7"/>
      <c r="O33" s="8"/>
      <c r="P33" s="7"/>
      <c r="Q33" s="7"/>
      <c r="R33" s="7"/>
      <c r="S33" s="55" t="s">
        <v>25</v>
      </c>
      <c r="T33" s="12">
        <f>+$C$27</f>
        <v>546496.33781612723</v>
      </c>
      <c r="U33" s="12">
        <f>+$C$25</f>
        <v>240000</v>
      </c>
      <c r="V33" s="13">
        <f>+$C$29</f>
        <v>1.2770680742338634</v>
      </c>
      <c r="W33" s="7"/>
    </row>
    <row r="34" spans="1:23" s="57" customFormat="1">
      <c r="A34" s="7"/>
      <c r="B34" s="7"/>
      <c r="C34" s="7"/>
      <c r="D34" s="7"/>
      <c r="E34" s="7"/>
      <c r="F34" s="7"/>
      <c r="G34" s="7"/>
      <c r="H34" s="35"/>
      <c r="I34" s="37" t="str">
        <f>+CONCATENATE("n=",ROUND(F43*C53*I33,0))</f>
        <v>n=11400</v>
      </c>
      <c r="J34" s="7"/>
      <c r="K34" s="35"/>
      <c r="L34" s="7"/>
      <c r="M34" s="7"/>
      <c r="N34" s="7"/>
      <c r="O34" s="8"/>
      <c r="P34" s="7"/>
      <c r="Q34" s="7"/>
      <c r="R34" s="7"/>
      <c r="S34" s="3">
        <f>+S35-5%</f>
        <v>0.54999999999999993</v>
      </c>
      <c r="T34" s="14">
        <f t="dataTable" ref="T34:V39" dt2D="0" dtr="0" r1="C8" ca="1"/>
        <v>623227.687846969</v>
      </c>
      <c r="U34" s="14">
        <v>240000</v>
      </c>
      <c r="V34" s="15">
        <v>1.5967820326957041</v>
      </c>
      <c r="W34" s="7"/>
    </row>
    <row r="35" spans="1:23" s="57" customFormat="1" ht="15" customHeight="1">
      <c r="A35" s="7"/>
      <c r="B35" s="7"/>
      <c r="C35" s="7"/>
      <c r="D35" s="7"/>
      <c r="E35" s="7"/>
      <c r="F35" s="7"/>
      <c r="G35" s="7"/>
      <c r="H35" s="35"/>
      <c r="I35" s="7"/>
      <c r="J35" s="7"/>
      <c r="K35" s="40"/>
      <c r="L35" s="61" t="s">
        <v>24</v>
      </c>
      <c r="M35" s="29"/>
      <c r="N35" s="29"/>
      <c r="O35" s="31" t="s">
        <v>22</v>
      </c>
      <c r="P35" s="7"/>
      <c r="Q35" s="7"/>
      <c r="R35" s="7"/>
      <c r="S35" s="64">
        <f>+ROUND(C8*10,0)/10</f>
        <v>0.6</v>
      </c>
      <c r="T35" s="14">
        <v>527313.50030841667</v>
      </c>
      <c r="U35" s="14">
        <v>240000</v>
      </c>
      <c r="V35" s="15">
        <v>1.197139584618403</v>
      </c>
      <c r="W35" s="7"/>
    </row>
    <row r="36" spans="1:23" s="57" customFormat="1">
      <c r="A36" s="7"/>
      <c r="B36" s="7"/>
      <c r="C36" s="7"/>
      <c r="D36" s="7"/>
      <c r="E36" s="7"/>
      <c r="F36" s="7"/>
      <c r="G36" s="7"/>
      <c r="H36" s="35"/>
      <c r="I36" s="7"/>
      <c r="J36" s="7"/>
      <c r="K36" s="7"/>
      <c r="L36" s="45">
        <f>1-L30</f>
        <v>0.9</v>
      </c>
      <c r="M36" s="7"/>
      <c r="N36" s="7"/>
      <c r="O36" s="36">
        <f>C53*F43*I33*L36*(-C16)</f>
        <v>-205200</v>
      </c>
      <c r="P36" s="7"/>
      <c r="Q36" s="7"/>
      <c r="R36" s="7"/>
      <c r="S36" s="3">
        <f>+S35+5%</f>
        <v>0.65</v>
      </c>
      <c r="T36" s="14">
        <v>431399.31276986457</v>
      </c>
      <c r="U36" s="14">
        <v>240000</v>
      </c>
      <c r="V36" s="15">
        <v>0.79749713654110232</v>
      </c>
      <c r="W36" s="7"/>
    </row>
    <row r="37" spans="1:23" s="57" customFormat="1">
      <c r="A37" s="7"/>
      <c r="B37" s="7"/>
      <c r="C37" s="7"/>
      <c r="D37" s="7"/>
      <c r="E37" s="7"/>
      <c r="F37" s="7"/>
      <c r="G37" s="7"/>
      <c r="H37" s="35"/>
      <c r="I37" s="7"/>
      <c r="J37" s="7"/>
      <c r="K37" s="7"/>
      <c r="L37" s="37" t="str">
        <f>+CONCATENATE("n=",ROUND(F43*C53*I33*L36,0))</f>
        <v>n=10260</v>
      </c>
      <c r="M37" s="7"/>
      <c r="N37" s="7"/>
      <c r="O37" s="8"/>
      <c r="P37" s="7"/>
      <c r="Q37" s="7"/>
      <c r="R37" s="7"/>
      <c r="S37" s="3">
        <f>+S36+5%</f>
        <v>0.70000000000000007</v>
      </c>
      <c r="T37" s="14">
        <v>143656.75015420828</v>
      </c>
      <c r="U37" s="14">
        <v>240000</v>
      </c>
      <c r="V37" s="15">
        <v>-0.40143020769079885</v>
      </c>
      <c r="W37" s="7"/>
    </row>
    <row r="38" spans="1:23" s="57" customFormat="1">
      <c r="A38" s="7"/>
      <c r="B38" s="7"/>
      <c r="C38" s="7"/>
      <c r="D38" s="7"/>
      <c r="E38" s="7"/>
      <c r="F38" s="7"/>
      <c r="G38" s="7"/>
      <c r="H38" s="35"/>
      <c r="I38" s="7"/>
      <c r="J38" s="7"/>
      <c r="K38" s="7"/>
      <c r="L38" s="7"/>
      <c r="M38" s="7"/>
      <c r="N38" s="7"/>
      <c r="O38" s="8"/>
      <c r="P38" s="7"/>
      <c r="Q38" s="7"/>
      <c r="R38" s="7"/>
      <c r="S38" s="3">
        <f>+S37+5%</f>
        <v>0.75000000000000011</v>
      </c>
      <c r="T38" s="14">
        <v>-144085.81246144825</v>
      </c>
      <c r="U38" s="14">
        <v>240000</v>
      </c>
      <c r="V38" s="15">
        <v>-1.6003575519227011</v>
      </c>
      <c r="W38" s="7"/>
    </row>
    <row r="39" spans="1:23" s="57" customFormat="1">
      <c r="A39" s="7"/>
      <c r="B39" s="7"/>
      <c r="C39" s="7"/>
      <c r="D39" s="7"/>
      <c r="E39" s="7"/>
      <c r="F39" s="7"/>
      <c r="G39" s="7"/>
      <c r="H39" s="35"/>
      <c r="I39" s="7"/>
      <c r="J39" s="7"/>
      <c r="K39" s="7"/>
      <c r="L39" s="7"/>
      <c r="M39" s="7"/>
      <c r="N39" s="7"/>
      <c r="O39" s="8"/>
      <c r="P39" s="7"/>
      <c r="Q39" s="7"/>
      <c r="R39" s="7"/>
      <c r="S39" s="3">
        <f>+S38+5%</f>
        <v>0.80000000000000016</v>
      </c>
      <c r="T39" s="14">
        <v>-623656.75015420862</v>
      </c>
      <c r="U39" s="14">
        <v>240000</v>
      </c>
      <c r="V39" s="15">
        <v>-3.5985697923092026</v>
      </c>
      <c r="W39" s="7"/>
    </row>
    <row r="40" spans="1:23" s="57" customFormat="1">
      <c r="A40" s="7"/>
      <c r="B40" s="7"/>
      <c r="C40" s="7"/>
      <c r="D40" s="7"/>
      <c r="E40" s="7"/>
      <c r="F40" s="7"/>
      <c r="G40" s="7"/>
      <c r="H40" s="35"/>
      <c r="I40" s="7"/>
      <c r="J40" s="7"/>
      <c r="K40" s="7"/>
      <c r="L40" s="7"/>
      <c r="M40" s="7"/>
      <c r="N40" s="7"/>
      <c r="O40" s="8"/>
      <c r="P40" s="7"/>
      <c r="Q40" s="7"/>
      <c r="R40" s="7"/>
      <c r="S40" s="27"/>
      <c r="T40" s="7"/>
      <c r="U40" s="7"/>
      <c r="V40" s="7"/>
      <c r="W40" s="7"/>
    </row>
    <row r="41" spans="1:23" s="57" customFormat="1">
      <c r="A41" s="7"/>
      <c r="B41" s="7"/>
      <c r="C41" s="7"/>
      <c r="D41" s="7"/>
      <c r="E41" s="7"/>
      <c r="F41" s="7"/>
      <c r="G41" s="7"/>
      <c r="H41" s="35"/>
      <c r="I41" s="7"/>
      <c r="J41" s="7"/>
      <c r="K41" s="7"/>
      <c r="L41" s="7"/>
      <c r="M41" s="7"/>
      <c r="N41" s="7"/>
      <c r="O41" s="8"/>
      <c r="P41" s="7"/>
      <c r="Q41" s="7"/>
      <c r="R41" s="7"/>
      <c r="S41" s="27"/>
      <c r="T41" s="7"/>
      <c r="U41" s="7"/>
      <c r="V41" s="7"/>
      <c r="W41" s="7"/>
    </row>
    <row r="42" spans="1:23" s="57" customFormat="1">
      <c r="A42" s="7"/>
      <c r="B42" s="7"/>
      <c r="C42" s="7"/>
      <c r="D42" s="7"/>
      <c r="E42" s="29"/>
      <c r="F42" s="30" t="s">
        <v>17</v>
      </c>
      <c r="G42" s="29"/>
      <c r="H42" s="35"/>
      <c r="I42" s="7"/>
      <c r="J42" s="7"/>
      <c r="K42" s="7"/>
      <c r="L42" s="7"/>
      <c r="M42" s="7"/>
      <c r="N42" s="7"/>
      <c r="O42" s="8"/>
      <c r="P42" s="7"/>
      <c r="Q42" s="7"/>
      <c r="R42" s="7"/>
      <c r="S42" s="27"/>
      <c r="T42" s="7"/>
      <c r="U42" s="7"/>
      <c r="V42" s="7"/>
      <c r="W42" s="7"/>
    </row>
    <row r="43" spans="1:23" s="57" customFormat="1">
      <c r="A43" s="7"/>
      <c r="B43" s="7"/>
      <c r="C43" s="7"/>
      <c r="D43" s="41"/>
      <c r="E43" s="7"/>
      <c r="F43" s="47">
        <v>1</v>
      </c>
      <c r="G43" s="7"/>
      <c r="H43" s="35"/>
      <c r="I43" s="7"/>
      <c r="J43" s="7"/>
      <c r="K43" s="7"/>
      <c r="L43" s="7"/>
      <c r="M43" s="7"/>
      <c r="N43" s="7"/>
      <c r="O43" s="8"/>
      <c r="P43" s="7"/>
      <c r="Q43" s="7"/>
      <c r="R43" s="7"/>
      <c r="S43" s="27"/>
      <c r="T43" s="7"/>
      <c r="U43" s="7"/>
      <c r="V43" s="7"/>
      <c r="W43" s="7"/>
    </row>
    <row r="44" spans="1:23" s="57" customFormat="1">
      <c r="A44" s="7"/>
      <c r="B44" s="7"/>
      <c r="C44" s="7"/>
      <c r="D44" s="41"/>
      <c r="E44" s="7"/>
      <c r="F44" s="37" t="str">
        <f>+CONCATENATE("n=",ROUND($F$43*$C$53,0))</f>
        <v>n=12000</v>
      </c>
      <c r="G44" s="7"/>
      <c r="H44" s="35"/>
      <c r="I44" s="7"/>
      <c r="J44" s="7"/>
      <c r="K44" s="7"/>
      <c r="L44" s="7"/>
      <c r="M44" s="7"/>
      <c r="N44" s="7"/>
      <c r="O44" s="8"/>
      <c r="P44" s="7"/>
      <c r="Q44" s="7"/>
      <c r="R44" s="7"/>
      <c r="S44" s="9" t="s">
        <v>29</v>
      </c>
      <c r="T44" s="7"/>
      <c r="U44" s="7"/>
      <c r="V44" s="7"/>
      <c r="W44" s="7"/>
    </row>
    <row r="45" spans="1:23" s="57" customFormat="1" ht="30">
      <c r="A45" s="7"/>
      <c r="B45" s="7"/>
      <c r="C45" s="7"/>
      <c r="D45" s="41"/>
      <c r="E45" s="7"/>
      <c r="F45" s="23"/>
      <c r="G45" s="7"/>
      <c r="H45" s="35"/>
      <c r="I45" s="7"/>
      <c r="J45" s="7"/>
      <c r="K45" s="7"/>
      <c r="L45" s="7"/>
      <c r="M45" s="7"/>
      <c r="N45" s="7"/>
      <c r="O45" s="8"/>
      <c r="P45" s="7"/>
      <c r="Q45" s="7"/>
      <c r="R45" s="7"/>
      <c r="S45" s="10"/>
      <c r="T45" s="11" t="str">
        <f>+$B$27</f>
        <v>Net return</v>
      </c>
      <c r="U45" s="11" t="s">
        <v>0</v>
      </c>
      <c r="V45" s="11" t="s">
        <v>1</v>
      </c>
      <c r="W45" s="7"/>
    </row>
    <row r="46" spans="1:23" s="57" customFormat="1">
      <c r="A46" s="7"/>
      <c r="B46" s="7"/>
      <c r="C46" s="7"/>
      <c r="D46" s="41"/>
      <c r="E46" s="7"/>
      <c r="F46" s="23"/>
      <c r="G46" s="7"/>
      <c r="H46" s="35"/>
      <c r="I46" s="7"/>
      <c r="J46" s="7"/>
      <c r="K46" s="29"/>
      <c r="L46" s="30" t="s">
        <v>21</v>
      </c>
      <c r="M46" s="29"/>
      <c r="N46" s="29"/>
      <c r="O46" s="31" t="s">
        <v>22</v>
      </c>
      <c r="P46" s="7"/>
      <c r="Q46" s="7"/>
      <c r="R46" s="7"/>
      <c r="S46" s="55" t="s">
        <v>25</v>
      </c>
      <c r="T46" s="12">
        <f>+$C$27</f>
        <v>546496.33781612723</v>
      </c>
      <c r="U46" s="12">
        <f>+$C$25</f>
        <v>240000</v>
      </c>
      <c r="V46" s="13">
        <f>+$C$29</f>
        <v>1.2770680742338634</v>
      </c>
      <c r="W46" s="7"/>
    </row>
    <row r="47" spans="1:23" s="57" customFormat="1" ht="14.25" customHeight="1">
      <c r="A47" s="7"/>
      <c r="B47" s="7"/>
      <c r="C47" s="7"/>
      <c r="D47" s="41"/>
      <c r="E47" s="7"/>
      <c r="F47" s="23"/>
      <c r="G47" s="7"/>
      <c r="H47" s="35"/>
      <c r="I47" s="7"/>
      <c r="J47" s="7"/>
      <c r="K47" s="35"/>
      <c r="L47" s="47">
        <v>1</v>
      </c>
      <c r="M47" s="7"/>
      <c r="N47" s="7"/>
      <c r="O47" s="36">
        <f>+C53*F43*I50*L47*(C14-C16)</f>
        <v>-12000</v>
      </c>
      <c r="P47" s="7"/>
      <c r="Q47" s="7"/>
      <c r="R47" s="7"/>
      <c r="S47" s="67">
        <v>0.02</v>
      </c>
      <c r="T47" s="14">
        <f t="dataTable" ref="T47:V63" dt2D="0" dtr="0" r1="L30" ca="1"/>
        <v>-82700.73243677456</v>
      </c>
      <c r="U47" s="14">
        <v>240000</v>
      </c>
      <c r="V47" s="15">
        <v>-1.3445863851532274</v>
      </c>
      <c r="W47" s="7"/>
    </row>
    <row r="48" spans="1:23" s="57" customFormat="1" ht="14.25" customHeight="1">
      <c r="A48" s="7"/>
      <c r="B48" s="7"/>
      <c r="C48" s="7"/>
      <c r="D48" s="41"/>
      <c r="E48" s="7"/>
      <c r="F48" s="23"/>
      <c r="G48" s="7"/>
      <c r="H48" s="35"/>
      <c r="I48" s="7"/>
      <c r="J48" s="7"/>
      <c r="K48" s="35"/>
      <c r="L48" s="37" t="str">
        <f>+CONCATENATE("n=",ROUND(F43*C53*I50*L47,0))</f>
        <v>n=600</v>
      </c>
      <c r="M48" s="7"/>
      <c r="N48" s="7"/>
      <c r="O48" s="8"/>
      <c r="P48" s="7"/>
      <c r="Q48" s="7"/>
      <c r="R48" s="7"/>
      <c r="S48" s="2">
        <f>+S47+0.5%</f>
        <v>2.5000000000000001E-2</v>
      </c>
      <c r="T48" s="14">
        <v>-43375.915545968193</v>
      </c>
      <c r="U48" s="14">
        <v>240000</v>
      </c>
      <c r="V48" s="15">
        <v>-1.1807329814415342</v>
      </c>
      <c r="W48" s="7"/>
    </row>
    <row r="49" spans="1:23" s="57" customFormat="1" ht="14.25" customHeight="1">
      <c r="A49" s="7"/>
      <c r="B49" s="7"/>
      <c r="C49" s="7"/>
      <c r="D49" s="41"/>
      <c r="E49" s="7"/>
      <c r="F49" s="23"/>
      <c r="G49" s="7"/>
      <c r="H49" s="40"/>
      <c r="I49" s="30" t="s">
        <v>18</v>
      </c>
      <c r="J49" s="29"/>
      <c r="K49" s="35"/>
      <c r="L49" s="7"/>
      <c r="M49" s="7"/>
      <c r="N49" s="7"/>
      <c r="O49" s="8"/>
      <c r="P49" s="7"/>
      <c r="Q49" s="7"/>
      <c r="R49" s="7"/>
      <c r="S49" s="2">
        <f t="shared" ref="S49:S51" si="0">+S48+0.5%</f>
        <v>3.0000000000000002E-2</v>
      </c>
      <c r="T49" s="14">
        <v>-4051.0986551618262</v>
      </c>
      <c r="U49" s="14">
        <v>240000</v>
      </c>
      <c r="V49" s="15">
        <v>-1.0168795777298409</v>
      </c>
      <c r="W49" s="7"/>
    </row>
    <row r="50" spans="1:23" s="57" customFormat="1" ht="14.25" customHeight="1">
      <c r="A50" s="7"/>
      <c r="B50" s="7"/>
      <c r="C50" s="7"/>
      <c r="D50" s="41"/>
      <c r="E50" s="7"/>
      <c r="F50" s="7"/>
      <c r="G50" s="7"/>
      <c r="H50" s="7"/>
      <c r="I50" s="47">
        <v>0.05</v>
      </c>
      <c r="J50" s="23"/>
      <c r="K50" s="35"/>
      <c r="L50" s="7"/>
      <c r="M50" s="7"/>
      <c r="N50" s="7"/>
      <c r="O50" s="8"/>
      <c r="P50" s="7"/>
      <c r="Q50" s="7"/>
      <c r="R50" s="7"/>
      <c r="S50" s="2">
        <f t="shared" si="0"/>
        <v>3.5000000000000003E-2</v>
      </c>
      <c r="T50" s="14">
        <v>35273.71823564457</v>
      </c>
      <c r="U50" s="14">
        <v>240000</v>
      </c>
      <c r="V50" s="15">
        <v>-0.85302617401814762</v>
      </c>
      <c r="W50" s="7"/>
    </row>
    <row r="51" spans="1:23" s="57" customFormat="1" ht="14.25" customHeight="1">
      <c r="A51" s="7"/>
      <c r="B51" s="7"/>
      <c r="C51" s="7"/>
      <c r="D51" s="41"/>
      <c r="E51" s="7"/>
      <c r="F51" s="7"/>
      <c r="G51" s="7"/>
      <c r="H51" s="7"/>
      <c r="I51" s="37" t="str">
        <f>+CONCATENATE("n=",ROUND(F43*C53*I50,0))</f>
        <v>n=600</v>
      </c>
      <c r="J51" s="7"/>
      <c r="K51" s="35"/>
      <c r="L51" s="7"/>
      <c r="M51" s="7"/>
      <c r="N51" s="7"/>
      <c r="O51" s="8"/>
      <c r="P51" s="7"/>
      <c r="Q51" s="7"/>
      <c r="R51" s="7"/>
      <c r="S51" s="2">
        <f t="shared" si="0"/>
        <v>0.04</v>
      </c>
      <c r="T51" s="14">
        <v>74598.535126450879</v>
      </c>
      <c r="U51" s="14">
        <v>240000</v>
      </c>
      <c r="V51" s="15">
        <v>-0.68917277030645474</v>
      </c>
      <c r="W51" s="7"/>
    </row>
    <row r="52" spans="1:23" s="57" customFormat="1" ht="27.75" customHeight="1">
      <c r="A52" s="7"/>
      <c r="B52" s="7"/>
      <c r="C52" s="30" t="s">
        <v>16</v>
      </c>
      <c r="D52" s="42"/>
      <c r="E52" s="7"/>
      <c r="F52" s="7"/>
      <c r="G52" s="7"/>
      <c r="H52" s="7"/>
      <c r="I52" s="7"/>
      <c r="J52" s="7"/>
      <c r="K52" s="40"/>
      <c r="L52" s="30" t="s">
        <v>20</v>
      </c>
      <c r="M52" s="29"/>
      <c r="N52" s="29"/>
      <c r="O52" s="31" t="s">
        <v>22</v>
      </c>
      <c r="P52" s="7"/>
      <c r="Q52" s="7"/>
      <c r="R52" s="7"/>
      <c r="S52" s="2">
        <f t="shared" ref="S52:S63" si="1">+S51+0.5%</f>
        <v>4.4999999999999998E-2</v>
      </c>
      <c r="T52" s="14">
        <v>113923.35201725725</v>
      </c>
      <c r="U52" s="14">
        <v>240000</v>
      </c>
      <c r="V52" s="15">
        <v>-0.52531936659476153</v>
      </c>
      <c r="W52" s="7"/>
    </row>
    <row r="53" spans="1:23" s="57" customFormat="1" ht="14.25" customHeight="1">
      <c r="A53" s="7"/>
      <c r="B53" s="7"/>
      <c r="C53" s="46">
        <v>12000</v>
      </c>
      <c r="D53" s="43"/>
      <c r="E53" s="7"/>
      <c r="F53" s="7"/>
      <c r="G53" s="7"/>
      <c r="H53" s="7"/>
      <c r="I53" s="7"/>
      <c r="J53" s="7"/>
      <c r="K53" s="7"/>
      <c r="L53" s="59">
        <f>1-L47</f>
        <v>0</v>
      </c>
      <c r="M53" s="7"/>
      <c r="N53" s="7"/>
      <c r="O53" s="44">
        <f>+C53*F43*I50*L53*(C14-C16)</f>
        <v>0</v>
      </c>
      <c r="P53" s="7"/>
      <c r="Q53" s="7"/>
      <c r="R53" s="7"/>
      <c r="S53" s="2">
        <f t="shared" si="1"/>
        <v>4.9999999999999996E-2</v>
      </c>
      <c r="T53" s="14">
        <v>153248.16890806361</v>
      </c>
      <c r="U53" s="14">
        <v>240000</v>
      </c>
      <c r="V53" s="15">
        <v>-0.36146596288306831</v>
      </c>
      <c r="W53" s="7"/>
    </row>
    <row r="54" spans="1:23" s="57" customFormat="1" ht="14.25" customHeight="1">
      <c r="A54" s="7"/>
      <c r="B54" s="7"/>
      <c r="C54" s="7"/>
      <c r="D54" s="41"/>
      <c r="E54" s="7"/>
      <c r="F54" s="7"/>
      <c r="G54" s="7"/>
      <c r="H54" s="7"/>
      <c r="I54" s="7"/>
      <c r="J54" s="7"/>
      <c r="K54" s="7"/>
      <c r="L54" s="37" t="str">
        <f>+CONCATENATE("n=",ROUND(F43*C53*I50*L53,0))</f>
        <v>n=0</v>
      </c>
      <c r="M54" s="7"/>
      <c r="N54" s="7"/>
      <c r="O54" s="8"/>
      <c r="P54" s="7"/>
      <c r="Q54" s="7"/>
      <c r="R54" s="7"/>
      <c r="S54" s="2">
        <f t="shared" si="1"/>
        <v>5.4999999999999993E-2</v>
      </c>
      <c r="T54" s="14">
        <v>192572.98579886986</v>
      </c>
      <c r="U54" s="14">
        <v>240000</v>
      </c>
      <c r="V54" s="15">
        <v>-0.19761255917137555</v>
      </c>
      <c r="W54" s="7"/>
    </row>
    <row r="55" spans="1:23" s="57" customFormat="1" ht="14.25" customHeight="1">
      <c r="A55" s="7"/>
      <c r="B55" s="7"/>
      <c r="C55" s="23"/>
      <c r="D55" s="41"/>
      <c r="E55" s="7"/>
      <c r="F55" s="7"/>
      <c r="G55" s="7"/>
      <c r="H55" s="7"/>
      <c r="I55" s="7"/>
      <c r="J55" s="7"/>
      <c r="K55" s="7"/>
      <c r="L55" s="7"/>
      <c r="M55" s="7"/>
      <c r="N55" s="7"/>
      <c r="O55" s="8"/>
      <c r="P55" s="7"/>
      <c r="Q55" s="7"/>
      <c r="R55" s="7"/>
      <c r="S55" s="2">
        <f t="shared" si="1"/>
        <v>5.9999999999999991E-2</v>
      </c>
      <c r="T55" s="14">
        <v>231897.80268967623</v>
      </c>
      <c r="U55" s="14">
        <v>240000</v>
      </c>
      <c r="V55" s="15">
        <v>-3.3759155459682333E-2</v>
      </c>
      <c r="W55" s="7"/>
    </row>
    <row r="56" spans="1:23" s="57" customFormat="1" ht="14.25" customHeight="1">
      <c r="A56" s="7"/>
      <c r="B56" s="7"/>
      <c r="C56" s="23"/>
      <c r="D56" s="41"/>
      <c r="E56" s="7"/>
      <c r="F56" s="7"/>
      <c r="G56" s="7"/>
      <c r="H56" s="7"/>
      <c r="I56" s="7"/>
      <c r="J56" s="7"/>
      <c r="K56" s="7"/>
      <c r="L56" s="7"/>
      <c r="M56" s="7"/>
      <c r="N56" s="7"/>
      <c r="O56" s="8"/>
      <c r="P56" s="7"/>
      <c r="Q56" s="7"/>
      <c r="R56" s="7"/>
      <c r="S56" s="2">
        <f t="shared" si="1"/>
        <v>6.4999999999999988E-2</v>
      </c>
      <c r="T56" s="14">
        <v>271222.6195804826</v>
      </c>
      <c r="U56" s="14">
        <v>240000</v>
      </c>
      <c r="V56" s="15">
        <v>0.13009424825201088</v>
      </c>
      <c r="W56" s="7"/>
    </row>
    <row r="57" spans="1:23" s="57" customFormat="1" ht="14.25" customHeight="1">
      <c r="A57" s="7"/>
      <c r="B57" s="7"/>
      <c r="C57" s="7"/>
      <c r="D57" s="41"/>
      <c r="E57" s="40"/>
      <c r="F57" s="30" t="s">
        <v>33</v>
      </c>
      <c r="G57" s="29"/>
      <c r="H57" s="29"/>
      <c r="I57" s="29"/>
      <c r="J57" s="29"/>
      <c r="K57" s="29"/>
      <c r="L57" s="29"/>
      <c r="M57" s="29"/>
      <c r="N57" s="29"/>
      <c r="O57" s="31" t="s">
        <v>22</v>
      </c>
      <c r="P57" s="7"/>
      <c r="Q57" s="7"/>
      <c r="R57" s="7"/>
      <c r="S57" s="2">
        <f t="shared" si="1"/>
        <v>6.9999999999999993E-2</v>
      </c>
      <c r="T57" s="14">
        <v>310547.43647128902</v>
      </c>
      <c r="U57" s="14">
        <v>240000</v>
      </c>
      <c r="V57" s="15">
        <v>0.29394765196370432</v>
      </c>
      <c r="W57" s="7"/>
    </row>
    <row r="58" spans="1:23" s="57" customFormat="1" ht="14.25" customHeight="1">
      <c r="A58" s="7"/>
      <c r="B58" s="7"/>
      <c r="C58" s="7"/>
      <c r="D58" s="7"/>
      <c r="E58" s="7"/>
      <c r="F58" s="45">
        <f>1-F43</f>
        <v>0</v>
      </c>
      <c r="G58" s="7"/>
      <c r="H58" s="7"/>
      <c r="I58" s="7"/>
      <c r="J58" s="7"/>
      <c r="K58" s="7"/>
      <c r="L58" s="7"/>
      <c r="M58" s="7"/>
      <c r="N58" s="7"/>
      <c r="O58" s="44">
        <v>0</v>
      </c>
      <c r="P58" s="7"/>
      <c r="Q58" s="7"/>
      <c r="R58" s="7"/>
      <c r="S58" s="2">
        <f t="shared" si="1"/>
        <v>7.4999999999999997E-2</v>
      </c>
      <c r="T58" s="14">
        <v>349872.25336209545</v>
      </c>
      <c r="U58" s="14">
        <v>240000</v>
      </c>
      <c r="V58" s="15">
        <v>0.45780105567539775</v>
      </c>
      <c r="W58" s="7"/>
    </row>
    <row r="59" spans="1:23" s="57" customFormat="1" ht="14.25" customHeight="1">
      <c r="A59" s="7"/>
      <c r="B59" s="7"/>
      <c r="C59" s="7"/>
      <c r="D59" s="7"/>
      <c r="E59" s="7"/>
      <c r="F59" s="37" t="str">
        <f>+CONCATENATE("n=",ROUND($F$58*$C$53,0))</f>
        <v>n=0</v>
      </c>
      <c r="G59" s="7"/>
      <c r="H59" s="7"/>
      <c r="I59" s="7"/>
      <c r="J59" s="7"/>
      <c r="K59" s="7"/>
      <c r="L59" s="7"/>
      <c r="M59" s="7"/>
      <c r="N59" s="7"/>
      <c r="O59" s="8"/>
      <c r="P59" s="7"/>
      <c r="Q59" s="7"/>
      <c r="R59" s="7"/>
      <c r="S59" s="2">
        <f t="shared" si="1"/>
        <v>0.08</v>
      </c>
      <c r="T59" s="14">
        <v>389197.07025290176</v>
      </c>
      <c r="U59" s="14">
        <v>240000</v>
      </c>
      <c r="V59" s="15">
        <v>0.62165445938709074</v>
      </c>
      <c r="W59" s="7"/>
    </row>
    <row r="60" spans="1:23" s="57" customFormat="1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8"/>
      <c r="P60" s="7"/>
      <c r="Q60" s="7"/>
      <c r="R60" s="7"/>
      <c r="S60" s="2">
        <f t="shared" si="1"/>
        <v>8.5000000000000006E-2</v>
      </c>
      <c r="T60" s="14">
        <v>428521.88714370818</v>
      </c>
      <c r="U60" s="14">
        <v>240000</v>
      </c>
      <c r="V60" s="15">
        <v>0.78550786309878418</v>
      </c>
      <c r="W60" s="7"/>
    </row>
    <row r="61" spans="1:23" s="57" customFormat="1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8"/>
      <c r="P61" s="7"/>
      <c r="Q61" s="7"/>
      <c r="R61" s="7"/>
      <c r="S61" s="2">
        <f t="shared" si="1"/>
        <v>9.0000000000000011E-2</v>
      </c>
      <c r="T61" s="14">
        <v>467846.70403451461</v>
      </c>
      <c r="U61" s="14">
        <v>240000</v>
      </c>
      <c r="V61" s="15">
        <v>0.94936126681047761</v>
      </c>
      <c r="W61" s="7"/>
    </row>
    <row r="62" spans="1:23" s="57" customFormat="1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8"/>
      <c r="P62" s="7"/>
      <c r="Q62" s="7"/>
      <c r="R62" s="7"/>
      <c r="S62" s="2">
        <f t="shared" si="1"/>
        <v>9.5000000000000015E-2</v>
      </c>
      <c r="T62" s="14">
        <v>507171.52092532103</v>
      </c>
      <c r="U62" s="14">
        <v>240000</v>
      </c>
      <c r="V62" s="15">
        <v>1.1132146705221708</v>
      </c>
      <c r="W62" s="7"/>
    </row>
    <row r="63" spans="1:23" s="57" customFormat="1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8"/>
      <c r="P63" s="7"/>
      <c r="Q63" s="7"/>
      <c r="R63" s="7"/>
      <c r="S63" s="2">
        <f t="shared" si="1"/>
        <v>0.10000000000000002</v>
      </c>
      <c r="T63" s="14">
        <v>546496.33781612734</v>
      </c>
      <c r="U63" s="14">
        <v>240000</v>
      </c>
      <c r="V63" s="15">
        <v>1.2770680742338638</v>
      </c>
      <c r="W63" s="7"/>
    </row>
    <row r="64" spans="1:23" s="57" customForma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8"/>
      <c r="P64" s="7"/>
      <c r="Q64" s="7"/>
      <c r="R64" s="7"/>
      <c r="S64" s="7"/>
      <c r="T64" s="7"/>
      <c r="U64" s="7"/>
      <c r="V64" s="7"/>
      <c r="W64" s="7"/>
    </row>
    <row r="65" spans="1:23" s="57" customForma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8"/>
      <c r="P65" s="7"/>
      <c r="Q65" s="7"/>
      <c r="R65" s="7"/>
      <c r="S65" s="7"/>
      <c r="T65" s="7"/>
      <c r="U65" s="7"/>
      <c r="V65" s="7"/>
      <c r="W65" s="7"/>
    </row>
    <row r="66" spans="1:23" s="57" customForma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8"/>
      <c r="P66" s="7"/>
      <c r="Q66" s="7"/>
      <c r="R66" s="7"/>
      <c r="S66" s="7"/>
      <c r="T66" s="7"/>
      <c r="U66" s="7"/>
      <c r="V66" s="7"/>
      <c r="W66" s="7"/>
    </row>
    <row r="67" spans="1:23" s="57" customForma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8"/>
      <c r="P67" s="7"/>
      <c r="Q67" s="7"/>
      <c r="R67" s="7"/>
      <c r="S67" s="9" t="s">
        <v>30</v>
      </c>
      <c r="T67" s="7"/>
      <c r="U67" s="7"/>
      <c r="V67" s="7"/>
      <c r="W67" s="7"/>
    </row>
    <row r="68" spans="1:23" s="57" customFormat="1" ht="30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8"/>
      <c r="P68" s="7"/>
      <c r="Q68" s="7"/>
      <c r="R68" s="7"/>
      <c r="S68" s="10"/>
      <c r="T68" s="11" t="str">
        <f>+$B$27</f>
        <v>Net return</v>
      </c>
      <c r="U68" s="11" t="s">
        <v>0</v>
      </c>
      <c r="V68" s="11" t="s">
        <v>1</v>
      </c>
      <c r="W68" s="7"/>
    </row>
    <row r="69" spans="1:23" s="57" customForma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8"/>
      <c r="P69" s="7"/>
      <c r="Q69" s="7"/>
      <c r="R69" s="7"/>
      <c r="S69" s="54" t="s">
        <v>25</v>
      </c>
      <c r="T69" s="12">
        <f>+$C$27</f>
        <v>546496.33781612723</v>
      </c>
      <c r="U69" s="12">
        <f>+$C$25</f>
        <v>240000</v>
      </c>
      <c r="V69" s="13">
        <f>+$C$29</f>
        <v>1.2770680742338634</v>
      </c>
      <c r="W69" s="7"/>
    </row>
    <row r="70" spans="1:23" s="57" customForma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8"/>
      <c r="P70" s="7"/>
      <c r="Q70" s="7"/>
      <c r="R70" s="7"/>
      <c r="S70" s="1">
        <f>+S71-50</f>
        <v>250</v>
      </c>
      <c r="T70" s="14">
        <f t="dataTable" ref="T70:V74" dt2D="0" dtr="0" r1="C6" ca="1"/>
        <v>321783.09844009078</v>
      </c>
      <c r="U70" s="14">
        <v>240000</v>
      </c>
      <c r="V70" s="56">
        <v>0.34076291016704485</v>
      </c>
      <c r="W70" s="7"/>
    </row>
    <row r="71" spans="1:23" s="57" customForma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8"/>
      <c r="P71" s="7"/>
      <c r="Q71" s="7"/>
      <c r="R71" s="7"/>
      <c r="S71" s="1">
        <f>+S72-50</f>
        <v>300</v>
      </c>
      <c r="T71" s="14">
        <v>209426.47875207267</v>
      </c>
      <c r="U71" s="14">
        <v>240000</v>
      </c>
      <c r="V71" s="15">
        <v>-0.12738967186636385</v>
      </c>
      <c r="W71" s="7"/>
    </row>
    <row r="72" spans="1:23" s="57" customForma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8"/>
      <c r="P72" s="7"/>
      <c r="Q72" s="7"/>
      <c r="R72" s="7"/>
      <c r="S72" s="65">
        <f>+C6</f>
        <v>350</v>
      </c>
      <c r="T72" s="14">
        <v>209426.47875207267</v>
      </c>
      <c r="U72" s="14">
        <v>240000</v>
      </c>
      <c r="V72" s="15">
        <v>-0.12738967186636385</v>
      </c>
      <c r="W72" s="7"/>
    </row>
    <row r="73" spans="1:23" s="57" customForma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8"/>
      <c r="P73" s="7"/>
      <c r="Q73" s="7"/>
      <c r="R73" s="7"/>
      <c r="S73" s="1">
        <f>+S72+10</f>
        <v>360</v>
      </c>
      <c r="T73" s="14">
        <v>231897.80268967629</v>
      </c>
      <c r="U73" s="14">
        <v>240000</v>
      </c>
      <c r="V73" s="15">
        <v>-3.3759155459682111E-2</v>
      </c>
      <c r="W73" s="7"/>
    </row>
    <row r="74" spans="1:23" s="57" customForma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8"/>
      <c r="P74" s="7"/>
      <c r="Q74" s="7"/>
      <c r="R74" s="7"/>
      <c r="S74" s="1">
        <f>+S73+10</f>
        <v>370</v>
      </c>
      <c r="T74" s="14">
        <v>276840.45056488359</v>
      </c>
      <c r="U74" s="14">
        <v>240000</v>
      </c>
      <c r="V74" s="15">
        <v>0.15350187735368159</v>
      </c>
      <c r="W74" s="7"/>
    </row>
    <row r="75" spans="1:23" s="57" customForma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8"/>
      <c r="P75" s="7"/>
      <c r="Q75" s="7"/>
      <c r="R75" s="7"/>
      <c r="S75" s="7"/>
      <c r="T75" s="7"/>
      <c r="U75" s="7"/>
      <c r="V75" s="7"/>
      <c r="W75" s="7"/>
    </row>
    <row r="76" spans="1:23"/>
    <row r="77" spans="1:23"/>
    <row r="78" spans="1:23"/>
    <row r="79" spans="1:23"/>
    <row r="80" spans="1:23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Validations count="1">
    <dataValidation type="decimal" allowBlank="1" showInputMessage="1" showErrorMessage="1" sqref="F43 F58 I50 I33 L30 L53 L47 L36" xr:uid="{00000000-0002-0000-0000-000000000000}">
      <formula1>0</formula1>
      <formula2>1</formula2>
    </dataValidation>
  </dataValidations>
  <pageMargins left="0.7" right="0.7" top="0.75" bottom="0.75" header="0.3" footer="0.3"/>
  <pageSetup paperSize="9" orientation="portrait" r:id="rId1"/>
  <ignoredErrors>
    <ignoredError sqref="C12 S36:S39 S48:S63 S73:S74" unlocked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FCA</dc:creator>
  <cp:lastModifiedBy>Filipe Charters de Azevedo</cp:lastModifiedBy>
  <dcterms:created xsi:type="dcterms:W3CDTF">2016-10-03T15:04:58Z</dcterms:created>
  <dcterms:modified xsi:type="dcterms:W3CDTF">2018-01-22T13:15:59Z</dcterms:modified>
</cp:coreProperties>
</file>